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omments1.xml" ContentType="application/vnd.openxmlformats-officedocument.spreadsheetml.comments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omments2.xml" ContentType="application/vnd.openxmlformats-officedocument.spreadsheetml.comments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omments3.xml" ContentType="application/vnd.openxmlformats-officedocument.spreadsheetml.comments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comments4.xml" ContentType="application/vnd.openxmlformats-officedocument.spreadsheetml.comments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comments5.xml" ContentType="application/vnd.openxmlformats-officedocument.spreadsheetml.comments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comments6.xml" ContentType="application/vnd.openxmlformats-officedocument.spreadsheetml.comments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comments7.xml" ContentType="application/vnd.openxmlformats-officedocument.spreadsheetml.comments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comments8.xml" ContentType="application/vnd.openxmlformats-officedocument.spreadsheetml.comments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comments9.xml" ContentType="application/vnd.openxmlformats-officedocument.spreadsheetml.comments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comments10.xml" ContentType="application/vnd.openxmlformats-officedocument.spreadsheetml.comments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comments11.xml" ContentType="application/vnd.openxmlformats-officedocument.spreadsheetml.comments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12600" windowWidth="19440" windowHeight="1170" tabRatio="729" activeTab="10"/>
  </bookViews>
  <sheets>
    <sheet name="Janeiro" sheetId="14" r:id="rId1"/>
    <sheet name="Fevereiro" sheetId="15" r:id="rId2"/>
    <sheet name="Março" sheetId="16" r:id="rId3"/>
    <sheet name="Abril" sheetId="17" r:id="rId4"/>
    <sheet name="Maio" sheetId="18" r:id="rId5"/>
    <sheet name="Junho" sheetId="19" r:id="rId6"/>
    <sheet name="Julho" sheetId="20" r:id="rId7"/>
    <sheet name="Agosto" sheetId="21" r:id="rId8"/>
    <sheet name="Setembro" sheetId="22" r:id="rId9"/>
    <sheet name="Outubro" sheetId="23" r:id="rId10"/>
    <sheet name="Novembro" sheetId="24" r:id="rId11"/>
    <sheet name="Dezembro" sheetId="1" r:id="rId12"/>
    <sheet name="TOTAL" sheetId="13" r:id="rId13"/>
  </sheets>
  <definedNames>
    <definedName name="_xlnm._FilterDatabase" localSheetId="4" hidden="1">Maio!$B$2:$N$18</definedName>
    <definedName name="DadosExternos_1" localSheetId="3">Abril!$B$2:$F$16</definedName>
    <definedName name="DadosExternos_1" localSheetId="7">Agosto!$B$2:$F$15</definedName>
    <definedName name="DadosExternos_1" localSheetId="11">Dezembro!$B$2:$F$22</definedName>
    <definedName name="DadosExternos_1" localSheetId="1">Fevereiro!$B$2:$F$19</definedName>
    <definedName name="DadosExternos_1" localSheetId="0">Janeiro!$B$2:$F$11</definedName>
    <definedName name="DadosExternos_1" localSheetId="6">Julho!$B$2:$F$23</definedName>
    <definedName name="DadosExternos_1" localSheetId="5">Junho!$B$2:$F$30</definedName>
    <definedName name="DadosExternos_1" localSheetId="4">Maio!$B$2:$F$15</definedName>
    <definedName name="DadosExternos_1" localSheetId="2">Março!$B$2:$F$22</definedName>
    <definedName name="DadosExternos_1" localSheetId="10">Novembro!$B$2:$F$18</definedName>
    <definedName name="DadosExternos_1" localSheetId="9">Outubro!$B$2:$F$22</definedName>
    <definedName name="DadosExternos_1" localSheetId="8">Setembro!$B$2:$F$23</definedName>
    <definedName name="DadosExternos_2" localSheetId="3">Abril!$B$2:$F$16</definedName>
    <definedName name="DadosExternos_2" localSheetId="7">Agosto!$B$2:$F$15</definedName>
    <definedName name="DadosExternos_2" localSheetId="11">Dezembro!$B$2:$F$22</definedName>
    <definedName name="DadosExternos_2" localSheetId="1">Fevereiro!$B$2:$F$19</definedName>
    <definedName name="DadosExternos_2" localSheetId="0">Janeiro!$B$2:$F$11</definedName>
    <definedName name="DadosExternos_2" localSheetId="6">Julho!$B$2:$F$23</definedName>
    <definedName name="DadosExternos_2" localSheetId="5">Junho!$B$2:$F$30</definedName>
    <definedName name="DadosExternos_2" localSheetId="4">Maio!$B$2:$F$15</definedName>
    <definedName name="DadosExternos_2" localSheetId="2">Março!$B$2:$F$22</definedName>
    <definedName name="DadosExternos_2" localSheetId="10">Novembro!$B$2:$F$18</definedName>
    <definedName name="DadosExternos_2" localSheetId="9">Outubro!$B$2:$F$22</definedName>
    <definedName name="DadosExternos_2" localSheetId="8">Setembro!$B$2:$F$23</definedName>
    <definedName name="DadosExternos_3" localSheetId="3">Abril!$B$2:$F$27</definedName>
    <definedName name="DadosExternos_3" localSheetId="7">Agosto!$B$2:$F$17</definedName>
    <definedName name="DadosExternos_3" localSheetId="11">Dezembro!$B$2:$F$31</definedName>
    <definedName name="DadosExternos_3" localSheetId="1">Fevereiro!$B$2:$F$21</definedName>
    <definedName name="DadosExternos_3" localSheetId="0">Janeiro!$B$2:$F$15</definedName>
    <definedName name="DadosExternos_3" localSheetId="6">Julho!$B$2:$F$32</definedName>
    <definedName name="DadosExternos_3" localSheetId="5">Junho!$B$2:$F$33</definedName>
    <definedName name="DadosExternos_3" localSheetId="4">Maio!$B$2:$F$20</definedName>
    <definedName name="DadosExternos_3" localSheetId="2">Março!$B$2:$F$24</definedName>
    <definedName name="DadosExternos_3" localSheetId="10">Novembro!$B$2:$F$30</definedName>
    <definedName name="DadosExternos_3" localSheetId="9">Outubro!$B$2:$F$26</definedName>
    <definedName name="DadosExternos_3" localSheetId="8">Setembro!$B$2:$F$34</definedName>
    <definedName name="DadosExternos_4" localSheetId="3">Abril!$B$2:$F$16</definedName>
    <definedName name="DadosExternos_4" localSheetId="7">Agosto!$B$2:$F$15</definedName>
    <definedName name="DadosExternos_4" localSheetId="11">Dezembro!$B$2:$F$22</definedName>
    <definedName name="DadosExternos_4" localSheetId="1">Fevereiro!$B$2:$F$19</definedName>
    <definedName name="DadosExternos_4" localSheetId="0">Janeiro!$B$2:$F$11</definedName>
    <definedName name="DadosExternos_4" localSheetId="6">Julho!$B$2:$F$23</definedName>
    <definedName name="DadosExternos_4" localSheetId="5">Junho!$B$2:$F$30</definedName>
    <definedName name="DadosExternos_4" localSheetId="4">Maio!$B$2:$F$15</definedName>
    <definedName name="DadosExternos_4" localSheetId="2">Março!$B$2:$F$22</definedName>
    <definedName name="DadosExternos_4" localSheetId="10">Novembro!$B$2:$F$18</definedName>
    <definedName name="DadosExternos_4" localSheetId="9">Outubro!$B$2:$F$22</definedName>
    <definedName name="DadosExternos_4" localSheetId="8">Setembro!$B$2:$F$23</definedName>
    <definedName name="DadosExternos_5" localSheetId="3">Abril!$B$2:$F$16</definedName>
    <definedName name="DadosExternos_5" localSheetId="7">Agosto!$B$2:$F$15</definedName>
    <definedName name="DadosExternos_5" localSheetId="11">Dezembro!$B$2:$F$22</definedName>
    <definedName name="DadosExternos_5" localSheetId="1">Fevereiro!$B$2:$F$19</definedName>
    <definedName name="DadosExternos_5" localSheetId="0">Janeiro!$B$2:$F$11</definedName>
    <definedName name="DadosExternos_5" localSheetId="6">Julho!$B$2:$F$23</definedName>
    <definedName name="DadosExternos_5" localSheetId="5">Junho!$B$2:$F$30</definedName>
    <definedName name="DadosExternos_5" localSheetId="4">Maio!$B$2:$F$15</definedName>
    <definedName name="DadosExternos_5" localSheetId="2">Março!$B$2:$F$22</definedName>
    <definedName name="DadosExternos_5" localSheetId="10">Novembro!$B$2:$F$18</definedName>
    <definedName name="DadosExternos_5" localSheetId="9">Outubro!$B$2:$F$22</definedName>
    <definedName name="DadosExternos_5" localSheetId="8">Setembro!$B$2:$F$23</definedName>
    <definedName name="DadosExternos_6" localSheetId="3">Abril!$B$2:$F$27</definedName>
    <definedName name="DadosExternos_6" localSheetId="7">Agosto!$B$2:$F$17</definedName>
    <definedName name="DadosExternos_6" localSheetId="11">Dezembro!$B$2:$F$31</definedName>
    <definedName name="DadosExternos_6" localSheetId="1">Fevereiro!$B$2:$F$21</definedName>
    <definedName name="DadosExternos_6" localSheetId="0">Janeiro!$B$2:$F$15</definedName>
    <definedName name="DadosExternos_6" localSheetId="6">Julho!$B$2:$F$32</definedName>
    <definedName name="DadosExternos_6" localSheetId="5">Junho!$B$2:$F$33</definedName>
    <definedName name="DadosExternos_6" localSheetId="4">Maio!$B$2:$F$20</definedName>
    <definedName name="DadosExternos_6" localSheetId="2">Março!$B$2:$F$24</definedName>
    <definedName name="DadosExternos_6" localSheetId="10">Novembro!$B$2:$F$30</definedName>
    <definedName name="DadosExternos_6" localSheetId="9">Outubro!$B$2:$F$26</definedName>
    <definedName name="DadosExternos_6" localSheetId="8">Setembro!$B$2:$F$34</definedName>
    <definedName name="DadosExternos_7" localSheetId="3">Abril!$B$2:$F$16</definedName>
    <definedName name="DadosExternos_7" localSheetId="7">Agosto!$B$2:$F$15</definedName>
    <definedName name="DadosExternos_7" localSheetId="11">Dezembro!$B$2:$F$22</definedName>
    <definedName name="DadosExternos_7" localSheetId="1">Fevereiro!$B$2:$F$19</definedName>
    <definedName name="DadosExternos_7" localSheetId="0">Janeiro!$B$2:$F$11</definedName>
    <definedName name="DadosExternos_7" localSheetId="6">Julho!$B$2:$F$23</definedName>
    <definedName name="DadosExternos_7" localSheetId="5">Junho!$B$2:$F$30</definedName>
    <definedName name="DadosExternos_7" localSheetId="4">Maio!$B$2:$F$15</definedName>
    <definedName name="DadosExternos_7" localSheetId="2">Março!$B$2:$F$22</definedName>
    <definedName name="DadosExternos_7" localSheetId="10">Novembro!$B$2:$F$18</definedName>
    <definedName name="DadosExternos_7" localSheetId="9">Outubro!$B$2:$F$22</definedName>
    <definedName name="DadosExternos_7" localSheetId="8">Setembro!$B$2:$F$23</definedName>
    <definedName name="DadosExternos_8" localSheetId="3">Abril!$B$2:$F$16</definedName>
    <definedName name="DadosExternos_8" localSheetId="7">Agosto!$B$2:$F$15</definedName>
    <definedName name="DadosExternos_8" localSheetId="11">Dezembro!$B$2:$F$22</definedName>
    <definedName name="DadosExternos_8" localSheetId="1">Fevereiro!$B$2:$F$19</definedName>
    <definedName name="DadosExternos_8" localSheetId="0">Janeiro!$B$2:$F$11</definedName>
    <definedName name="DadosExternos_8" localSheetId="6">Julho!$B$2:$F$23</definedName>
    <definedName name="DadosExternos_8" localSheetId="5">Junho!$B$2:$F$30</definedName>
    <definedName name="DadosExternos_8" localSheetId="4">Maio!$B$2:$F$15</definedName>
    <definedName name="DadosExternos_8" localSheetId="2">Março!$B$2:$F$22</definedName>
    <definedName name="DadosExternos_8" localSheetId="10">Novembro!$B$2:$F$18</definedName>
    <definedName name="DadosExternos_8" localSheetId="9">Outubro!$B$2:$F$22</definedName>
    <definedName name="DadosExternos_8" localSheetId="8">Setembro!$B$2:$F$23</definedName>
  </definedNames>
  <calcPr calcId="145621"/>
</workbook>
</file>

<file path=xl/calcChain.xml><?xml version="1.0" encoding="utf-8"?>
<calcChain xmlns="http://schemas.openxmlformats.org/spreadsheetml/2006/main">
  <c r="G26" i="24" l="1"/>
  <c r="H26" i="24" s="1"/>
  <c r="H25" i="24"/>
  <c r="H27" i="24"/>
  <c r="H28" i="24"/>
  <c r="H21" i="24" l="1"/>
  <c r="H22" i="24"/>
  <c r="H23" i="24"/>
  <c r="H20" i="24"/>
  <c r="H24" i="24"/>
  <c r="H92" i="24"/>
  <c r="H93" i="24"/>
  <c r="H94" i="24"/>
  <c r="F97" i="24" l="1"/>
  <c r="H19" i="24" l="1"/>
  <c r="H91" i="24"/>
  <c r="H90" i="24"/>
  <c r="H89" i="24"/>
  <c r="H88" i="24"/>
  <c r="H87" i="24"/>
  <c r="H86" i="24"/>
  <c r="H85" i="24"/>
  <c r="H164" i="24" l="1"/>
  <c r="H163" i="24"/>
  <c r="H162" i="24"/>
  <c r="H161" i="24"/>
  <c r="H165" i="24" l="1"/>
  <c r="H93" i="23"/>
  <c r="H94" i="23"/>
  <c r="H95" i="23"/>
  <c r="H92" i="23"/>
  <c r="H96" i="23"/>
  <c r="H90" i="23"/>
  <c r="H91" i="23"/>
  <c r="H97" i="23"/>
  <c r="H88" i="23" l="1"/>
  <c r="H89" i="23"/>
  <c r="H87" i="23"/>
  <c r="G83" i="23" l="1"/>
  <c r="H179" i="23" l="1"/>
  <c r="H178" i="23"/>
  <c r="H177" i="23"/>
  <c r="H176" i="23"/>
  <c r="H180" i="23" l="1"/>
  <c r="G3" i="22"/>
  <c r="H113" i="22" l="1"/>
  <c r="F13" i="22" l="1"/>
  <c r="H190" i="22" l="1"/>
  <c r="H189" i="22"/>
  <c r="H188" i="22"/>
  <c r="H187" i="22"/>
  <c r="H191" i="22" l="1"/>
  <c r="I203" i="21"/>
  <c r="H202" i="21"/>
  <c r="H201" i="21"/>
  <c r="H199" i="21"/>
  <c r="H200" i="21"/>
  <c r="H198" i="21"/>
  <c r="N17" i="21"/>
  <c r="H87" i="21" l="1"/>
  <c r="H88" i="21"/>
  <c r="H89" i="21"/>
  <c r="H85" i="21"/>
  <c r="H86" i="21"/>
  <c r="H163" i="21"/>
  <c r="H164" i="21"/>
  <c r="H165" i="21"/>
  <c r="H166" i="21"/>
  <c r="H160" i="21"/>
  <c r="H161" i="21"/>
  <c r="H162" i="21"/>
  <c r="H156" i="21"/>
  <c r="H157" i="21"/>
  <c r="H158" i="21"/>
  <c r="H159" i="21"/>
  <c r="H83" i="21" l="1"/>
  <c r="H84" i="21"/>
  <c r="H90" i="21"/>
  <c r="H82" i="21" l="1"/>
  <c r="H154" i="21"/>
  <c r="H153" i="21"/>
  <c r="H147" i="21"/>
  <c r="H148" i="21"/>
  <c r="H149" i="21"/>
  <c r="H150" i="21"/>
  <c r="H151" i="21"/>
  <c r="H152" i="21"/>
  <c r="H81" i="21" l="1"/>
  <c r="H47" i="21"/>
  <c r="H48" i="21"/>
  <c r="H49" i="21"/>
  <c r="H77" i="21"/>
  <c r="H78" i="21"/>
  <c r="H79" i="21"/>
  <c r="H80" i="21"/>
  <c r="H76" i="21"/>
  <c r="H91" i="21"/>
  <c r="H145" i="21"/>
  <c r="H146" i="21"/>
  <c r="H155" i="21"/>
  <c r="H143" i="21"/>
  <c r="H144" i="21"/>
  <c r="H141" i="21"/>
  <c r="H140" i="21"/>
  <c r="H139" i="21"/>
  <c r="H138" i="21"/>
  <c r="H133" i="21"/>
  <c r="H134" i="21"/>
  <c r="H135" i="21"/>
  <c r="H136" i="21"/>
  <c r="H137" i="21"/>
  <c r="H142" i="21"/>
  <c r="H131" i="21" l="1"/>
  <c r="H132" i="21"/>
  <c r="I168" i="20" l="1"/>
  <c r="H167" i="20"/>
  <c r="H166" i="20"/>
  <c r="H165" i="20"/>
  <c r="H164" i="20"/>
  <c r="H163" i="20"/>
  <c r="N32" i="20"/>
  <c r="M26" i="19" l="1"/>
  <c r="J22" i="19" l="1"/>
  <c r="C35" i="13" l="1"/>
  <c r="C34" i="13"/>
  <c r="C23" i="13"/>
  <c r="H73" i="21" l="1"/>
  <c r="H72" i="21"/>
  <c r="H71" i="21"/>
  <c r="H68" i="21"/>
  <c r="H69" i="21"/>
  <c r="H70" i="21"/>
  <c r="H74" i="21"/>
  <c r="H45" i="21"/>
  <c r="H46" i="21"/>
  <c r="H126" i="21"/>
  <c r="H127" i="21"/>
  <c r="H128" i="21"/>
  <c r="H129" i="21"/>
  <c r="H123" i="21"/>
  <c r="H124" i="21"/>
  <c r="H125" i="21"/>
  <c r="H130" i="21"/>
  <c r="H121" i="21"/>
  <c r="H120" i="21"/>
  <c r="H117" i="21"/>
  <c r="H118" i="21"/>
  <c r="H119" i="21"/>
  <c r="H122" i="21"/>
  <c r="H177" i="21" l="1"/>
  <c r="H176" i="21"/>
  <c r="H175" i="21"/>
  <c r="H174" i="21"/>
  <c r="H178" i="21" l="1"/>
  <c r="G86" i="20"/>
  <c r="H27" i="20" l="1"/>
  <c r="H26" i="20"/>
  <c r="H25" i="20"/>
  <c r="H155" i="20"/>
  <c r="H156" i="20"/>
  <c r="H158" i="20"/>
  <c r="H157" i="20"/>
  <c r="H153" i="20"/>
  <c r="H154" i="20"/>
  <c r="H88" i="20"/>
  <c r="H89" i="20"/>
  <c r="H90" i="20"/>
  <c r="H92" i="20"/>
  <c r="H93" i="20"/>
  <c r="G82" i="20" l="1"/>
  <c r="H143" i="20"/>
  <c r="H142" i="20"/>
  <c r="H141" i="20"/>
  <c r="H140" i="20"/>
  <c r="H144" i="20" l="1"/>
  <c r="H190" i="19"/>
  <c r="H189" i="19"/>
  <c r="H188" i="19"/>
  <c r="H187" i="19"/>
  <c r="I192" i="19"/>
  <c r="H191" i="19"/>
  <c r="M16" i="19"/>
  <c r="M15" i="19"/>
  <c r="M14" i="19"/>
  <c r="M8" i="19"/>
  <c r="M8" i="18"/>
  <c r="M19" i="19"/>
  <c r="M18" i="19"/>
  <c r="M17" i="19"/>
  <c r="M3" i="19"/>
  <c r="L6" i="18" l="1"/>
  <c r="G93" i="19" l="1"/>
  <c r="H21" i="19" l="1"/>
  <c r="G101" i="19"/>
  <c r="H101" i="19" s="1"/>
  <c r="H24" i="19"/>
  <c r="H25" i="19"/>
  <c r="H28" i="19"/>
  <c r="H29" i="19"/>
  <c r="H30" i="19"/>
  <c r="H100" i="19"/>
  <c r="H99" i="19"/>
  <c r="H102" i="19"/>
  <c r="H23" i="19"/>
  <c r="H26" i="19"/>
  <c r="H22" i="19"/>
  <c r="H31" i="19"/>
  <c r="H97" i="19" l="1"/>
  <c r="H94" i="19"/>
  <c r="H95" i="19"/>
  <c r="H96" i="19"/>
  <c r="H180" i="19"/>
  <c r="H181" i="19"/>
  <c r="H182" i="19"/>
  <c r="H174" i="19"/>
  <c r="H175" i="19"/>
  <c r="H177" i="19"/>
  <c r="H178" i="19"/>
  <c r="H179" i="19"/>
  <c r="H183" i="19"/>
  <c r="H18" i="19" l="1"/>
  <c r="H19" i="19"/>
  <c r="H17" i="19"/>
  <c r="H20" i="19"/>
  <c r="H27" i="19"/>
  <c r="H13" i="19"/>
  <c r="H14" i="19"/>
  <c r="H15" i="19"/>
  <c r="H16" i="19"/>
  <c r="H173" i="19" l="1"/>
  <c r="G85" i="19"/>
  <c r="H172" i="19"/>
  <c r="H10" i="19" l="1"/>
  <c r="H11" i="19"/>
  <c r="H9" i="19"/>
  <c r="H12" i="19"/>
  <c r="H163" i="19" l="1"/>
  <c r="H162" i="19"/>
  <c r="H161" i="19"/>
  <c r="H160" i="19"/>
  <c r="H164" i="19" l="1"/>
  <c r="H147" i="18"/>
  <c r="H146" i="18"/>
  <c r="H139" i="18"/>
  <c r="H140" i="18"/>
  <c r="H141" i="18"/>
  <c r="H142" i="18"/>
  <c r="H143" i="18"/>
  <c r="H144" i="18"/>
  <c r="H145" i="18"/>
  <c r="H148" i="18"/>
  <c r="H149" i="18"/>
  <c r="H136" i="18"/>
  <c r="H137" i="18"/>
  <c r="H138" i="18"/>
  <c r="H18" i="18" l="1"/>
  <c r="H75" i="18" l="1"/>
  <c r="H76" i="18"/>
  <c r="H77" i="18"/>
  <c r="H78" i="18"/>
  <c r="H133" i="18"/>
  <c r="H134" i="18"/>
  <c r="H135" i="18"/>
  <c r="F6" i="18" l="1"/>
  <c r="H128" i="18" l="1"/>
  <c r="H129" i="18"/>
  <c r="H130" i="18"/>
  <c r="H131" i="18"/>
  <c r="H132" i="18"/>
  <c r="H123" i="18"/>
  <c r="H124" i="18"/>
  <c r="H125" i="18"/>
  <c r="H126" i="18"/>
  <c r="H127" i="18"/>
  <c r="H120" i="18"/>
  <c r="H121" i="18"/>
  <c r="H122" i="18"/>
  <c r="H160" i="18" l="1"/>
  <c r="H159" i="18"/>
  <c r="H158" i="18"/>
  <c r="H157" i="18"/>
  <c r="H161" i="18" l="1"/>
  <c r="H176" i="16" l="1"/>
  <c r="H175" i="16"/>
  <c r="H174" i="16"/>
  <c r="H173" i="16"/>
  <c r="H172" i="16"/>
  <c r="H19" i="17" l="1"/>
  <c r="H20" i="17"/>
  <c r="H21" i="17"/>
  <c r="H22" i="17"/>
  <c r="H23" i="17"/>
  <c r="H24" i="17"/>
  <c r="H25" i="17"/>
  <c r="H18" i="17" l="1"/>
  <c r="H17" i="17"/>
  <c r="H57" i="17" l="1"/>
  <c r="H144" i="17" l="1"/>
  <c r="H143" i="17"/>
  <c r="H142" i="17"/>
  <c r="H141" i="17"/>
  <c r="H145" i="17" l="1"/>
  <c r="H84" i="16" l="1"/>
  <c r="H83" i="16"/>
  <c r="H79" i="16"/>
  <c r="F19" i="16"/>
  <c r="H78" i="16"/>
  <c r="H144" i="16"/>
  <c r="H143" i="16"/>
  <c r="H155" i="16" l="1"/>
  <c r="H154" i="16"/>
  <c r="H153" i="16"/>
  <c r="H152" i="16"/>
  <c r="H156" i="16" l="1"/>
  <c r="H113" i="15"/>
  <c r="H123" i="15" l="1"/>
  <c r="H122" i="15"/>
  <c r="H121" i="15"/>
  <c r="H120" i="15"/>
  <c r="H124" i="15" l="1"/>
  <c r="F8" i="15"/>
  <c r="H76" i="14" l="1"/>
  <c r="N14" i="14"/>
  <c r="M14" i="14"/>
  <c r="L14" i="14"/>
  <c r="K14" i="14"/>
  <c r="J14" i="14"/>
  <c r="G70" i="14"/>
  <c r="F7" i="14" l="1"/>
  <c r="H64" i="14"/>
  <c r="H51" i="14"/>
  <c r="H52" i="14"/>
  <c r="H128" i="14" l="1"/>
  <c r="H127" i="14"/>
  <c r="H126" i="14"/>
  <c r="H125" i="14"/>
  <c r="H129" i="14" l="1"/>
  <c r="H13" i="14" l="1"/>
  <c r="H118" i="14"/>
  <c r="H117" i="14"/>
  <c r="H116" i="14"/>
  <c r="H115" i="14"/>
  <c r="H141" i="14"/>
  <c r="H77" i="14"/>
  <c r="H75" i="14"/>
  <c r="H74" i="14"/>
  <c r="F53" i="14"/>
  <c r="H50" i="14"/>
  <c r="H49" i="14"/>
  <c r="H48" i="14"/>
  <c r="H47" i="14"/>
  <c r="H46" i="14"/>
  <c r="H45" i="14"/>
  <c r="H43" i="14"/>
  <c r="F12" i="14"/>
  <c r="H12" i="14" s="1"/>
  <c r="H73" i="14"/>
  <c r="H72" i="14"/>
  <c r="F11" i="14"/>
  <c r="H11" i="14" s="1"/>
  <c r="H71" i="14" l="1"/>
  <c r="H70" i="14"/>
  <c r="H69" i="14"/>
  <c r="H68" i="14"/>
  <c r="H139" i="14"/>
  <c r="H140" i="14"/>
  <c r="H138" i="14" l="1"/>
  <c r="H137" i="14"/>
  <c r="H136" i="14"/>
  <c r="H42" i="14"/>
  <c r="H109" i="14"/>
  <c r="H110" i="14"/>
  <c r="H111" i="14"/>
  <c r="H112" i="14"/>
  <c r="H67" i="14" l="1"/>
  <c r="H66" i="14"/>
  <c r="H65" i="14"/>
  <c r="H63" i="14"/>
  <c r="H62" i="14"/>
  <c r="F78" i="14"/>
  <c r="G78" i="14"/>
  <c r="H107" i="1" l="1"/>
  <c r="H108" i="1"/>
  <c r="H109" i="1"/>
  <c r="H110" i="1"/>
  <c r="H105" i="1"/>
  <c r="H106" i="1"/>
  <c r="H111" i="1"/>
  <c r="H175" i="1" l="1"/>
  <c r="H146" i="24" l="1"/>
  <c r="H147" i="24"/>
  <c r="H148" i="24"/>
  <c r="H149" i="24"/>
  <c r="H150" i="24"/>
  <c r="H151" i="24"/>
  <c r="H152" i="24"/>
  <c r="H141" i="24"/>
  <c r="H142" i="24"/>
  <c r="H143" i="24"/>
  <c r="H144" i="24"/>
  <c r="H145" i="24"/>
  <c r="H138" i="24"/>
  <c r="H139" i="24"/>
  <c r="H140" i="24"/>
  <c r="H137" i="24" l="1"/>
  <c r="H86" i="23" l="1"/>
  <c r="H162" i="23"/>
  <c r="H163" i="23"/>
  <c r="H164" i="23"/>
  <c r="H165" i="23"/>
  <c r="H159" i="23"/>
  <c r="H160" i="23"/>
  <c r="H161" i="23"/>
  <c r="H166" i="23"/>
  <c r="H156" i="23"/>
  <c r="H155" i="23"/>
  <c r="H154" i="23"/>
  <c r="H150" i="23"/>
  <c r="H151" i="23"/>
  <c r="H152" i="23"/>
  <c r="H153" i="23"/>
  <c r="H157" i="23"/>
  <c r="H158" i="23"/>
  <c r="H167" i="23"/>
  <c r="H149" i="23"/>
  <c r="H144" i="23" l="1"/>
  <c r="H145" i="23"/>
  <c r="H146" i="23"/>
  <c r="H147" i="23"/>
  <c r="H148" i="23"/>
  <c r="H138" i="23" l="1"/>
  <c r="H139" i="23"/>
  <c r="H140" i="23"/>
  <c r="H141" i="23"/>
  <c r="H142" i="23"/>
  <c r="H109" i="22" l="1"/>
  <c r="H110" i="22"/>
  <c r="H111" i="22"/>
  <c r="H173" i="22"/>
  <c r="H174" i="22"/>
  <c r="H175" i="22"/>
  <c r="H176" i="22"/>
  <c r="H177" i="22"/>
  <c r="H107" i="22"/>
  <c r="H108" i="22"/>
  <c r="H112" i="22"/>
  <c r="H106" i="22"/>
  <c r="H170" i="22" l="1"/>
  <c r="H171" i="22"/>
  <c r="H172" i="22"/>
  <c r="H169" i="22" l="1"/>
  <c r="H167" i="22" l="1"/>
  <c r="H168" i="22"/>
  <c r="H164" i="22" l="1"/>
  <c r="H163" i="22"/>
  <c r="H162" i="22"/>
  <c r="H24" i="20" l="1"/>
  <c r="H28" i="20"/>
  <c r="H29" i="20"/>
  <c r="H98" i="19" l="1"/>
  <c r="H146" i="19" l="1"/>
  <c r="H147" i="19"/>
  <c r="H148" i="19"/>
  <c r="H149" i="19"/>
  <c r="H151" i="19"/>
  <c r="H144" i="19" l="1"/>
  <c r="H145" i="19"/>
  <c r="H152" i="19"/>
  <c r="H74" i="18" l="1"/>
  <c r="H108" i="18" l="1"/>
  <c r="H99" i="18" l="1"/>
  <c r="H100" i="18"/>
  <c r="H101" i="18"/>
  <c r="H105" i="18"/>
  <c r="H97" i="18"/>
  <c r="H87" i="17" l="1"/>
  <c r="H88" i="17"/>
  <c r="H69" i="17" l="1"/>
  <c r="H86" i="17" l="1"/>
  <c r="H81" i="17"/>
  <c r="H82" i="17"/>
  <c r="H83" i="17"/>
  <c r="H84" i="17"/>
  <c r="H85" i="17"/>
  <c r="H134" i="17"/>
  <c r="H79" i="17" l="1"/>
  <c r="H80" i="17"/>
  <c r="H82" i="16" l="1"/>
  <c r="F32" i="16" l="1"/>
  <c r="H135" i="16" l="1"/>
  <c r="H136" i="16"/>
  <c r="H137" i="16"/>
  <c r="H138" i="16"/>
  <c r="H145" i="16"/>
  <c r="H139" i="16"/>
  <c r="H140" i="16"/>
  <c r="H76" i="16"/>
  <c r="H80" i="16"/>
  <c r="H77" i="16"/>
  <c r="H75" i="16" l="1"/>
  <c r="H131" i="16" l="1"/>
  <c r="H132" i="16"/>
  <c r="H133" i="16"/>
  <c r="H134" i="16"/>
  <c r="H141" i="16"/>
  <c r="H129" i="16" l="1"/>
  <c r="H128" i="16"/>
  <c r="H127" i="16"/>
  <c r="H126" i="16"/>
  <c r="N13" i="13" l="1"/>
  <c r="I34" i="13" s="1"/>
  <c r="O34" i="13" s="1"/>
  <c r="M13" i="13"/>
  <c r="L13" i="13"/>
  <c r="K13" i="13"/>
  <c r="J13" i="13"/>
  <c r="I13" i="13"/>
  <c r="H13" i="13"/>
  <c r="G13" i="13"/>
  <c r="F13" i="13"/>
  <c r="E13" i="13"/>
  <c r="D13" i="13"/>
  <c r="C13" i="13"/>
  <c r="H108" i="14" l="1"/>
  <c r="H107" i="14"/>
  <c r="H113" i="14"/>
  <c r="H106" i="14"/>
  <c r="H105" i="14"/>
  <c r="H104" i="14"/>
  <c r="H103" i="14"/>
  <c r="H102" i="14"/>
  <c r="H101" i="14"/>
  <c r="H100" i="14" l="1"/>
  <c r="H99" i="14"/>
  <c r="H98" i="14"/>
  <c r="H97" i="14"/>
  <c r="H28" i="1" l="1"/>
  <c r="H27" i="1"/>
  <c r="H26" i="1"/>
  <c r="H157" i="1" l="1"/>
  <c r="H25" i="1"/>
  <c r="H156" i="1"/>
  <c r="H155" i="1"/>
  <c r="H24" i="1"/>
  <c r="G43" i="24" l="1"/>
  <c r="F43" i="24"/>
  <c r="H24" i="23" l="1"/>
  <c r="J26" i="23"/>
  <c r="K26" i="23"/>
  <c r="L26" i="23"/>
  <c r="M26" i="23"/>
  <c r="N26" i="23"/>
  <c r="F39" i="23"/>
  <c r="H31" i="22"/>
  <c r="H30" i="22"/>
  <c r="H33" i="22"/>
  <c r="H32" i="22"/>
  <c r="H29" i="22"/>
  <c r="H28" i="22"/>
  <c r="H27" i="22"/>
  <c r="H26" i="22"/>
  <c r="F134" i="20"/>
  <c r="H133" i="20"/>
  <c r="H16" i="21"/>
  <c r="H185" i="21"/>
  <c r="O40" i="20"/>
  <c r="M40" i="20"/>
  <c r="L40" i="20"/>
  <c r="K40" i="20"/>
  <c r="J40" i="20"/>
  <c r="H6" i="20"/>
  <c r="H7" i="20"/>
  <c r="H3" i="20"/>
  <c r="H4" i="20"/>
  <c r="H5" i="20"/>
  <c r="H8" i="20"/>
  <c r="H9" i="20"/>
  <c r="H12" i="20"/>
  <c r="H10" i="20"/>
  <c r="H11" i="20"/>
  <c r="H19" i="20"/>
  <c r="H14" i="20"/>
  <c r="H13" i="20"/>
  <c r="H20" i="20"/>
  <c r="H21" i="20"/>
  <c r="H15" i="20"/>
  <c r="H16" i="20"/>
  <c r="H17" i="20"/>
  <c r="H18" i="20"/>
  <c r="H22" i="20"/>
  <c r="H23" i="20"/>
  <c r="H30" i="20"/>
  <c r="H31" i="20"/>
  <c r="F32" i="20"/>
  <c r="G32" i="20"/>
  <c r="F33" i="20"/>
  <c r="H37" i="20"/>
  <c r="H38" i="20"/>
  <c r="H39" i="20"/>
  <c r="F40" i="20"/>
  <c r="H45" i="20"/>
  <c r="H46" i="20"/>
  <c r="H47" i="20"/>
  <c r="H48" i="20"/>
  <c r="H49" i="20"/>
  <c r="H50" i="20"/>
  <c r="F51" i="20"/>
  <c r="G51" i="20"/>
  <c r="H56" i="20"/>
  <c r="H57" i="20"/>
  <c r="F72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F71" i="20"/>
  <c r="G71" i="20"/>
  <c r="H76" i="20"/>
  <c r="H78" i="20"/>
  <c r="H82" i="20"/>
  <c r="H83" i="20"/>
  <c r="H77" i="20"/>
  <c r="H79" i="20"/>
  <c r="H80" i="20"/>
  <c r="H81" i="20"/>
  <c r="H84" i="20"/>
  <c r="H86" i="20"/>
  <c r="H85" i="20"/>
  <c r="H91" i="20"/>
  <c r="H87" i="20"/>
  <c r="H94" i="20"/>
  <c r="H95" i="20"/>
  <c r="F96" i="20"/>
  <c r="G96" i="20"/>
  <c r="F97" i="20"/>
  <c r="H105" i="20"/>
  <c r="H106" i="20"/>
  <c r="H107" i="20"/>
  <c r="H108" i="20"/>
  <c r="H101" i="20"/>
  <c r="H102" i="20"/>
  <c r="H103" i="20"/>
  <c r="H104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F135" i="20"/>
  <c r="H148" i="20"/>
  <c r="H149" i="20"/>
  <c r="H150" i="20"/>
  <c r="H151" i="20"/>
  <c r="H152" i="20"/>
  <c r="H159" i="20"/>
  <c r="F160" i="20"/>
  <c r="G160" i="20"/>
  <c r="F161" i="20"/>
  <c r="H93" i="19"/>
  <c r="H133" i="17"/>
  <c r="H132" i="17"/>
  <c r="H131" i="17"/>
  <c r="N21" i="15"/>
  <c r="M21" i="15"/>
  <c r="L21" i="15"/>
  <c r="K21" i="15"/>
  <c r="J21" i="15"/>
  <c r="N31" i="1"/>
  <c r="M31" i="1"/>
  <c r="L31" i="1"/>
  <c r="K31" i="1"/>
  <c r="J31" i="1"/>
  <c r="N30" i="24"/>
  <c r="M30" i="24"/>
  <c r="L30" i="24"/>
  <c r="K30" i="24"/>
  <c r="J30" i="24"/>
  <c r="N34" i="22"/>
  <c r="M34" i="22"/>
  <c r="L34" i="22"/>
  <c r="K34" i="22"/>
  <c r="J34" i="22"/>
  <c r="O17" i="21"/>
  <c r="M17" i="21"/>
  <c r="L17" i="21"/>
  <c r="K17" i="21"/>
  <c r="J17" i="21"/>
  <c r="O32" i="20"/>
  <c r="M32" i="20"/>
  <c r="L32" i="20"/>
  <c r="K32" i="20"/>
  <c r="J32" i="20"/>
  <c r="N33" i="19"/>
  <c r="M33" i="19"/>
  <c r="L33" i="19"/>
  <c r="K33" i="19"/>
  <c r="J33" i="19"/>
  <c r="N20" i="18"/>
  <c r="M20" i="18"/>
  <c r="L20" i="18"/>
  <c r="K20" i="18"/>
  <c r="J20" i="18"/>
  <c r="N27" i="17"/>
  <c r="M27" i="17"/>
  <c r="L27" i="17"/>
  <c r="K27" i="17"/>
  <c r="J27" i="17"/>
  <c r="N24" i="16"/>
  <c r="M24" i="16"/>
  <c r="L24" i="16"/>
  <c r="K24" i="16"/>
  <c r="F22" i="15"/>
  <c r="F52" i="15"/>
  <c r="F135" i="15"/>
  <c r="F116" i="15"/>
  <c r="F73" i="15"/>
  <c r="F180" i="24"/>
  <c r="F155" i="24"/>
  <c r="F66" i="24"/>
  <c r="F31" i="24"/>
  <c r="F194" i="23"/>
  <c r="F170" i="23"/>
  <c r="F100" i="23"/>
  <c r="F68" i="23"/>
  <c r="F27" i="23"/>
  <c r="F209" i="22"/>
  <c r="F181" i="22"/>
  <c r="F123" i="22"/>
  <c r="F90" i="22"/>
  <c r="F35" i="22"/>
  <c r="F196" i="21"/>
  <c r="F169" i="21"/>
  <c r="F94" i="21"/>
  <c r="F53" i="21"/>
  <c r="F18" i="21"/>
  <c r="F185" i="19"/>
  <c r="F155" i="19"/>
  <c r="F105" i="19"/>
  <c r="F74" i="19"/>
  <c r="F34" i="19"/>
  <c r="F173" i="18"/>
  <c r="F152" i="18"/>
  <c r="F82" i="18"/>
  <c r="F56" i="18"/>
  <c r="F21" i="18"/>
  <c r="F159" i="17"/>
  <c r="F137" i="17"/>
  <c r="F91" i="17"/>
  <c r="F60" i="17"/>
  <c r="F28" i="17"/>
  <c r="F170" i="16"/>
  <c r="F148" i="16"/>
  <c r="F87" i="16"/>
  <c r="F57" i="16"/>
  <c r="F25" i="16"/>
  <c r="F144" i="14"/>
  <c r="F121" i="14"/>
  <c r="F79" i="14"/>
  <c r="F54" i="14"/>
  <c r="F16" i="14"/>
  <c r="G179" i="24"/>
  <c r="F179" i="24"/>
  <c r="H178" i="24"/>
  <c r="H177" i="24"/>
  <c r="H176" i="24"/>
  <c r="H175" i="24"/>
  <c r="H174" i="24"/>
  <c r="H173" i="24"/>
  <c r="H172" i="24"/>
  <c r="H171" i="24"/>
  <c r="H170" i="24"/>
  <c r="F154" i="24"/>
  <c r="H153" i="24"/>
  <c r="H136" i="24"/>
  <c r="H135" i="24"/>
  <c r="H134" i="24"/>
  <c r="H133" i="24"/>
  <c r="H132" i="24"/>
  <c r="H131" i="24"/>
  <c r="H130" i="24"/>
  <c r="H129" i="24"/>
  <c r="H128" i="24"/>
  <c r="H127" i="24"/>
  <c r="H126" i="24"/>
  <c r="H125" i="24"/>
  <c r="H124" i="24"/>
  <c r="H123" i="24"/>
  <c r="H122" i="24"/>
  <c r="H121" i="24"/>
  <c r="H120" i="24"/>
  <c r="H119" i="24"/>
  <c r="H118" i="24"/>
  <c r="H117" i="24"/>
  <c r="H116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3" i="24"/>
  <c r="H102" i="24"/>
  <c r="H101" i="24"/>
  <c r="G96" i="24"/>
  <c r="F96" i="24"/>
  <c r="H9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G65" i="24"/>
  <c r="F65" i="24"/>
  <c r="H64" i="24"/>
  <c r="H63" i="24"/>
  <c r="H62" i="24"/>
  <c r="H61" i="24"/>
  <c r="H60" i="24"/>
  <c r="H59" i="24"/>
  <c r="H58" i="24"/>
  <c r="H57" i="24"/>
  <c r="G52" i="24"/>
  <c r="F52" i="24"/>
  <c r="H51" i="24"/>
  <c r="H50" i="24"/>
  <c r="H49" i="24"/>
  <c r="H48" i="24"/>
  <c r="H42" i="24"/>
  <c r="H41" i="24"/>
  <c r="H40" i="24"/>
  <c r="H39" i="24"/>
  <c r="H38" i="24"/>
  <c r="H37" i="24"/>
  <c r="H36" i="24"/>
  <c r="H35" i="24"/>
  <c r="G30" i="24"/>
  <c r="F30" i="24"/>
  <c r="H29" i="24"/>
  <c r="H18" i="24"/>
  <c r="H17" i="24"/>
  <c r="H16" i="24"/>
  <c r="H15" i="24"/>
  <c r="H14" i="24"/>
  <c r="H12" i="24"/>
  <c r="H13" i="24"/>
  <c r="H185" i="24" s="1"/>
  <c r="H10" i="24"/>
  <c r="H11" i="24"/>
  <c r="H9" i="24"/>
  <c r="H8" i="24"/>
  <c r="H7" i="24"/>
  <c r="H5" i="24"/>
  <c r="H4" i="24"/>
  <c r="H6" i="24"/>
  <c r="H3" i="24"/>
  <c r="G193" i="23"/>
  <c r="F193" i="23"/>
  <c r="H192" i="23"/>
  <c r="H191" i="23"/>
  <c r="H190" i="23"/>
  <c r="H189" i="23"/>
  <c r="H188" i="23"/>
  <c r="H187" i="23"/>
  <c r="H186" i="23"/>
  <c r="H185" i="23"/>
  <c r="F169" i="23"/>
  <c r="H168" i="23"/>
  <c r="H143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G99" i="23"/>
  <c r="F99" i="23"/>
  <c r="H98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G67" i="23"/>
  <c r="F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G50" i="23"/>
  <c r="F50" i="23"/>
  <c r="H49" i="23"/>
  <c r="H48" i="23"/>
  <c r="H47" i="23"/>
  <c r="H46" i="23"/>
  <c r="H45" i="23"/>
  <c r="H44" i="23"/>
  <c r="H38" i="23"/>
  <c r="H37" i="23"/>
  <c r="H36" i="23"/>
  <c r="H35" i="23"/>
  <c r="H34" i="23"/>
  <c r="H33" i="23"/>
  <c r="H32" i="23"/>
  <c r="H31" i="23"/>
  <c r="G26" i="23"/>
  <c r="F26" i="23"/>
  <c r="H25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G208" i="22"/>
  <c r="F208" i="22"/>
  <c r="H207" i="22"/>
  <c r="H206" i="22"/>
  <c r="H205" i="22"/>
  <c r="H204" i="22"/>
  <c r="H203" i="22"/>
  <c r="H202" i="22"/>
  <c r="H201" i="22"/>
  <c r="H200" i="22"/>
  <c r="H199" i="22"/>
  <c r="H198" i="22"/>
  <c r="H197" i="22"/>
  <c r="F180" i="22"/>
  <c r="H179" i="22"/>
  <c r="H178" i="22"/>
  <c r="H166" i="22"/>
  <c r="H165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G122" i="22"/>
  <c r="F122" i="22"/>
  <c r="H121" i="22"/>
  <c r="H120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G89" i="22"/>
  <c r="F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G64" i="22"/>
  <c r="F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46" i="22"/>
  <c r="H45" i="22"/>
  <c r="H44" i="22"/>
  <c r="H43" i="22"/>
  <c r="H42" i="22"/>
  <c r="H41" i="22"/>
  <c r="H40" i="22"/>
  <c r="H47" i="22" s="1"/>
  <c r="H39" i="22"/>
  <c r="G34" i="22"/>
  <c r="F34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G195" i="21"/>
  <c r="F195" i="21"/>
  <c r="H194" i="21"/>
  <c r="H193" i="21"/>
  <c r="H192" i="21"/>
  <c r="H191" i="21"/>
  <c r="H190" i="21"/>
  <c r="H189" i="21"/>
  <c r="H188" i="21"/>
  <c r="H187" i="21"/>
  <c r="H186" i="21"/>
  <c r="H184" i="21"/>
  <c r="F168" i="21"/>
  <c r="H16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G93" i="21"/>
  <c r="F93" i="21"/>
  <c r="H92" i="21"/>
  <c r="H75" i="21"/>
  <c r="H67" i="21"/>
  <c r="H66" i="21"/>
  <c r="H65" i="21"/>
  <c r="H64" i="21"/>
  <c r="H63" i="21"/>
  <c r="H62" i="21"/>
  <c r="H61" i="21"/>
  <c r="H60" i="21"/>
  <c r="H59" i="21"/>
  <c r="H58" i="21"/>
  <c r="H57" i="21"/>
  <c r="G52" i="21"/>
  <c r="F52" i="21"/>
  <c r="H51" i="21"/>
  <c r="H50" i="21"/>
  <c r="H44" i="21"/>
  <c r="H43" i="21"/>
  <c r="H42" i="21"/>
  <c r="H41" i="21"/>
  <c r="H40" i="21"/>
  <c r="H39" i="21"/>
  <c r="G34" i="21"/>
  <c r="F34" i="21"/>
  <c r="H33" i="21"/>
  <c r="H32" i="21"/>
  <c r="H31" i="21"/>
  <c r="H30" i="21"/>
  <c r="H24" i="21"/>
  <c r="H23" i="21"/>
  <c r="H22" i="21"/>
  <c r="G17" i="21"/>
  <c r="F17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G184" i="19"/>
  <c r="F184" i="19"/>
  <c r="H176" i="19"/>
  <c r="H169" i="19"/>
  <c r="H171" i="19"/>
  <c r="H170" i="19"/>
  <c r="F154" i="19"/>
  <c r="H153" i="19"/>
  <c r="H143" i="19"/>
  <c r="H142" i="19"/>
  <c r="H141" i="19"/>
  <c r="H139" i="19"/>
  <c r="H150" i="19"/>
  <c r="H138" i="19"/>
  <c r="H137" i="19"/>
  <c r="H136" i="19"/>
  <c r="H135" i="19"/>
  <c r="H134" i="19"/>
  <c r="H133" i="19"/>
  <c r="H132" i="19"/>
  <c r="H131" i="19"/>
  <c r="H128" i="19"/>
  <c r="H127" i="19"/>
  <c r="H126" i="19"/>
  <c r="H125" i="19"/>
  <c r="H140" i="19"/>
  <c r="H130" i="19"/>
  <c r="H129" i="19"/>
  <c r="H124" i="19"/>
  <c r="H123" i="19"/>
  <c r="H122" i="19"/>
  <c r="H121" i="19"/>
  <c r="H120" i="19"/>
  <c r="H119" i="19"/>
  <c r="H118" i="19"/>
  <c r="H116" i="19"/>
  <c r="H115" i="19"/>
  <c r="H114" i="19"/>
  <c r="H113" i="19"/>
  <c r="H117" i="19"/>
  <c r="H112" i="19"/>
  <c r="H111" i="19"/>
  <c r="H110" i="19"/>
  <c r="H109" i="19"/>
  <c r="G104" i="19"/>
  <c r="F104" i="19"/>
  <c r="H103" i="19"/>
  <c r="H92" i="19"/>
  <c r="H89" i="19"/>
  <c r="H91" i="19"/>
  <c r="H88" i="19"/>
  <c r="H87" i="19"/>
  <c r="H90" i="19"/>
  <c r="H86" i="19"/>
  <c r="H85" i="19"/>
  <c r="H84" i="19"/>
  <c r="H83" i="19"/>
  <c r="H82" i="19"/>
  <c r="H81" i="19"/>
  <c r="H78" i="19"/>
  <c r="H80" i="19"/>
  <c r="H79" i="19"/>
  <c r="G73" i="19"/>
  <c r="F73" i="19"/>
  <c r="H72" i="19"/>
  <c r="H71" i="19"/>
  <c r="H70" i="19"/>
  <c r="H69" i="19"/>
  <c r="H68" i="19"/>
  <c r="H67" i="19"/>
  <c r="H66" i="19"/>
  <c r="H65" i="19"/>
  <c r="H63" i="19"/>
  <c r="H64" i="19"/>
  <c r="G58" i="19"/>
  <c r="F58" i="19"/>
  <c r="H57" i="19"/>
  <c r="H56" i="19"/>
  <c r="H55" i="19"/>
  <c r="H54" i="19"/>
  <c r="H53" i="19"/>
  <c r="H52" i="19"/>
  <c r="H51" i="19"/>
  <c r="H45" i="19"/>
  <c r="H44" i="19"/>
  <c r="H43" i="19"/>
  <c r="H42" i="19"/>
  <c r="H41" i="19"/>
  <c r="H40" i="19"/>
  <c r="H39" i="19"/>
  <c r="H38" i="19"/>
  <c r="G33" i="19"/>
  <c r="F33" i="19"/>
  <c r="H32" i="19"/>
  <c r="H7" i="19"/>
  <c r="H6" i="19"/>
  <c r="H3" i="19"/>
  <c r="H5" i="19"/>
  <c r="H4" i="19"/>
  <c r="H8" i="19"/>
  <c r="G172" i="18"/>
  <c r="F172" i="18"/>
  <c r="H171" i="18"/>
  <c r="H170" i="18"/>
  <c r="H169" i="18"/>
  <c r="H168" i="18"/>
  <c r="H167" i="18"/>
  <c r="H166" i="18"/>
  <c r="F151" i="18"/>
  <c r="H150" i="18"/>
  <c r="H119" i="18"/>
  <c r="H115" i="18"/>
  <c r="H118" i="18"/>
  <c r="H117" i="18"/>
  <c r="H116" i="18"/>
  <c r="H114" i="18"/>
  <c r="H112" i="18"/>
  <c r="H111" i="18"/>
  <c r="H113" i="18"/>
  <c r="H110" i="18"/>
  <c r="H109" i="18"/>
  <c r="H104" i="18"/>
  <c r="H103" i="18"/>
  <c r="H107" i="18"/>
  <c r="H106" i="18"/>
  <c r="H102" i="18"/>
  <c r="H98" i="18"/>
  <c r="H95" i="18"/>
  <c r="H96" i="18"/>
  <c r="H94" i="18"/>
  <c r="H93" i="18"/>
  <c r="H92" i="18"/>
  <c r="H91" i="18"/>
  <c r="H90" i="18"/>
  <c r="H89" i="18"/>
  <c r="H88" i="18"/>
  <c r="H87" i="18"/>
  <c r="H86" i="18"/>
  <c r="G81" i="18"/>
  <c r="F81" i="18"/>
  <c r="H80" i="18"/>
  <c r="H79" i="18"/>
  <c r="H73" i="18"/>
  <c r="H70" i="18"/>
  <c r="H71" i="18"/>
  <c r="H69" i="18"/>
  <c r="H68" i="18"/>
  <c r="H67" i="18"/>
  <c r="H66" i="18"/>
  <c r="H65" i="18"/>
  <c r="H64" i="18"/>
  <c r="H63" i="18"/>
  <c r="H62" i="18"/>
  <c r="H61" i="18"/>
  <c r="H60" i="18"/>
  <c r="H72" i="18"/>
  <c r="G55" i="18"/>
  <c r="F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G38" i="18"/>
  <c r="F38" i="18"/>
  <c r="H37" i="18"/>
  <c r="H36" i="18"/>
  <c r="H35" i="18"/>
  <c r="H34" i="18"/>
  <c r="H28" i="18"/>
  <c r="H27" i="18"/>
  <c r="H26" i="18"/>
  <c r="H25" i="18"/>
  <c r="G20" i="18"/>
  <c r="F20" i="18"/>
  <c r="H19" i="18"/>
  <c r="H16" i="18"/>
  <c r="H15" i="18"/>
  <c r="H8" i="18"/>
  <c r="H10" i="18"/>
  <c r="H14" i="18"/>
  <c r="H12" i="18"/>
  <c r="H179" i="18" s="1"/>
  <c r="H11" i="18"/>
  <c r="H9" i="18"/>
  <c r="H7" i="18"/>
  <c r="H6" i="18"/>
  <c r="H5" i="18"/>
  <c r="H4" i="18"/>
  <c r="H3" i="18"/>
  <c r="G158" i="17"/>
  <c r="F158" i="17"/>
  <c r="H157" i="17"/>
  <c r="H156" i="17"/>
  <c r="H155" i="17"/>
  <c r="H154" i="17"/>
  <c r="H153" i="17"/>
  <c r="H152" i="17"/>
  <c r="H151" i="17"/>
  <c r="H150" i="17"/>
  <c r="F136" i="17"/>
  <c r="H135" i="17"/>
  <c r="H130" i="17"/>
  <c r="H129" i="17"/>
  <c r="H128" i="17"/>
  <c r="H127" i="17"/>
  <c r="H126" i="17"/>
  <c r="H125" i="17"/>
  <c r="H124" i="17"/>
  <c r="H123" i="17"/>
  <c r="H122" i="17"/>
  <c r="H121" i="17"/>
  <c r="H120" i="17"/>
  <c r="H119" i="17"/>
  <c r="H118" i="17"/>
  <c r="H117" i="17"/>
  <c r="H116" i="17"/>
  <c r="H115" i="17"/>
  <c r="H114" i="17"/>
  <c r="H113" i="17"/>
  <c r="H112" i="17"/>
  <c r="H111" i="17"/>
  <c r="H110" i="17"/>
  <c r="H109" i="17"/>
  <c r="H108" i="17"/>
  <c r="H107" i="17"/>
  <c r="H106" i="17"/>
  <c r="H105" i="17"/>
  <c r="H104" i="17"/>
  <c r="H103" i="17"/>
  <c r="H102" i="17"/>
  <c r="H101" i="17"/>
  <c r="H100" i="17"/>
  <c r="H99" i="17"/>
  <c r="H98" i="17"/>
  <c r="H97" i="17"/>
  <c r="H96" i="17"/>
  <c r="H95" i="17"/>
  <c r="G90" i="17"/>
  <c r="F90" i="17"/>
  <c r="H89" i="17"/>
  <c r="H78" i="17"/>
  <c r="H77" i="17"/>
  <c r="H76" i="17"/>
  <c r="H75" i="17"/>
  <c r="H74" i="17"/>
  <c r="H73" i="17"/>
  <c r="H72" i="17"/>
  <c r="H71" i="17"/>
  <c r="H70" i="17"/>
  <c r="H68" i="17"/>
  <c r="H67" i="17"/>
  <c r="H66" i="17"/>
  <c r="H65" i="17"/>
  <c r="H64" i="17"/>
  <c r="H161" i="17" s="1"/>
  <c r="G59" i="17"/>
  <c r="F59" i="17"/>
  <c r="H58" i="17"/>
  <c r="H56" i="17"/>
  <c r="H55" i="17"/>
  <c r="H54" i="17"/>
  <c r="H53" i="17"/>
  <c r="H52" i="17"/>
  <c r="H51" i="17"/>
  <c r="H50" i="17"/>
  <c r="H49" i="17"/>
  <c r="G44" i="17"/>
  <c r="F44" i="17"/>
  <c r="H43" i="17"/>
  <c r="H42" i="17"/>
  <c r="H41" i="17"/>
  <c r="H165" i="17" s="1"/>
  <c r="H40" i="17"/>
  <c r="H34" i="17"/>
  <c r="H33" i="17"/>
  <c r="H32" i="17"/>
  <c r="G27" i="17"/>
  <c r="F27" i="17"/>
  <c r="H26" i="17"/>
  <c r="H16" i="17"/>
  <c r="H15" i="17"/>
  <c r="H14" i="17"/>
  <c r="H13" i="17"/>
  <c r="H12" i="17"/>
  <c r="H11" i="17"/>
  <c r="H7" i="17"/>
  <c r="H10" i="17"/>
  <c r="H9" i="17"/>
  <c r="H8" i="17"/>
  <c r="H6" i="17"/>
  <c r="H5" i="17"/>
  <c r="H3" i="17"/>
  <c r="H4" i="17"/>
  <c r="G169" i="16"/>
  <c r="F169" i="16"/>
  <c r="H168" i="16"/>
  <c r="H167" i="16"/>
  <c r="H166" i="16"/>
  <c r="H165" i="16"/>
  <c r="H164" i="16"/>
  <c r="H163" i="16"/>
  <c r="H162" i="16"/>
  <c r="H161" i="16"/>
  <c r="F147" i="16"/>
  <c r="H146" i="16"/>
  <c r="H142" i="16"/>
  <c r="H125" i="16"/>
  <c r="H124" i="16"/>
  <c r="H130" i="16"/>
  <c r="H120" i="16"/>
  <c r="H122" i="16"/>
  <c r="H121" i="16"/>
  <c r="H119" i="16"/>
  <c r="H118" i="16"/>
  <c r="H117" i="16"/>
  <c r="H123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14" i="16"/>
  <c r="H116" i="16"/>
  <c r="H115" i="16"/>
  <c r="H98" i="16"/>
  <c r="H97" i="16"/>
  <c r="H96" i="16"/>
  <c r="H95" i="16"/>
  <c r="H94" i="16"/>
  <c r="H100" i="16"/>
  <c r="H99" i="16"/>
  <c r="H93" i="16"/>
  <c r="H92" i="16"/>
  <c r="H91" i="16"/>
  <c r="H101" i="16"/>
  <c r="G86" i="16"/>
  <c r="F86" i="16"/>
  <c r="H85" i="16"/>
  <c r="H81" i="16"/>
  <c r="H74" i="16"/>
  <c r="H73" i="16"/>
  <c r="H72" i="16"/>
  <c r="H71" i="16"/>
  <c r="H70" i="16"/>
  <c r="H69" i="16"/>
  <c r="H68" i="16"/>
  <c r="H67" i="16"/>
  <c r="H66" i="16"/>
  <c r="H65" i="16"/>
  <c r="H62" i="16"/>
  <c r="H64" i="16"/>
  <c r="H63" i="16"/>
  <c r="H61" i="16"/>
  <c r="G56" i="16"/>
  <c r="F56" i="16"/>
  <c r="H55" i="16"/>
  <c r="H54" i="16"/>
  <c r="H53" i="16"/>
  <c r="H52" i="16"/>
  <c r="H50" i="16"/>
  <c r="H51" i="16"/>
  <c r="H49" i="16"/>
  <c r="H48" i="16"/>
  <c r="H47" i="16"/>
  <c r="H46" i="16"/>
  <c r="H45" i="16"/>
  <c r="G40" i="16"/>
  <c r="F40" i="16"/>
  <c r="H39" i="16"/>
  <c r="H38" i="16"/>
  <c r="H37" i="16"/>
  <c r="H31" i="16"/>
  <c r="H30" i="16"/>
  <c r="H29" i="16"/>
  <c r="J24" i="16"/>
  <c r="G24" i="16"/>
  <c r="F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0" i="16"/>
  <c r="H9" i="16"/>
  <c r="H8" i="16"/>
  <c r="H7" i="16"/>
  <c r="H6" i="16"/>
  <c r="H11" i="16"/>
  <c r="H5" i="16"/>
  <c r="H4" i="16"/>
  <c r="H3" i="16"/>
  <c r="G134" i="15"/>
  <c r="F134" i="15"/>
  <c r="H133" i="15"/>
  <c r="H132" i="15"/>
  <c r="H131" i="15"/>
  <c r="H130" i="15"/>
  <c r="H129" i="15"/>
  <c r="F115" i="15"/>
  <c r="H114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G72" i="15"/>
  <c r="F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G51" i="15"/>
  <c r="F51" i="15"/>
  <c r="H50" i="15"/>
  <c r="H49" i="15"/>
  <c r="H48" i="15"/>
  <c r="H47" i="15"/>
  <c r="H46" i="15"/>
  <c r="H45" i="15"/>
  <c r="H44" i="15"/>
  <c r="H43" i="15"/>
  <c r="H42" i="15"/>
  <c r="H41" i="15"/>
  <c r="G36" i="15"/>
  <c r="F36" i="15"/>
  <c r="H35" i="15"/>
  <c r="H34" i="15"/>
  <c r="H33" i="15"/>
  <c r="H27" i="15"/>
  <c r="H26" i="15"/>
  <c r="G21" i="15"/>
  <c r="F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138" i="15" s="1"/>
  <c r="H4" i="15"/>
  <c r="H3" i="15"/>
  <c r="G143" i="14"/>
  <c r="F143" i="14"/>
  <c r="H142" i="14"/>
  <c r="H135" i="14"/>
  <c r="H134" i="14"/>
  <c r="F120" i="14"/>
  <c r="H119" i="14"/>
  <c r="H114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61" i="14"/>
  <c r="H60" i="14"/>
  <c r="H59" i="14"/>
  <c r="H58" i="14"/>
  <c r="G53" i="14"/>
  <c r="H44" i="14"/>
  <c r="H41" i="14"/>
  <c r="H40" i="14"/>
  <c r="H39" i="14"/>
  <c r="H38" i="14"/>
  <c r="G33" i="14"/>
  <c r="F33" i="14"/>
  <c r="H32" i="14"/>
  <c r="H31" i="14"/>
  <c r="H30" i="14"/>
  <c r="H29" i="14"/>
  <c r="H23" i="14"/>
  <c r="H22" i="14"/>
  <c r="H21" i="14"/>
  <c r="H20" i="14"/>
  <c r="G15" i="14"/>
  <c r="F15" i="14"/>
  <c r="H14" i="14"/>
  <c r="H10" i="14"/>
  <c r="H9" i="14"/>
  <c r="H149" i="14" s="1"/>
  <c r="H8" i="14"/>
  <c r="H7" i="14"/>
  <c r="H6" i="14"/>
  <c r="H5" i="14"/>
  <c r="H147" i="14" s="1"/>
  <c r="H4" i="14"/>
  <c r="H3" i="14"/>
  <c r="H146" i="14" s="1"/>
  <c r="H151" i="1"/>
  <c r="H150" i="1"/>
  <c r="H149" i="1"/>
  <c r="H148" i="1"/>
  <c r="H153" i="1"/>
  <c r="H152" i="1"/>
  <c r="H147" i="1"/>
  <c r="H146" i="1"/>
  <c r="H145" i="1"/>
  <c r="H144" i="1"/>
  <c r="H154" i="1"/>
  <c r="H143" i="1"/>
  <c r="H142" i="1"/>
  <c r="H139" i="1"/>
  <c r="H138" i="1"/>
  <c r="H137" i="1"/>
  <c r="H136" i="1"/>
  <c r="H135" i="1"/>
  <c r="H134" i="1"/>
  <c r="H133" i="1"/>
  <c r="F178" i="1"/>
  <c r="F161" i="1"/>
  <c r="F115" i="1"/>
  <c r="F87" i="1"/>
  <c r="F32" i="1"/>
  <c r="L27" i="13"/>
  <c r="I27" i="13"/>
  <c r="F27" i="13"/>
  <c r="O12" i="13"/>
  <c r="O11" i="13"/>
  <c r="O10" i="13"/>
  <c r="O9" i="13"/>
  <c r="H173" i="1"/>
  <c r="H172" i="1"/>
  <c r="G177" i="1"/>
  <c r="F177" i="1"/>
  <c r="H176" i="1"/>
  <c r="H174" i="1"/>
  <c r="H171" i="1"/>
  <c r="H170" i="1"/>
  <c r="H169" i="1"/>
  <c r="H168" i="1"/>
  <c r="H167" i="1"/>
  <c r="H166" i="1"/>
  <c r="H165" i="1"/>
  <c r="F160" i="1"/>
  <c r="H159" i="1"/>
  <c r="H158" i="1"/>
  <c r="H141" i="1"/>
  <c r="H140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G114" i="1"/>
  <c r="F114" i="1"/>
  <c r="H113" i="1"/>
  <c r="H112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G86" i="1"/>
  <c r="F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G61" i="1"/>
  <c r="F61" i="1"/>
  <c r="H60" i="1"/>
  <c r="H59" i="1"/>
  <c r="H58" i="1"/>
  <c r="H57" i="1"/>
  <c r="H56" i="1"/>
  <c r="H55" i="1"/>
  <c r="H54" i="1"/>
  <c r="H53" i="1"/>
  <c r="H52" i="1"/>
  <c r="H51" i="1"/>
  <c r="H50" i="1"/>
  <c r="H49" i="1"/>
  <c r="H43" i="1"/>
  <c r="H42" i="1"/>
  <c r="H41" i="1"/>
  <c r="H40" i="1"/>
  <c r="H39" i="1"/>
  <c r="H38" i="1"/>
  <c r="H37" i="1"/>
  <c r="H36" i="1"/>
  <c r="G31" i="1"/>
  <c r="F31" i="1"/>
  <c r="H30" i="1"/>
  <c r="H29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O8" i="13"/>
  <c r="C27" i="13"/>
  <c r="H96" i="24" l="1"/>
  <c r="H183" i="24"/>
  <c r="I45" i="22"/>
  <c r="H168" i="21"/>
  <c r="H169" i="21" s="1"/>
  <c r="H178" i="18"/>
  <c r="H175" i="18"/>
  <c r="H177" i="18"/>
  <c r="H176" i="18"/>
  <c r="H162" i="17"/>
  <c r="H164" i="17"/>
  <c r="H163" i="17"/>
  <c r="H148" i="14"/>
  <c r="H32" i="16"/>
  <c r="H137" i="15"/>
  <c r="H53" i="14"/>
  <c r="H143" i="14"/>
  <c r="H15" i="14"/>
  <c r="H78" i="14"/>
  <c r="C19" i="13" s="1"/>
  <c r="H120" i="14"/>
  <c r="H121" i="14" s="1"/>
  <c r="H215" i="22"/>
  <c r="H212" i="22"/>
  <c r="H213" i="22"/>
  <c r="H214" i="22"/>
  <c r="H211" i="22"/>
  <c r="H182" i="24"/>
  <c r="H184" i="24"/>
  <c r="H44" i="1"/>
  <c r="H196" i="23"/>
  <c r="H199" i="23"/>
  <c r="H39" i="23"/>
  <c r="H197" i="23"/>
  <c r="H200" i="23"/>
  <c r="H198" i="23"/>
  <c r="H67" i="23"/>
  <c r="L18" i="13" s="1"/>
  <c r="H26" i="23"/>
  <c r="L17" i="13" s="1"/>
  <c r="H99" i="23"/>
  <c r="H100" i="23" s="1"/>
  <c r="H169" i="23"/>
  <c r="H170" i="23" s="1"/>
  <c r="H122" i="22"/>
  <c r="K19" i="13" s="1"/>
  <c r="H89" i="22"/>
  <c r="K18" i="13" s="1"/>
  <c r="H180" i="22"/>
  <c r="I207" i="22" s="1"/>
  <c r="H25" i="21"/>
  <c r="H34" i="21"/>
  <c r="H17" i="21"/>
  <c r="J17" i="13" s="1"/>
  <c r="H46" i="19"/>
  <c r="H58" i="19"/>
  <c r="H104" i="19"/>
  <c r="H105" i="19" s="1"/>
  <c r="H154" i="19"/>
  <c r="H20" i="18"/>
  <c r="H55" i="18"/>
  <c r="G18" i="13" s="1"/>
  <c r="H35" i="17"/>
  <c r="H172" i="18"/>
  <c r="H44" i="17"/>
  <c r="H27" i="17"/>
  <c r="H90" i="17"/>
  <c r="F19" i="13" s="1"/>
  <c r="H59" i="17"/>
  <c r="F18" i="13" s="1"/>
  <c r="H40" i="16"/>
  <c r="E22" i="13" s="1"/>
  <c r="H56" i="16"/>
  <c r="H169" i="16"/>
  <c r="H139" i="15"/>
  <c r="H36" i="15"/>
  <c r="H24" i="14"/>
  <c r="H28" i="15"/>
  <c r="H51" i="15"/>
  <c r="H52" i="15" s="1"/>
  <c r="O27" i="13"/>
  <c r="H193" i="23"/>
  <c r="H50" i="23"/>
  <c r="L22" i="13" s="1"/>
  <c r="H208" i="22"/>
  <c r="H195" i="21"/>
  <c r="H93" i="21"/>
  <c r="H52" i="21"/>
  <c r="H134" i="20"/>
  <c r="H135" i="20" s="1"/>
  <c r="H71" i="20"/>
  <c r="I18" i="13" s="1"/>
  <c r="H184" i="19"/>
  <c r="H185" i="19" s="1"/>
  <c r="H73" i="19"/>
  <c r="H33" i="19"/>
  <c r="H151" i="18"/>
  <c r="H81" i="18"/>
  <c r="H38" i="18"/>
  <c r="H136" i="17"/>
  <c r="H137" i="17" s="1"/>
  <c r="H86" i="16"/>
  <c r="H144" i="14"/>
  <c r="C18" i="13"/>
  <c r="H33" i="14"/>
  <c r="H134" i="15"/>
  <c r="H135" i="15" s="1"/>
  <c r="H72" i="15"/>
  <c r="H180" i="1"/>
  <c r="H184" i="1"/>
  <c r="H183" i="1"/>
  <c r="H181" i="1"/>
  <c r="H182" i="1"/>
  <c r="H61" i="1"/>
  <c r="N22" i="13" s="1"/>
  <c r="H177" i="1"/>
  <c r="H86" i="1"/>
  <c r="H114" i="1"/>
  <c r="H160" i="1"/>
  <c r="H52" i="24"/>
  <c r="M22" i="13" s="1"/>
  <c r="H65" i="24"/>
  <c r="M18" i="13" s="1"/>
  <c r="H179" i="24"/>
  <c r="H154" i="24"/>
  <c r="H43" i="24"/>
  <c r="H30" i="24"/>
  <c r="H115" i="15"/>
  <c r="O13" i="13"/>
  <c r="H21" i="15"/>
  <c r="H29" i="18"/>
  <c r="H51" i="20"/>
  <c r="H40" i="20"/>
  <c r="I22" i="13" s="1"/>
  <c r="H31" i="1"/>
  <c r="H64" i="22"/>
  <c r="K22" i="13" s="1"/>
  <c r="H34" i="22"/>
  <c r="H32" i="20"/>
  <c r="H147" i="16"/>
  <c r="H158" i="17"/>
  <c r="H160" i="20"/>
  <c r="H96" i="20"/>
  <c r="H24" i="16"/>
  <c r="H68" i="23" l="1"/>
  <c r="J22" i="13"/>
  <c r="H21" i="18"/>
  <c r="I180" i="18"/>
  <c r="H22" i="13"/>
  <c r="G22" i="13"/>
  <c r="F22" i="13"/>
  <c r="F17" i="13"/>
  <c r="I166" i="17"/>
  <c r="I150" i="14"/>
  <c r="D22" i="13"/>
  <c r="I177" i="16"/>
  <c r="D19" i="13"/>
  <c r="I141" i="15"/>
  <c r="C22" i="13"/>
  <c r="I142" i="14"/>
  <c r="H54" i="14"/>
  <c r="H173" i="18"/>
  <c r="H201" i="23"/>
  <c r="L19" i="13"/>
  <c r="H27" i="23"/>
  <c r="I201" i="23"/>
  <c r="L20" i="13"/>
  <c r="I192" i="23"/>
  <c r="H90" i="22"/>
  <c r="H123" i="22"/>
  <c r="H181" i="22"/>
  <c r="K20" i="13"/>
  <c r="I194" i="21"/>
  <c r="H18" i="21"/>
  <c r="J20" i="13"/>
  <c r="H72" i="20"/>
  <c r="I159" i="20"/>
  <c r="I20" i="13"/>
  <c r="H19" i="13"/>
  <c r="H21" i="13"/>
  <c r="H155" i="19"/>
  <c r="H20" i="13"/>
  <c r="I183" i="19"/>
  <c r="G17" i="13"/>
  <c r="G21" i="13"/>
  <c r="H56" i="18"/>
  <c r="H60" i="17"/>
  <c r="H28" i="17"/>
  <c r="H91" i="17"/>
  <c r="F20" i="13"/>
  <c r="E18" i="13"/>
  <c r="H57" i="16"/>
  <c r="E21" i="13"/>
  <c r="H170" i="16"/>
  <c r="H73" i="15"/>
  <c r="D18" i="13"/>
  <c r="D21" i="13"/>
  <c r="C21" i="13"/>
  <c r="H186" i="24"/>
  <c r="H194" i="23"/>
  <c r="L21" i="13"/>
  <c r="K21" i="13"/>
  <c r="H209" i="22"/>
  <c r="J21" i="13"/>
  <c r="H196" i="21"/>
  <c r="J19" i="13"/>
  <c r="H94" i="21"/>
  <c r="J18" i="13"/>
  <c r="H53" i="21"/>
  <c r="H203" i="21"/>
  <c r="H168" i="20"/>
  <c r="H74" i="19"/>
  <c r="H18" i="13"/>
  <c r="H34" i="19"/>
  <c r="H17" i="13"/>
  <c r="G20" i="13"/>
  <c r="I171" i="18"/>
  <c r="H152" i="18"/>
  <c r="G19" i="13"/>
  <c r="H82" i="18"/>
  <c r="H180" i="18"/>
  <c r="H166" i="17"/>
  <c r="H87" i="16"/>
  <c r="E19" i="13"/>
  <c r="H177" i="16"/>
  <c r="H79" i="14"/>
  <c r="C20" i="13"/>
  <c r="H150" i="14"/>
  <c r="H185" i="1"/>
  <c r="H115" i="1"/>
  <c r="N21" i="13"/>
  <c r="N18" i="13"/>
  <c r="H161" i="1"/>
  <c r="H178" i="1"/>
  <c r="H87" i="1"/>
  <c r="N19" i="13"/>
  <c r="N20" i="13"/>
  <c r="I176" i="1"/>
  <c r="H155" i="24"/>
  <c r="H66" i="24"/>
  <c r="M20" i="13"/>
  <c r="M19" i="13"/>
  <c r="H97" i="24"/>
  <c r="H180" i="24"/>
  <c r="M21" i="13"/>
  <c r="M17" i="13"/>
  <c r="I186" i="24"/>
  <c r="H31" i="24"/>
  <c r="H192" i="19"/>
  <c r="C17" i="13"/>
  <c r="H16" i="14"/>
  <c r="H32" i="1"/>
  <c r="N17" i="13"/>
  <c r="I185" i="1"/>
  <c r="H141" i="15"/>
  <c r="H161" i="20"/>
  <c r="I21" i="13"/>
  <c r="H35" i="22"/>
  <c r="K17" i="13"/>
  <c r="I216" i="22"/>
  <c r="E17" i="13"/>
  <c r="H25" i="16"/>
  <c r="E20" i="13"/>
  <c r="H148" i="16"/>
  <c r="H97" i="20"/>
  <c r="I19" i="13"/>
  <c r="H159" i="17"/>
  <c r="F21" i="13"/>
  <c r="H216" i="22"/>
  <c r="H22" i="15"/>
  <c r="D17" i="13"/>
  <c r="H116" i="15"/>
  <c r="D20" i="13"/>
  <c r="H33" i="20"/>
  <c r="I17" i="13"/>
  <c r="L23" i="13" l="1"/>
  <c r="K23" i="13"/>
  <c r="J23" i="13"/>
  <c r="O22" i="13"/>
  <c r="O18" i="13"/>
  <c r="H23" i="13"/>
  <c r="G23" i="13"/>
  <c r="F23" i="13"/>
  <c r="E23" i="13"/>
  <c r="I23" i="13"/>
  <c r="O21" i="13"/>
  <c r="N23" i="13"/>
  <c r="O19" i="13"/>
  <c r="O20" i="13"/>
  <c r="M23" i="13"/>
  <c r="O17" i="13"/>
  <c r="D23" i="13"/>
  <c r="I35" i="13" l="1"/>
  <c r="O35" i="13" s="1"/>
  <c r="O36" i="13" s="1"/>
  <c r="I28" i="13"/>
  <c r="F28" i="13"/>
  <c r="C28" i="13"/>
  <c r="L28" i="13"/>
  <c r="O23" i="13"/>
  <c r="O37" i="13" l="1"/>
  <c r="O28" i="13"/>
  <c r="O29" i="13" s="1"/>
  <c r="O30" i="13" l="1"/>
</calcChain>
</file>

<file path=xl/comments1.xml><?xml version="1.0" encoding="utf-8"?>
<comments xmlns="http://schemas.openxmlformats.org/spreadsheetml/2006/main">
  <authors>
    <author>Julio Brombatti</author>
    <author>Joelma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Valor NF R$ 55.936,28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Valor da NF R$ 18.243,82</t>
        </r>
      </text>
    </comment>
    <comment ref="F8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4701</t>
        </r>
      </text>
    </comment>
    <comment ref="F8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4710</t>
        </r>
      </text>
    </comment>
    <comment ref="F85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4699</t>
        </r>
      </text>
    </comment>
    <comment ref="F86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4702</t>
        </r>
      </text>
    </comment>
    <comment ref="F87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4700</t>
        </r>
      </text>
    </comment>
    <comment ref="F88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4672</t>
        </r>
      </text>
    </comment>
    <comment ref="F89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4229</t>
        </r>
      </text>
    </comment>
    <comment ref="F90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4721</t>
        </r>
      </text>
    </comment>
    <comment ref="F91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4714</t>
        </r>
      </text>
    </comment>
    <comment ref="F9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4709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4678</t>
        </r>
      </text>
    </comment>
    <comment ref="F9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4713</t>
        </r>
      </text>
    </comment>
    <comment ref="F95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4725</t>
        </r>
      </text>
    </comment>
    <comment ref="F96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4477</t>
        </r>
      </text>
    </comment>
    <comment ref="F97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4730</t>
        </r>
      </text>
    </comment>
    <comment ref="F9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4719</t>
        </r>
      </text>
    </comment>
    <comment ref="F9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4717
</t>
        </r>
      </text>
    </comment>
    <comment ref="F10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4718
</t>
        </r>
      </text>
    </comment>
    <comment ref="F10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4677
</t>
        </r>
      </text>
    </comment>
    <comment ref="F10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4733</t>
        </r>
      </text>
    </comment>
    <comment ref="F10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4498</t>
        </r>
      </text>
    </comment>
    <comment ref="F10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4744</t>
        </r>
      </text>
    </comment>
    <comment ref="F10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4743</t>
        </r>
      </text>
    </comment>
    <comment ref="F10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4745</t>
        </r>
      </text>
    </comment>
    <comment ref="F10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4755
</t>
        </r>
      </text>
    </comment>
    <comment ref="F11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4748</t>
        </r>
      </text>
    </comment>
    <comment ref="F11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4750
</t>
        </r>
      </text>
    </comment>
    <comment ref="F11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4739
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4788</t>
        </r>
      </text>
    </comment>
  </commentList>
</comments>
</file>

<file path=xl/comments10.xml><?xml version="1.0" encoding="utf-8"?>
<comments xmlns="http://schemas.openxmlformats.org/spreadsheetml/2006/main">
  <authors>
    <author>Julio Brombatti</author>
  </authors>
  <commentList>
    <comment ref="F10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6512</t>
        </r>
      </text>
    </comment>
    <comment ref="F10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6452</t>
        </r>
      </text>
    </comment>
    <comment ref="F10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6449</t>
        </r>
      </text>
    </comment>
    <comment ref="F10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6448</t>
        </r>
      </text>
    </comment>
    <comment ref="F10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6493</t>
        </r>
      </text>
    </comment>
    <comment ref="F10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6531</t>
        </r>
      </text>
    </comment>
    <comment ref="F11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6528</t>
        </r>
      </text>
    </comment>
    <comment ref="F11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6328</t>
        </r>
      </text>
    </comment>
    <comment ref="F11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6296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6506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6516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6456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6469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6474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6509</t>
        </r>
      </text>
    </comment>
    <comment ref="F12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6578</t>
        </r>
      </text>
    </comment>
    <comment ref="F12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6464</t>
        </r>
      </text>
    </comment>
    <comment ref="F12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6536</t>
        </r>
      </text>
    </comment>
    <comment ref="F12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6537</t>
        </r>
      </text>
    </comment>
    <comment ref="F12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6565</t>
        </r>
      </text>
    </comment>
    <comment ref="F12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6607</t>
        </r>
      </text>
    </comment>
    <comment ref="F12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6621</t>
        </r>
      </text>
    </comment>
    <comment ref="F12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6610</t>
        </r>
      </text>
    </comment>
    <comment ref="F12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6361</t>
        </r>
      </text>
    </comment>
    <comment ref="F12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6612</t>
        </r>
      </text>
    </comment>
    <comment ref="F13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6608</t>
        </r>
      </text>
    </comment>
    <comment ref="F13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6660</t>
        </r>
      </text>
    </comment>
    <comment ref="F13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6513</t>
        </r>
      </text>
    </comment>
    <comment ref="F13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6538</t>
        </r>
      </text>
    </comment>
    <comment ref="F13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6668</t>
        </r>
      </text>
    </comment>
    <comment ref="F13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6704</t>
        </r>
      </text>
    </comment>
    <comment ref="F13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6637</t>
        </r>
      </text>
    </comment>
    <comment ref="F13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6680</t>
        </r>
      </text>
    </comment>
    <comment ref="F13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6662</t>
        </r>
      </text>
    </comment>
    <comment ref="F13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6669</t>
        </r>
      </text>
    </comment>
    <comment ref="F14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6672</t>
        </r>
      </text>
    </comment>
    <comment ref="F14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6705</t>
        </r>
      </text>
    </comment>
    <comment ref="F14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6702</t>
        </r>
      </text>
    </comment>
  </commentList>
</comments>
</file>

<file path=xl/comments11.xml><?xml version="1.0" encoding="utf-8"?>
<comments xmlns="http://schemas.openxmlformats.org/spreadsheetml/2006/main">
  <authors>
    <author>Joelma</author>
    <author>Julio Brombatti</author>
  </authors>
  <commentList>
    <comment ref="F101" authorId="0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6723</t>
        </r>
      </text>
    </comment>
    <comment ref="F102" authorId="0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6496
</t>
        </r>
      </text>
    </comment>
    <comment ref="F103" authorId="0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6683</t>
        </r>
      </text>
    </comment>
    <comment ref="F104" authorId="0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6738</t>
        </r>
      </text>
    </comment>
    <comment ref="F105" authorId="0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6762</t>
        </r>
      </text>
    </comment>
    <comment ref="F106" authorId="1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6704</t>
        </r>
      </text>
    </comment>
    <comment ref="F107" authorId="1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6732</t>
        </r>
      </text>
    </comment>
    <comment ref="F108" authorId="1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6398</t>
        </r>
      </text>
    </comment>
    <comment ref="F109" authorId="1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6734</t>
        </r>
      </text>
    </comment>
    <comment ref="F110" authorId="1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6761</t>
        </r>
      </text>
    </comment>
    <comment ref="F111" authorId="1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6728</t>
        </r>
      </text>
    </comment>
    <comment ref="F112" authorId="1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6665</t>
        </r>
      </text>
    </comment>
    <comment ref="F113" authorId="1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6770</t>
        </r>
      </text>
    </comment>
    <comment ref="F114" authorId="1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6169</t>
        </r>
      </text>
    </comment>
    <comment ref="F115" authorId="1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6777</t>
        </r>
      </text>
    </comment>
    <comment ref="F116" authorId="1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6788</t>
        </r>
      </text>
    </comment>
    <comment ref="F117" authorId="1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6351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6800</t>
        </r>
      </text>
    </comment>
    <comment ref="F119" authorId="0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6829</t>
        </r>
      </text>
    </comment>
    <comment ref="F120" authorId="0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6805</t>
        </r>
      </text>
    </comment>
    <comment ref="F121" authorId="0">
      <text>
        <r>
          <rPr>
            <b/>
            <sz val="9"/>
            <color indexed="81"/>
            <rFont val="Tahoma"/>
            <family val="2"/>
          </rPr>
          <t>Joelma:
6807</t>
        </r>
      </text>
    </comment>
    <comment ref="F122" authorId="0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6841</t>
        </r>
      </text>
    </comment>
    <comment ref="F123" authorId="0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6828</t>
        </r>
      </text>
    </comment>
    <comment ref="F124" authorId="0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6874</t>
        </r>
      </text>
    </comment>
    <comment ref="F125" authorId="0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6856</t>
        </r>
      </text>
    </comment>
    <comment ref="F126" authorId="0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6867</t>
        </r>
      </text>
    </comment>
    <comment ref="F127" authorId="0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3100</t>
        </r>
      </text>
    </comment>
    <comment ref="F128" authorId="0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6695
</t>
        </r>
      </text>
    </comment>
    <comment ref="F129" authorId="0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6792
</t>
        </r>
      </text>
    </comment>
    <comment ref="F130" authorId="0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6816</t>
        </r>
      </text>
    </comment>
    <comment ref="F131" authorId="0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6843</t>
        </r>
      </text>
    </comment>
    <comment ref="F132" authorId="0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6468</t>
        </r>
      </text>
    </comment>
    <comment ref="F133" authorId="0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6854</t>
        </r>
      </text>
    </comment>
    <comment ref="F134" authorId="0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6876</t>
        </r>
      </text>
    </comment>
    <comment ref="F135" authorId="0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6701</t>
        </r>
      </text>
    </comment>
    <comment ref="F136" authorId="0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6851</t>
        </r>
      </text>
    </comment>
    <comment ref="F137" authorId="0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6881</t>
        </r>
      </text>
    </comment>
    <comment ref="F138" authorId="0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6875</t>
        </r>
      </text>
    </comment>
    <comment ref="F140" authorId="0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6546</t>
        </r>
      </text>
    </comment>
    <comment ref="F141" authorId="1">
      <text>
        <r>
          <rPr>
            <b/>
            <sz val="9"/>
            <color indexed="81"/>
            <rFont val="Tahoma"/>
            <charset val="1"/>
          </rPr>
          <t>Julio Brombatti:</t>
        </r>
        <r>
          <rPr>
            <sz val="9"/>
            <color indexed="81"/>
            <rFont val="Tahoma"/>
            <charset val="1"/>
          </rPr>
          <t xml:space="preserve">
OS 6880</t>
        </r>
      </text>
    </comment>
    <comment ref="F142" authorId="1">
      <text>
        <r>
          <rPr>
            <b/>
            <sz val="9"/>
            <color indexed="81"/>
            <rFont val="Tahoma"/>
            <charset val="1"/>
          </rPr>
          <t>Julio Brombatti:</t>
        </r>
        <r>
          <rPr>
            <sz val="9"/>
            <color indexed="81"/>
            <rFont val="Tahoma"/>
            <charset val="1"/>
          </rPr>
          <t xml:space="preserve">
OS 6955</t>
        </r>
      </text>
    </comment>
    <comment ref="F143" authorId="1">
      <text>
        <r>
          <rPr>
            <b/>
            <sz val="9"/>
            <color indexed="81"/>
            <rFont val="Tahoma"/>
            <charset val="1"/>
          </rPr>
          <t>Julio Brombatti:</t>
        </r>
        <r>
          <rPr>
            <sz val="9"/>
            <color indexed="81"/>
            <rFont val="Tahoma"/>
            <charset val="1"/>
          </rPr>
          <t xml:space="preserve">
OS 6877/6907</t>
        </r>
      </text>
    </comment>
  </commentList>
</comments>
</file>

<file path=xl/comments2.xml><?xml version="1.0" encoding="utf-8"?>
<comments xmlns="http://schemas.openxmlformats.org/spreadsheetml/2006/main">
  <authors>
    <author>Julio Brombatti</author>
    <author>Joelma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Valor da NF R$ 18.243,82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Valor da NF R$ 51.310,56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Valor da NF R$ 31.273,16</t>
        </r>
      </text>
    </comment>
    <comment ref="F7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4845</t>
        </r>
      </text>
    </comment>
    <comment ref="F7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4791</t>
        </r>
      </text>
    </comment>
    <comment ref="F7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4790</t>
        </r>
      </text>
    </comment>
    <comment ref="F8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4797</t>
        </r>
      </text>
    </comment>
    <comment ref="F8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4853</t>
        </r>
      </text>
    </comment>
    <comment ref="F8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4840</t>
        </r>
      </text>
    </comment>
    <comment ref="F8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4846</t>
        </r>
      </text>
    </comment>
    <comment ref="F8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4833</t>
        </r>
      </text>
    </comment>
    <comment ref="F8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4746</t>
        </r>
      </text>
    </comment>
    <comment ref="F8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4741</t>
        </r>
      </text>
    </comment>
    <comment ref="F8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4734</t>
        </r>
      </text>
    </comment>
    <comment ref="F8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4751</t>
        </r>
      </text>
    </comment>
    <comment ref="F9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4904</t>
        </r>
      </text>
    </comment>
    <comment ref="F9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4809</t>
        </r>
      </text>
    </comment>
    <comment ref="F92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4589
</t>
        </r>
      </text>
    </comment>
    <comment ref="F93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4887</t>
        </r>
      </text>
    </comment>
    <comment ref="F94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4907
</t>
        </r>
      </text>
    </comment>
    <comment ref="F9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4812</t>
        </r>
      </text>
    </comment>
    <comment ref="F9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3997</t>
        </r>
      </text>
    </comment>
    <comment ref="F9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4786</t>
        </r>
      </text>
    </comment>
    <comment ref="F9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4792</t>
        </r>
      </text>
    </comment>
    <comment ref="F9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4916</t>
        </r>
      </text>
    </comment>
    <comment ref="F10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4838</t>
        </r>
      </text>
    </comment>
    <comment ref="F10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4932</t>
        </r>
      </text>
    </comment>
    <comment ref="F10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4834</t>
        </r>
      </text>
    </comment>
    <comment ref="F10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4937</t>
        </r>
      </text>
    </comment>
    <comment ref="F10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4364</t>
        </r>
      </text>
    </comment>
    <comment ref="F10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4943</t>
        </r>
      </text>
    </comment>
    <comment ref="F10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4898</t>
        </r>
      </text>
    </comment>
    <comment ref="F10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4893</t>
        </r>
      </text>
    </comment>
    <comment ref="F10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4884</t>
        </r>
      </text>
    </comment>
    <comment ref="F10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4888</t>
        </r>
      </text>
    </comment>
    <comment ref="F11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4831</t>
        </r>
      </text>
    </comment>
    <comment ref="F11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4899</t>
        </r>
      </text>
    </comment>
    <comment ref="F11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4908</t>
        </r>
      </text>
    </comment>
  </commentList>
</comments>
</file>

<file path=xl/comments3.xml><?xml version="1.0" encoding="utf-8"?>
<comments xmlns="http://schemas.openxmlformats.org/spreadsheetml/2006/main">
  <authors>
    <author>Julio Brombatti</author>
    <author>Joelma</author>
  </authors>
  <commentList>
    <comment ref="F1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Valor da NF R$ 20.252,00</t>
        </r>
      </text>
    </comment>
    <comment ref="F91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4798</t>
        </r>
      </text>
    </comment>
    <comment ref="F9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4942</t>
        </r>
      </text>
    </comment>
    <comment ref="F9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4811</t>
        </r>
      </text>
    </comment>
    <comment ref="F9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4999</t>
        </r>
      </text>
    </comment>
    <comment ref="F9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4998</t>
        </r>
      </text>
    </comment>
    <comment ref="F9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5001</t>
        </r>
      </text>
    </comment>
    <comment ref="F9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4958</t>
        </r>
      </text>
    </comment>
    <comment ref="F10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4931</t>
        </r>
      </text>
    </comment>
    <comment ref="F10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4917</t>
        </r>
      </text>
    </comment>
    <comment ref="F10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5058</t>
        </r>
      </text>
    </comment>
    <comment ref="F10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4944</t>
        </r>
      </text>
    </comment>
    <comment ref="F10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4634</t>
        </r>
      </text>
    </comment>
    <comment ref="F10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4976</t>
        </r>
      </text>
    </comment>
    <comment ref="F10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4979</t>
        </r>
      </text>
    </comment>
    <comment ref="F10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5010</t>
        </r>
      </text>
    </comment>
    <comment ref="F10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5040</t>
        </r>
      </text>
    </comment>
    <comment ref="F10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5057</t>
        </r>
      </text>
    </comment>
    <comment ref="F11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5044</t>
        </r>
      </text>
    </comment>
    <comment ref="F11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5065</t>
        </r>
      </text>
    </comment>
    <comment ref="F11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4896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5059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5043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5062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4860
</t>
        </r>
      </text>
    </comment>
    <comment ref="F118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5097
</t>
        </r>
      </text>
    </comment>
    <comment ref="F119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5022/5060
</t>
        </r>
      </text>
    </comment>
    <comment ref="F121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5091
</t>
        </r>
      </text>
    </comment>
    <comment ref="F122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5069</t>
        </r>
      </text>
    </comment>
    <comment ref="F12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5089</t>
        </r>
      </text>
    </comment>
    <comment ref="F124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5129</t>
        </r>
      </text>
    </comment>
    <comment ref="F125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5128</t>
        </r>
      </text>
    </comment>
    <comment ref="F126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5090
</t>
        </r>
      </text>
    </comment>
    <comment ref="F127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4864</t>
        </r>
      </text>
    </comment>
    <comment ref="F128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5118
</t>
        </r>
      </text>
    </comment>
    <comment ref="F129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5143
</t>
        </r>
      </text>
    </comment>
    <comment ref="F13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5137</t>
        </r>
      </text>
    </comment>
    <comment ref="F13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5153</t>
        </r>
      </text>
    </comment>
    <comment ref="F13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5053</t>
        </r>
      </text>
    </comment>
    <comment ref="F13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5150</t>
        </r>
      </text>
    </comment>
    <comment ref="F13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5163</t>
        </r>
      </text>
    </comment>
    <comment ref="F13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5156</t>
        </r>
      </text>
    </comment>
    <comment ref="F13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5155</t>
        </r>
      </text>
    </comment>
    <comment ref="F13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4905</t>
        </r>
      </text>
    </comment>
    <comment ref="F13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5172</t>
        </r>
      </text>
    </comment>
    <comment ref="F139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5144</t>
        </r>
      </text>
    </comment>
    <comment ref="F140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4696</t>
        </r>
      </text>
    </comment>
    <comment ref="F141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4277</t>
        </r>
      </text>
    </comment>
    <comment ref="F142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5048</t>
        </r>
      </text>
    </comment>
    <comment ref="F143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5173</t>
        </r>
      </text>
    </comment>
    <comment ref="F144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4663
</t>
        </r>
      </text>
    </comment>
    <comment ref="F145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4985</t>
        </r>
      </text>
    </comment>
  </commentList>
</comments>
</file>

<file path=xl/comments4.xml><?xml version="1.0" encoding="utf-8"?>
<comments xmlns="http://schemas.openxmlformats.org/spreadsheetml/2006/main">
  <authors>
    <author>Julio Brombatti</author>
    <author>Joelma</author>
  </authors>
  <commentList>
    <comment ref="F8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5340</t>
        </r>
      </text>
    </comment>
    <comment ref="F9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5203</t>
        </r>
      </text>
    </comment>
    <comment ref="F9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5215</t>
        </r>
      </text>
    </comment>
    <comment ref="F9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5050</t>
        </r>
      </text>
    </comment>
    <comment ref="F9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5232</t>
        </r>
      </text>
    </comment>
    <comment ref="F10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5240</t>
        </r>
      </text>
    </comment>
    <comment ref="F10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5182</t>
        </r>
      </text>
    </comment>
    <comment ref="F10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5213</t>
        </r>
      </text>
    </comment>
    <comment ref="F10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5219</t>
        </r>
      </text>
    </comment>
    <comment ref="F10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5161</t>
        </r>
      </text>
    </comment>
    <comment ref="F10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4757</t>
        </r>
      </text>
    </comment>
    <comment ref="F10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5175</t>
        </r>
      </text>
    </comment>
    <comment ref="F10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5269</t>
        </r>
      </text>
    </comment>
    <comment ref="F10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5256</t>
        </r>
      </text>
    </comment>
    <comment ref="F11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5210</t>
        </r>
      </text>
    </comment>
    <comment ref="F11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5298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5265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5071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5291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5218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5283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5260</t>
        </r>
      </text>
    </comment>
    <comment ref="F11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5149</t>
        </r>
      </text>
    </comment>
    <comment ref="F12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5301</t>
        </r>
      </text>
    </comment>
    <comment ref="F12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5300</t>
        </r>
      </text>
    </comment>
    <comment ref="F12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5233</t>
        </r>
      </text>
    </comment>
    <comment ref="F123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5296
</t>
        </r>
      </text>
    </comment>
    <comment ref="F124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5299
</t>
        </r>
      </text>
    </comment>
    <comment ref="F12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5320</t>
        </r>
      </text>
    </comment>
    <comment ref="F126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5228</t>
        </r>
      </text>
    </comment>
    <comment ref="F128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5192
</t>
        </r>
      </text>
    </comment>
    <comment ref="F129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5336
</t>
        </r>
      </text>
    </comment>
    <comment ref="F13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5350</t>
        </r>
      </text>
    </comment>
    <comment ref="F13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5319</t>
        </r>
      </text>
    </comment>
    <comment ref="F133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5377</t>
        </r>
      </text>
    </comment>
  </commentList>
</comments>
</file>

<file path=xl/comments5.xml><?xml version="1.0" encoding="utf-8"?>
<comments xmlns="http://schemas.openxmlformats.org/spreadsheetml/2006/main">
  <authors>
    <author>Julio Brombatti</author>
  </authors>
  <commentList>
    <comment ref="F8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5384</t>
        </r>
      </text>
    </comment>
    <comment ref="F8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5386</t>
        </r>
      </text>
    </comment>
    <comment ref="F8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5337 E 5338</t>
        </r>
      </text>
    </comment>
    <comment ref="F9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5346</t>
        </r>
      </text>
    </comment>
    <comment ref="F9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5201</t>
        </r>
      </text>
    </comment>
    <comment ref="F9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5407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5398</t>
        </r>
      </text>
    </comment>
    <comment ref="F9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5397</t>
        </r>
      </text>
    </comment>
    <comment ref="F9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5271</t>
        </r>
      </text>
    </comment>
    <comment ref="F9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4956</t>
        </r>
      </text>
    </comment>
    <comment ref="F9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5388</t>
        </r>
      </text>
    </comment>
    <comment ref="F9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5392</t>
        </r>
      </text>
    </comment>
    <comment ref="F9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5147</t>
        </r>
      </text>
    </comment>
    <comment ref="F10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5399</t>
        </r>
      </text>
    </comment>
    <comment ref="F10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5404</t>
        </r>
      </text>
    </comment>
    <comment ref="F10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5391</t>
        </r>
      </text>
    </comment>
    <comment ref="F10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5437</t>
        </r>
      </text>
    </comment>
    <comment ref="F10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5443</t>
        </r>
      </text>
    </comment>
    <comment ref="F10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5438</t>
        </r>
      </text>
    </comment>
    <comment ref="F10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5067</t>
        </r>
      </text>
    </comment>
    <comment ref="F10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5436</t>
        </r>
      </text>
    </comment>
    <comment ref="F10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5285</t>
        </r>
      </text>
    </comment>
    <comment ref="F11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5432</t>
        </r>
      </text>
    </comment>
    <comment ref="F11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5433</t>
        </r>
      </text>
    </comment>
    <comment ref="F11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5430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5429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5344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5409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5427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5452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5451</t>
        </r>
      </text>
    </comment>
    <comment ref="F11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5458</t>
        </r>
      </text>
    </comment>
    <comment ref="F12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5449</t>
        </r>
      </text>
    </comment>
    <comment ref="F12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5442</t>
        </r>
      </text>
    </comment>
    <comment ref="F12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5446</t>
        </r>
      </text>
    </comment>
    <comment ref="F12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5489</t>
        </r>
      </text>
    </comment>
    <comment ref="F12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5473</t>
        </r>
      </text>
    </comment>
    <comment ref="F12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5444</t>
        </r>
      </text>
    </comment>
    <comment ref="F12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5239</t>
        </r>
      </text>
    </comment>
    <comment ref="F12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5406</t>
        </r>
      </text>
    </comment>
    <comment ref="F12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4632</t>
        </r>
      </text>
    </comment>
    <comment ref="F12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5471</t>
        </r>
      </text>
    </comment>
    <comment ref="F13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5476</t>
        </r>
      </text>
    </comment>
    <comment ref="F13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5477</t>
        </r>
      </text>
    </comment>
    <comment ref="F13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5505</t>
        </r>
      </text>
    </comment>
    <comment ref="F13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5107</t>
        </r>
      </text>
    </comment>
    <comment ref="F13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5523</t>
        </r>
      </text>
    </comment>
    <comment ref="F13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5547</t>
        </r>
      </text>
    </comment>
    <comment ref="F13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5515</t>
        </r>
      </text>
    </comment>
    <comment ref="F13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5504</t>
        </r>
      </text>
    </comment>
    <comment ref="F14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5531</t>
        </r>
      </text>
    </comment>
    <comment ref="F14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5486</t>
        </r>
      </text>
    </comment>
    <comment ref="F14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5487</t>
        </r>
      </text>
    </comment>
    <comment ref="F14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5490</t>
        </r>
      </text>
    </comment>
    <comment ref="F14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5506</t>
        </r>
      </text>
    </comment>
    <comment ref="F14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5527</t>
        </r>
      </text>
    </comment>
    <comment ref="F14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5493
</t>
        </r>
      </text>
    </comment>
    <comment ref="F14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5470</t>
        </r>
      </text>
    </comment>
    <comment ref="F14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5281</t>
        </r>
      </text>
    </comment>
  </commentList>
</comments>
</file>

<file path=xl/comments6.xml><?xml version="1.0" encoding="utf-8"?>
<comments xmlns="http://schemas.openxmlformats.org/spreadsheetml/2006/main">
  <authors>
    <author>Julio Brombatti</author>
  </authors>
  <commentList>
    <comment ref="F10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5493</t>
        </r>
      </text>
    </comment>
    <comment ref="F11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5497</t>
        </r>
      </text>
    </comment>
    <comment ref="F11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5372</t>
        </r>
      </text>
    </comment>
    <comment ref="F11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5638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5640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5641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5595 E 5597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5658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5687</t>
        </r>
      </text>
    </comment>
    <comment ref="F11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5536</t>
        </r>
      </text>
    </comment>
    <comment ref="F12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5659</t>
        </r>
      </text>
    </comment>
    <comment ref="F12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5683</t>
        </r>
      </text>
    </comment>
    <comment ref="F12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5655</t>
        </r>
      </text>
    </comment>
    <comment ref="F12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5189</t>
        </r>
      </text>
    </comment>
    <comment ref="F12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5648</t>
        </r>
      </text>
    </comment>
    <comment ref="F12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5694</t>
        </r>
      </text>
    </comment>
    <comment ref="F12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5594</t>
        </r>
      </text>
    </comment>
    <comment ref="F12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5599</t>
        </r>
      </text>
    </comment>
    <comment ref="F12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5737</t>
        </r>
      </text>
    </comment>
    <comment ref="F13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5763</t>
        </r>
      </text>
    </comment>
    <comment ref="F13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5754</t>
        </r>
      </text>
    </comment>
    <comment ref="F13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5735</t>
        </r>
      </text>
    </comment>
    <comment ref="F13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5767</t>
        </r>
      </text>
    </comment>
    <comment ref="F13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5752</t>
        </r>
      </text>
    </comment>
    <comment ref="F13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5765</t>
        </r>
      </text>
    </comment>
    <comment ref="F13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5753</t>
        </r>
      </text>
    </comment>
    <comment ref="F13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5660</t>
        </r>
      </text>
    </comment>
    <comment ref="F13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5526</t>
        </r>
      </text>
    </comment>
    <comment ref="F14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4161</t>
        </r>
      </text>
    </comment>
    <comment ref="F14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5771</t>
        </r>
      </text>
    </comment>
    <comment ref="F14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5781</t>
        </r>
      </text>
    </comment>
    <comment ref="F14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5799</t>
        </r>
      </text>
    </comment>
    <comment ref="F14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5775</t>
        </r>
      </text>
    </comment>
    <comment ref="F14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5703</t>
        </r>
      </text>
    </comment>
    <comment ref="F14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5278</t>
        </r>
      </text>
    </comment>
    <comment ref="F14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5796</t>
        </r>
      </text>
    </comment>
    <comment ref="F14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5805</t>
        </r>
      </text>
    </comment>
    <comment ref="F15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5798</t>
        </r>
      </text>
    </comment>
    <comment ref="F15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5802</t>
        </r>
      </text>
    </comment>
  </commentList>
</comments>
</file>

<file path=xl/comments7.xml><?xml version="1.0" encoding="utf-8"?>
<comments xmlns="http://schemas.openxmlformats.org/spreadsheetml/2006/main">
  <authors>
    <author>Julio Brombatti</author>
  </authors>
  <commentList>
    <comment ref="F10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5807</t>
        </r>
      </text>
    </comment>
    <comment ref="F10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5850</t>
        </r>
      </text>
    </comment>
    <comment ref="F10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5838</t>
        </r>
      </text>
    </comment>
    <comment ref="F10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5475</t>
        </r>
      </text>
    </comment>
    <comment ref="F10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5860</t>
        </r>
      </text>
    </comment>
    <comment ref="F10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5845</t>
        </r>
      </text>
    </comment>
    <comment ref="F10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5841</t>
        </r>
      </text>
    </comment>
    <comment ref="F10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5859</t>
        </r>
      </text>
    </comment>
    <comment ref="F11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5915</t>
        </r>
      </text>
    </comment>
    <comment ref="F11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5908</t>
        </r>
      </text>
    </comment>
    <comment ref="F11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5898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5797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5664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5928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5924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5961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5701</t>
        </r>
      </text>
    </comment>
    <comment ref="F11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5966</t>
        </r>
      </text>
    </comment>
    <comment ref="F12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5954</t>
        </r>
      </text>
    </comment>
  </commentList>
</comments>
</file>

<file path=xl/comments8.xml><?xml version="1.0" encoding="utf-8"?>
<comments xmlns="http://schemas.openxmlformats.org/spreadsheetml/2006/main">
  <authors>
    <author>Julio Brombatti</author>
  </authors>
  <commentList>
    <comment ref="F9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5985</t>
        </r>
      </text>
    </comment>
    <comment ref="F9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6030</t>
        </r>
      </text>
    </comment>
    <comment ref="F10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6010</t>
        </r>
      </text>
    </comment>
    <comment ref="F10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6002</t>
        </r>
      </text>
    </comment>
    <comment ref="F10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5987</t>
        </r>
      </text>
    </comment>
    <comment ref="F10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5982</t>
        </r>
      </text>
    </comment>
    <comment ref="F10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5973</t>
        </r>
      </text>
    </comment>
    <comment ref="F10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5922</t>
        </r>
      </text>
    </comment>
    <comment ref="F10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5604</t>
        </r>
      </text>
    </comment>
    <comment ref="F10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5965</t>
        </r>
      </text>
    </comment>
    <comment ref="F10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6055</t>
        </r>
      </text>
    </comment>
    <comment ref="F10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6016</t>
        </r>
      </text>
    </comment>
    <comment ref="F11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6059</t>
        </r>
      </text>
    </comment>
    <comment ref="F11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6060</t>
        </r>
      </text>
    </comment>
    <comment ref="F11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4795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490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5964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5833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5952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5656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5500</t>
        </r>
      </text>
    </comment>
    <comment ref="F11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6091</t>
        </r>
      </text>
    </comment>
    <comment ref="F12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6040</t>
        </r>
      </text>
    </comment>
    <comment ref="F12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6078</t>
        </r>
      </text>
    </comment>
    <comment ref="F12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6048</t>
        </r>
      </text>
    </comment>
    <comment ref="F12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5557</t>
        </r>
      </text>
    </comment>
    <comment ref="F12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5960</t>
        </r>
      </text>
    </comment>
    <comment ref="F12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290</t>
        </r>
      </text>
    </comment>
    <comment ref="F12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6090</t>
        </r>
      </text>
    </comment>
    <comment ref="F12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6097</t>
        </r>
      </text>
    </comment>
    <comment ref="F12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6017</t>
        </r>
      </text>
    </comment>
    <comment ref="F13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6096</t>
        </r>
      </text>
    </comment>
    <comment ref="F13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6103</t>
        </r>
      </text>
    </comment>
    <comment ref="F13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6095</t>
        </r>
      </text>
    </comment>
    <comment ref="F13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6080</t>
        </r>
      </text>
    </comment>
    <comment ref="F13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6101</t>
        </r>
      </text>
    </comment>
    <comment ref="F13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6099</t>
        </r>
      </text>
    </comment>
    <comment ref="F13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6098</t>
        </r>
      </text>
    </comment>
    <comment ref="F13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5502</t>
        </r>
      </text>
    </comment>
    <comment ref="F13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5826</t>
        </r>
      </text>
    </comment>
    <comment ref="F14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6084</t>
        </r>
      </text>
    </comment>
    <comment ref="F14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6081</t>
        </r>
      </text>
    </comment>
    <comment ref="F14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6070</t>
        </r>
      </text>
    </comment>
    <comment ref="F14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6131</t>
        </r>
      </text>
    </comment>
    <comment ref="F14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6130</t>
        </r>
      </text>
    </comment>
    <comment ref="F14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5824</t>
        </r>
      </text>
    </comment>
    <comment ref="F14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6164</t>
        </r>
      </text>
    </comment>
    <comment ref="F14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6165</t>
        </r>
      </text>
    </comment>
    <comment ref="F14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6150</t>
        </r>
      </text>
    </comment>
    <comment ref="F15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6196</t>
        </r>
      </text>
    </comment>
    <comment ref="F15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6192</t>
        </r>
      </text>
    </comment>
    <comment ref="F15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6189</t>
        </r>
      </text>
    </comment>
    <comment ref="F15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6135</t>
        </r>
      </text>
    </comment>
    <comment ref="F15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6195</t>
        </r>
      </text>
    </comment>
    <comment ref="F15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6215</t>
        </r>
      </text>
    </comment>
    <comment ref="F15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6190</t>
        </r>
      </text>
    </comment>
    <comment ref="F15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6122</t>
        </r>
      </text>
    </comment>
    <comment ref="F15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6245</t>
        </r>
      </text>
    </comment>
    <comment ref="F15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6236</t>
        </r>
      </text>
    </comment>
    <comment ref="F16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6218</t>
        </r>
      </text>
    </comment>
    <comment ref="F16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6214</t>
        </r>
      </text>
    </comment>
    <comment ref="F16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5831</t>
        </r>
      </text>
    </comment>
    <comment ref="F16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6161</t>
        </r>
      </text>
    </comment>
    <comment ref="F16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6227</t>
        </r>
      </text>
    </comment>
  </commentList>
</comments>
</file>

<file path=xl/comments9.xml><?xml version="1.0" encoding="utf-8"?>
<comments xmlns="http://schemas.openxmlformats.org/spreadsheetml/2006/main">
  <authors>
    <author>Julio Brombatti</author>
    <author>Joelma</author>
  </authors>
  <commentList>
    <comment ref="F12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6317</t>
        </r>
      </text>
    </comment>
    <comment ref="F12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6239</t>
        </r>
      </text>
    </comment>
    <comment ref="F12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6268</t>
        </r>
      </text>
    </comment>
    <comment ref="F13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6257</t>
        </r>
      </text>
    </comment>
    <comment ref="F131" authorId="1">
      <text>
        <r>
          <rPr>
            <b/>
            <sz val="9"/>
            <color indexed="81"/>
            <rFont val="Tahoma"/>
            <family val="2"/>
          </rPr>
          <t>Joelma:
3087</t>
        </r>
      </text>
    </comment>
    <comment ref="F132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6287</t>
        </r>
      </text>
    </comment>
    <comment ref="F133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316</t>
        </r>
      </text>
    </comment>
    <comment ref="F134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6235</t>
        </r>
      </text>
    </comment>
    <comment ref="F135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6246
</t>
        </r>
      </text>
    </comment>
    <comment ref="F13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6237</t>
        </r>
      </text>
    </comment>
    <comment ref="F137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6350</t>
        </r>
      </text>
    </comment>
    <comment ref="F138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6344</t>
        </r>
      </text>
    </comment>
    <comment ref="F139" authorId="1">
      <text>
        <r>
          <rPr>
            <b/>
            <sz val="9"/>
            <color indexed="81"/>
            <rFont val="Tahoma"/>
            <family val="2"/>
          </rPr>
          <t xml:space="preserve">Joelma:
OS </t>
        </r>
        <r>
          <rPr>
            <sz val="9"/>
            <color indexed="81"/>
            <rFont val="Tahoma"/>
            <family val="2"/>
          </rPr>
          <t>6243</t>
        </r>
      </text>
    </comment>
    <comment ref="F140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6217</t>
        </r>
      </text>
    </comment>
    <comment ref="F141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6336
</t>
        </r>
      </text>
    </comment>
    <comment ref="F142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6339</t>
        </r>
      </text>
    </comment>
    <comment ref="F143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6153</t>
        </r>
      </text>
    </comment>
    <comment ref="F144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6343</t>
        </r>
      </text>
    </comment>
    <comment ref="F145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6340</t>
        </r>
      </text>
    </comment>
    <comment ref="F146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6347</t>
        </r>
      </text>
    </comment>
    <comment ref="F148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6352</t>
        </r>
      </text>
    </comment>
    <comment ref="F149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6354</t>
        </r>
      </text>
    </comment>
    <comment ref="F150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6341
</t>
        </r>
      </text>
    </comment>
    <comment ref="F151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6367</t>
        </r>
      </text>
    </comment>
    <comment ref="F152" authorId="1">
      <text>
        <r>
          <rPr>
            <b/>
            <sz val="9"/>
            <color indexed="81"/>
            <rFont val="Tahoma"/>
            <family val="2"/>
          </rPr>
          <t>Joelma:</t>
        </r>
        <r>
          <rPr>
            <sz val="9"/>
            <color indexed="81"/>
            <rFont val="Tahoma"/>
            <family val="2"/>
          </rPr>
          <t xml:space="preserve">
OS 6337</t>
        </r>
      </text>
    </comment>
    <comment ref="F15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6369</t>
        </r>
      </text>
    </comment>
    <comment ref="F15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6368</t>
        </r>
      </text>
    </comment>
    <comment ref="F15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6383</t>
        </r>
      </text>
    </comment>
    <comment ref="F15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6338</t>
        </r>
      </text>
    </comment>
    <comment ref="F157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6405
</t>
        </r>
      </text>
    </comment>
    <comment ref="F15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6412
</t>
        </r>
      </text>
    </comment>
    <comment ref="F15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6404
</t>
        </r>
      </text>
    </comment>
    <comment ref="F16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6407
</t>
        </r>
      </text>
    </comment>
    <comment ref="F16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6398</t>
        </r>
      </text>
    </comment>
    <comment ref="F162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6389</t>
        </r>
      </text>
    </comment>
    <comment ref="F16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6415</t>
        </r>
      </text>
    </comment>
    <comment ref="F164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6414</t>
        </r>
      </text>
    </comment>
    <comment ref="F165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6356</t>
        </r>
      </text>
    </comment>
    <comment ref="F166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6357
</t>
        </r>
      </text>
    </comment>
    <comment ref="F167" authorId="0">
      <text>
        <r>
          <rPr>
            <b/>
            <sz val="9"/>
            <color indexed="81"/>
            <rFont val="Tahoma"/>
            <family val="2"/>
          </rPr>
          <t>Julio Brombatti:OS 6453</t>
        </r>
      </text>
    </comment>
    <comment ref="F168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6460
</t>
        </r>
      </text>
    </comment>
    <comment ref="F169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6413</t>
        </r>
      </text>
    </comment>
    <comment ref="F170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6244</t>
        </r>
      </text>
    </comment>
    <comment ref="F171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OS 6466</t>
        </r>
      </text>
    </comment>
  </commentList>
</comments>
</file>

<file path=xl/connections.xml><?xml version="1.0" encoding="utf-8"?>
<connections xmlns="http://schemas.openxmlformats.org/spreadsheetml/2006/main">
  <connection id="1" name="Conexão3112157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2" name="Conexão31121571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3" name="Conexão311215710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4" name="Conexão311215711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5" name="Conexão31121572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6" name="Conexão31121573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7" name="Conexão31121574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8" name="Conexão31121575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9" name="Conexão31121576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10" name="Conexão31121577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11" name="Conexão31121578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12" name="Conexão31121579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13" name="Conexão3112257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14" name="Conexão31122571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15" name="Conexão311225710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16" name="Conexão311225711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17" name="Conexão31122572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18" name="Conexão31122573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19" name="Conexão31122574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20" name="Conexão31122575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21" name="Conexão31122576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22" name="Conexão31122577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23" name="Conexão31122578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24" name="Conexão31122579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25" name="Conexão31157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26" name="Conexão311571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27" name="Conexão3115710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28" name="Conexão3115711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29" name="Conexão311572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30" name="Conexão311573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31" name="Conexão311574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32" name="Conexão311575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33" name="Conexão311576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34" name="Conexão311577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35" name="Conexão311578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36" name="Conexão311579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37" name="Conexão3121157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38" name="Conexão31211571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39" name="Conexão312115710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40" name="Conexão312115711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41" name="Conexão31211572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42" name="Conexão31211573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43" name="Conexão31211574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44" name="Conexão31211575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45" name="Conexão31211576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46" name="Conexão31211577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47" name="Conexão31211578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48" name="Conexão31211579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49" name="Conexão3121257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50" name="Conexão31212571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51" name="Conexão312125710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52" name="Conexão312125711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53" name="Conexão31212572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54" name="Conexão31212573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55" name="Conexão31212574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56" name="Conexão31212575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57" name="Conexão31212576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58" name="Conexão31212577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59" name="Conexão31212578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60" name="Conexão31212579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61" name="Conexão31257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62" name="Conexão312571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63" name="Conexão3125710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64" name="Conexão3125711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65" name="Conexão312572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66" name="Conexão312573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67" name="Conexão312574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68" name="Conexão312575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69" name="Conexão312576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70" name="Conexão312577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71" name="Conexão312578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72" name="Conexão312579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73" name="Conexão313157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74" name="Conexão3131571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75" name="Conexão31315710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76" name="Conexão31315711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77" name="Conexão3131572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78" name="Conexão3131573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79" name="Conexão3131574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80" name="Conexão3131575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81" name="Conexão3131576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82" name="Conexão3131577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83" name="Conexão3131578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84" name="Conexão3131579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85" name="Conexão313257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86" name="Conexão3132571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87" name="Conexão31325710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88" name="Conexão31325711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89" name="Conexão3132572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90" name="Conexão3132573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91" name="Conexão3132574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92" name="Conexão3132575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93" name="Conexão3132576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94" name="Conexão3132577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95" name="Conexão3132578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  <connection id="96" name="Conexão3132579" type="4" refreshedVersion="3" background="1" saveData="1">
    <webPr sourceData="1" parsePre="1" consecutive="1" xl2000="1" url="file:///Z:/Aplicativos%20Comerciais/ARQU0001.HTM" htmlTables="1">
      <tables count="1">
        <x v="1"/>
      </tables>
    </webPr>
  </connection>
</connections>
</file>

<file path=xl/sharedStrings.xml><?xml version="1.0" encoding="utf-8"?>
<sst xmlns="http://schemas.openxmlformats.org/spreadsheetml/2006/main" count="3710" uniqueCount="993">
  <si>
    <t>MÁQUINAS</t>
  </si>
  <si>
    <t>Núm./Série</t>
  </si>
  <si>
    <t>Nat. Op.</t>
  </si>
  <si>
    <t>Cliente</t>
  </si>
  <si>
    <t>Emissão</t>
  </si>
  <si>
    <t>Valor Faturado:</t>
  </si>
  <si>
    <t>Comp/Dymo/Frete</t>
  </si>
  <si>
    <t>Total Venda:</t>
  </si>
  <si>
    <t>META</t>
  </si>
  <si>
    <t>Atingido</t>
  </si>
  <si>
    <t>% Aprox.</t>
  </si>
  <si>
    <t>MÁQUINAS NÃO INCLUSAS NA META</t>
  </si>
  <si>
    <t>Desp/Frete:</t>
  </si>
  <si>
    <t>COMPUTADORES / IMPRESSORA LABEL</t>
  </si>
  <si>
    <t>BOMBAS / PEÇAS</t>
  </si>
  <si>
    <t>SERVIÇOS / VENDA DE PEÇAS</t>
  </si>
  <si>
    <t>Total Atingido</t>
  </si>
  <si>
    <t>Equipe</t>
  </si>
  <si>
    <t>Jan</t>
  </si>
  <si>
    <t>Fev</t>
  </si>
  <si>
    <t>Mar</t>
  </si>
  <si>
    <t>Abr</t>
  </si>
  <si>
    <t>Mai</t>
  </si>
  <si>
    <t>Ago</t>
  </si>
  <si>
    <t>Set</t>
  </si>
  <si>
    <t>Out</t>
  </si>
  <si>
    <t>Nov</t>
  </si>
  <si>
    <t>Dez</t>
  </si>
  <si>
    <t>Total</t>
  </si>
  <si>
    <t>Maquinistas</t>
  </si>
  <si>
    <t>Bombeiros</t>
  </si>
  <si>
    <t>Postits</t>
  </si>
  <si>
    <t>TOTAL</t>
  </si>
  <si>
    <t>Outros</t>
  </si>
  <si>
    <t>Outros = Computadores e Impressoras.</t>
  </si>
  <si>
    <t>1° trimestre</t>
  </si>
  <si>
    <t>2° trimestre</t>
  </si>
  <si>
    <t>3° trimestre</t>
  </si>
  <si>
    <t>4° trimestre</t>
  </si>
  <si>
    <t>REALIZADO</t>
  </si>
  <si>
    <t>ATINGIDO</t>
  </si>
  <si>
    <t>FALTA</t>
  </si>
  <si>
    <t>Forma de Pagamento</t>
  </si>
  <si>
    <t>Comissões</t>
  </si>
  <si>
    <t>ETIQUETAS</t>
  </si>
  <si>
    <t>Jun</t>
  </si>
  <si>
    <t>Jul</t>
  </si>
  <si>
    <t>Especialistas M.O.</t>
  </si>
  <si>
    <t>Especialistas Peças</t>
  </si>
  <si>
    <t>SERVIÇOS / MÃO DE OBRA</t>
  </si>
  <si>
    <t>Adriano</t>
  </si>
  <si>
    <t>Éderson</t>
  </si>
  <si>
    <t>João</t>
  </si>
  <si>
    <t>Vanessa</t>
  </si>
  <si>
    <t>Repres</t>
  </si>
  <si>
    <t xml:space="preserve"> </t>
  </si>
  <si>
    <t>Periodo de 01 a 05/Dezembro  -   Total Vendas:</t>
  </si>
  <si>
    <t>Periodo de 08 a 12/Dezembro  -   Total Vendas:</t>
  </si>
  <si>
    <t>Periodo de 15 a 19/Dezembro  -   Total Vendas:</t>
  </si>
  <si>
    <t>Periodo de 22 a 26/Dezembro  -   Total Vendas:</t>
  </si>
  <si>
    <t>Periodo de 29 a 31/Dezembro  -   Total Vendas:</t>
  </si>
  <si>
    <t>CURTUME CBR LTDA</t>
  </si>
  <si>
    <t>Periodo de 03 a 06/Fevereiro  -   Total Vendas:</t>
  </si>
  <si>
    <t>Periodo de 09 a 13/Fevereiro  -   Total Vendas:</t>
  </si>
  <si>
    <t>Periodo de 18 a 20/Fevereiro  -   Total Vendas:</t>
  </si>
  <si>
    <t>Periodo de 23 a 27/Fevereiro  -   Total Vendas:</t>
  </si>
  <si>
    <t>Periodo de 01 a 04/Setembro  -   Total Vendas:</t>
  </si>
  <si>
    <t>Periodo de 07 a 11/Setembro  -   Total Vendas:</t>
  </si>
  <si>
    <t>Periodo de 14 a 18/Setembro  -   Total Vendas:</t>
  </si>
  <si>
    <t>Periodo de 21 a 25/Setembro  -   Total Vendas:</t>
  </si>
  <si>
    <t>Periodo de 28 a 30/Setembro  -   Total Vendas:</t>
  </si>
  <si>
    <t>Periodo de 01 a 02/Outubro  -   Total Vendas:</t>
  </si>
  <si>
    <t>Periodo de 05 a 09/Outubro  -   Total Vendas:</t>
  </si>
  <si>
    <t>Periodo de 12 a 16/Outubro  -   Total Vendas:</t>
  </si>
  <si>
    <t>Periodo de 19 a 23/Outubro  -   Total Vendas:</t>
  </si>
  <si>
    <t>Periodo de 26 a 30/Outubro  -   Total Vendas:</t>
  </si>
  <si>
    <t>Periodo de 03 a 06/Novembro  -   Total Vendas:</t>
  </si>
  <si>
    <t>Periodo de 09 a 13/Novembro  -   Total Vendas:</t>
  </si>
  <si>
    <t>Periodo de 16 a 20/Novembro  -   Total Vendas:</t>
  </si>
  <si>
    <t>Periodo de 23 a 30/Novembro  -   Total Vendas:</t>
  </si>
  <si>
    <t>METAS 2016</t>
  </si>
  <si>
    <t>REALIZADO 2016</t>
  </si>
  <si>
    <t>Venda</t>
  </si>
  <si>
    <t>SEM NF</t>
  </si>
  <si>
    <t>ASSIS REMOTA</t>
  </si>
  <si>
    <t>MÊS COMERCIAL DE TINTAS LTDA</t>
  </si>
  <si>
    <t>ASSIS MAQUINA</t>
  </si>
  <si>
    <t>DE TONI E MODZINSKI LTDA</t>
  </si>
  <si>
    <t>ROCHAS MATERIAIS DE CONSTRUCAO LTDA</t>
  </si>
  <si>
    <t>LINONROSE SCARAVONATTO</t>
  </si>
  <si>
    <t>BASEFORTE COM DE MATS PARA CONST LTDA</t>
  </si>
  <si>
    <t>LEDIR DA LUZ - MATERIAIS DE CONSTRUÇÃO</t>
  </si>
  <si>
    <t>KILLING SA TINTAS  E ADESIVOS</t>
  </si>
  <si>
    <t>CASA TONI COMERCIO DE TINTAS LTDA</t>
  </si>
  <si>
    <t>CANZI MATERIAIS DE CONSTRUÇÃO</t>
  </si>
  <si>
    <t>INSTALAÇÃO</t>
  </si>
  <si>
    <t>R&amp;B MATERIAIS DE CONSTRUÇÃO LTDA</t>
  </si>
  <si>
    <t>PARQUE DAS TINTAS</t>
  </si>
  <si>
    <t>SIMIONATO COMERCIO DE MATERIAIS DE CONSTRUÇÃO</t>
  </si>
  <si>
    <t>TINTOMAX COMERCIO DE TINTAS LTDA</t>
  </si>
  <si>
    <t>CONSTRUZENI MATERIAIS DE CONSTRUÇÃO E TRANSPORTE LTDA</t>
  </si>
  <si>
    <t>CASALUPE COMERCIO LTDA</t>
  </si>
  <si>
    <t>VENDA</t>
  </si>
  <si>
    <t>MUNDIAL</t>
  </si>
  <si>
    <t>TINTAS IQUINE</t>
  </si>
  <si>
    <t>GRANJA PINHEIROS</t>
  </si>
  <si>
    <t>MECANICA SERRANA</t>
  </si>
  <si>
    <t>KILLING AS TINTAS E ADESIVOS</t>
  </si>
  <si>
    <t>JOIBLAN JOSE SOARES PEREIRA</t>
  </si>
  <si>
    <t>ATLANTICO TINTAS COM. E SERV. LTDA</t>
  </si>
  <si>
    <t>FIORI</t>
  </si>
  <si>
    <t>DF LOUVEIRA MATERIAIS BÁSICOS PARA CONSTRUÇÃO</t>
  </si>
  <si>
    <t>GRACZYKI E GRACZYKI LTDA</t>
  </si>
  <si>
    <t>VENTURI ESTAMPARIA</t>
  </si>
  <si>
    <t>BASF</t>
  </si>
  <si>
    <t>ALEXANDRE BRISTOT</t>
  </si>
  <si>
    <t>ARMINO COMÉRCIO DE TINTAS</t>
  </si>
  <si>
    <t>KIKO CONFECÇÕES</t>
  </si>
  <si>
    <t>ZEPO MATERIAIS DE CONSTRUÇÃO</t>
  </si>
  <si>
    <t>COMÉRCIO DE TINTAS SAMIA</t>
  </si>
  <si>
    <t xml:space="preserve">FEG AUTOMAÇÃO </t>
  </si>
  <si>
    <t>COMÉRCIO DE FERRAGENS ALVEFETHI</t>
  </si>
  <si>
    <t>METROPOLITANA</t>
  </si>
  <si>
    <t>GUAPORÉ COMERCIO DE TINTAS</t>
  </si>
  <si>
    <t>TINTASINOS COMERCIO DE TINTAS</t>
  </si>
  <si>
    <t>DUPLAÇÃO</t>
  </si>
  <si>
    <t>BOCCHI E BRANDALERO</t>
  </si>
  <si>
    <t>AMPLA MATERIAIS DE CONSTRUÇÃO</t>
  </si>
  <si>
    <t>G L C MATERIAIS DE CONSTRUÇÃO</t>
  </si>
  <si>
    <t>MADEIRÃO MATERIAIS DE CONSTRUÇÃO</t>
  </si>
  <si>
    <t>RENILDA DOS SANTOS</t>
  </si>
  <si>
    <t>MIQUELUTE E XAVIER</t>
  </si>
  <si>
    <t>AKZO NOBEL</t>
  </si>
  <si>
    <t>ARMINO COMÉRCIO DE TINTAS LTDA</t>
  </si>
  <si>
    <t>PARAZÃO MADEIRAS LTDA</t>
  </si>
  <si>
    <t>COMÉRCIO DE TINTAS E SERVIÇOS TRICHES</t>
  </si>
  <si>
    <t>TESTONI &amp; TESTONI</t>
  </si>
  <si>
    <t>EVERTON DOS SANTOS BONATO</t>
  </si>
  <si>
    <t xml:space="preserve">DILSON NUNES </t>
  </si>
  <si>
    <t>COUROS BOM RETIRO</t>
  </si>
  <si>
    <t>IMBRALIT</t>
  </si>
  <si>
    <t>MOVEIS CARRARO</t>
  </si>
  <si>
    <t>CIA PROVIDENCIA</t>
  </si>
  <si>
    <t>ILHA TINTAS</t>
  </si>
  <si>
    <t>CARVALHO E ZAFFANELL</t>
  </si>
  <si>
    <t>J TAVARES</t>
  </si>
  <si>
    <t>PONTO CERTO</t>
  </si>
  <si>
    <t>DILSON NUNES</t>
  </si>
  <si>
    <t>EVERTON SANTOS BONATTO</t>
  </si>
  <si>
    <t>KOEFENDER E KOEFENDER</t>
  </si>
  <si>
    <t>SERVIÇOS NÃO INCLUSOS NA META</t>
  </si>
  <si>
    <t>JAMAICA</t>
  </si>
  <si>
    <t>BASF S/A</t>
  </si>
  <si>
    <t>MARISOL VESTUARIO S/A</t>
  </si>
  <si>
    <t>J A SOLARES E CIA LTDA</t>
  </si>
  <si>
    <t>DE TONI &amp; MODZINSKI LTDA</t>
  </si>
  <si>
    <t>REIMANN E MARINHO LTDA</t>
  </si>
  <si>
    <t>COMERCIAL DE TINTAS BRUNONI LTDA</t>
  </si>
  <si>
    <t>BELA TINTAS LTDA</t>
  </si>
  <si>
    <t>GLAUBER DE SOUZA SILVA</t>
  </si>
  <si>
    <t>VENTURI ESTAMPARIA E BORDADOS LTDA ME</t>
  </si>
  <si>
    <t>MARIN LOGISTICA E COMERCIO LTDA</t>
  </si>
  <si>
    <t>NERA DISTRIB DE PROD AGROP LTDA</t>
  </si>
  <si>
    <t>Periodo de 04 a 08/Janeiro  -   Total Vendas:</t>
  </si>
  <si>
    <t>Periodo de 11 a 15/Janeiro  -   Total Vendas:</t>
  </si>
  <si>
    <t>Periodo de 18 a 22/Janeiro  -   Total Vendas:</t>
  </si>
  <si>
    <t>Periodo de 25 a 29/Janeiro  -   Total Vendas:</t>
  </si>
  <si>
    <t>KIILLING S/A</t>
  </si>
  <si>
    <t xml:space="preserve">SEM NF </t>
  </si>
  <si>
    <t>TINTAS TIGRAO LTDA</t>
  </si>
  <si>
    <t>ELIAN INDUSTRIA TEXTIL LTDA</t>
  </si>
  <si>
    <t>ASA MATERIAIS DE CONSTRUCAO E PROD VETER LTDA</t>
  </si>
  <si>
    <t>HIPER JN COM DE MATS PARA CONSTRUCAO LTDA</t>
  </si>
  <si>
    <t>DIAMANTE COMERCIO DE TINTAS LTDA</t>
  </si>
  <si>
    <t>COGO E SPADA COMERCIO DE TINTAS LTDA</t>
  </si>
  <si>
    <t>ELENI JURACI DA COSTA ME</t>
  </si>
  <si>
    <t>GRINGO MATERIAIS DE CONSTRUCAO LTDA</t>
  </si>
  <si>
    <t>PARQUE DAS TINTAS LTDA</t>
  </si>
  <si>
    <t>BERBIGIER MATERIAIS DE CONSTRUCAO LTDA</t>
  </si>
  <si>
    <t>TINTAS IQUINE LTDA</t>
  </si>
  <si>
    <t>MARIN DISTRIBUIDORA DE MATERIAIS DE CONSTRUCAO LTDA</t>
  </si>
  <si>
    <t>VEND. ENT. FUT.</t>
  </si>
  <si>
    <t>INOVAR COMERCIO DE MATERIAIS PARA CONSTRUCAO LTDA</t>
  </si>
  <si>
    <t>MADROCON MATERIAIS DE CONSTRUCAO LTDA</t>
  </si>
  <si>
    <t>NSA TINTAS E MATERIAIS LTDA</t>
  </si>
  <si>
    <t>COMERCIAL DE FERRAGENS MORADA DO SOL LTDA</t>
  </si>
  <si>
    <t>PRESTADORA DE SERVIÇOS EM ALVENARIA DEMASI</t>
  </si>
  <si>
    <t>ANDRADE MATERIAIS DE CONSTRUÇÃO</t>
  </si>
  <si>
    <t>INDUSTRIA DE TINTAS CHARRUA</t>
  </si>
  <si>
    <t>MARISETE BONGIORNO</t>
  </si>
  <si>
    <t>ECOATINGX COMERCIO DE TINTAS LTDA</t>
  </si>
  <si>
    <t>ROLOFF COMÉRCIO DE TINTAS</t>
  </si>
  <si>
    <t>AGENCIA DE VIAGENS E TURISMO KLEINTUR</t>
  </si>
  <si>
    <t>BUSCHLE E LEPPER S/A</t>
  </si>
  <si>
    <t>MARIANA DA SILVA WASIELESKI</t>
  </si>
  <si>
    <t>PONTINTAS</t>
  </si>
  <si>
    <t>REFORMARE</t>
  </si>
  <si>
    <t xml:space="preserve">RCBA TINTAS E ACESSORIOS </t>
  </si>
  <si>
    <t>RO &amp; RO TINTAS LTDA</t>
  </si>
  <si>
    <t>PRIMUS TINTAS LTDA</t>
  </si>
  <si>
    <t>IZAIAS MATERIAIS DE CONSTRUCAO LTDA</t>
  </si>
  <si>
    <t>CONFECCOES CHILDREN LTDA</t>
  </si>
  <si>
    <t>DILSON NUNES GOMES</t>
  </si>
  <si>
    <t>IMPACTO DIST DE MATS DE CONST LTDA</t>
  </si>
  <si>
    <t>INOVE COMERCIO DE TINTAS LTDA</t>
  </si>
  <si>
    <t>MAURO WAGNER ME</t>
  </si>
  <si>
    <t>GERART DISTRIBUIDOR DE TINTAS</t>
  </si>
  <si>
    <t>IMBRALIT IND E COM DE ARTEFATOS DE FIBROCIMENTOS LTDA</t>
  </si>
  <si>
    <t>CURTUME KOROBRAS LTDA</t>
  </si>
  <si>
    <t>ODIMAC COMERCIO DE ARTIGOS DO LAR LTDA</t>
  </si>
  <si>
    <t>CONSTRUMARQUES JAU MATS DE CONST LTDA</t>
  </si>
  <si>
    <t>PRONEX EQUIPAMENTOS INDUSTRIAIS LTDA</t>
  </si>
  <si>
    <t>COMPANHIA PROVIDENCIA INDUSTRIA E COMERCIO</t>
  </si>
  <si>
    <t>GERHART DISTRIBUIDOR DE TINTAS</t>
  </si>
  <si>
    <t>HYOSUNG BRASIL INDUSTRIA E COMERCIO DE FIBRAS LTDA</t>
  </si>
  <si>
    <t>FERRAGEM LORENZET LTDA</t>
  </si>
  <si>
    <t>AKZO NOBEL LTDA</t>
  </si>
  <si>
    <t>TINTASUL DISTRIBUIDOPRA DE TINTAS LTDA</t>
  </si>
  <si>
    <t>WEG TINTAS LTDA</t>
  </si>
  <si>
    <t>JAIRO PEREIRA DA SILVA</t>
  </si>
  <si>
    <t>MANFRIN E MATTE LTDA ME</t>
  </si>
  <si>
    <t>FERRAGEM PARATI LTDA</t>
  </si>
  <si>
    <t>MAXX COLOR COMERCIO DE TINTAS LTDA</t>
  </si>
  <si>
    <t>CONCREMAM MATERIAS PARA CONSTRUCAO LTDA</t>
  </si>
  <si>
    <t>TINTAO COMERCIO DE TINTAS LTDA</t>
  </si>
  <si>
    <t>VEQUIS INDUSTRIA COMERCIO REPRES E DIST LTDA</t>
  </si>
  <si>
    <t>BRANDILI TEXTIL LTDA</t>
  </si>
  <si>
    <t>MOVEIS CARRARO LTDA</t>
  </si>
  <si>
    <t>TINTANORTE DIST DE MATS DE CONST LTDA</t>
  </si>
  <si>
    <t>RUBEN BOFF DAMIAN E CIA LTDA</t>
  </si>
  <si>
    <t>COM DE MATS DE CONST SILVA SALAH LTDA</t>
  </si>
  <si>
    <t>SANDRI E GROEHS LTDA</t>
  </si>
  <si>
    <t>ADEMAR PEDRO DALCIM</t>
  </si>
  <si>
    <t>ORIVALDO JOSE JOFRE</t>
  </si>
  <si>
    <t>KILLING S/A TINTAS E ADESIVOS</t>
  </si>
  <si>
    <t>KOEFENDER E KOEFENDER LTDA</t>
  </si>
  <si>
    <t>KIKO CONFECCOES LTDA</t>
  </si>
  <si>
    <t>GRIS TINTAS LTDA</t>
  </si>
  <si>
    <t>MC MALHAS LTDA</t>
  </si>
  <si>
    <t>SANTO ANDRE MATS DE CONST LTDA</t>
  </si>
  <si>
    <t>HELFER MATERIAIS DE CONSTRUCAO LTDA</t>
  </si>
  <si>
    <t>MARIN DISTRIBUIDORA DE MATS DE CONST LTDA</t>
  </si>
  <si>
    <t>REZZADORI E CIA LTDA</t>
  </si>
  <si>
    <t>HELIA LOURDES DAL RI</t>
  </si>
  <si>
    <t>DEVIT E HOFF LTDA</t>
  </si>
  <si>
    <t>FACILLAR MATERIAIS DE CONSTRUCAO LTDA</t>
  </si>
  <si>
    <t>FERRAGEMS DA CRISTOVAO LTDA</t>
  </si>
  <si>
    <t>CIMAFER COMERCIO DE MATS DE CONST LTDA</t>
  </si>
  <si>
    <t>MUNDIAL CENTER ATACADISTA S/A</t>
  </si>
  <si>
    <t>AQUITEM MATS DE CONST LTDA</t>
  </si>
  <si>
    <t>T M TINTAS LTDA</t>
  </si>
  <si>
    <t>COMERCIO E INDUSTRIA BREITHAUPT S/A</t>
  </si>
  <si>
    <t>FERRAGENS PESCE LTDA</t>
  </si>
  <si>
    <t>MARIANA DA SILVA WASIELESKI EIRELI</t>
  </si>
  <si>
    <t>KERBER COMERCIO DE MATERIAIS DE CONSTRUCAO LTDA</t>
  </si>
  <si>
    <t>TORK COM DE MAQUINAS E FERRAMENTAS</t>
  </si>
  <si>
    <t>INDL DE METAL ADAMS LTDA</t>
  </si>
  <si>
    <t>REDCOR DISTRIBUIDORA DE TINTAS LTDA</t>
  </si>
  <si>
    <t>DURATEX S/A</t>
  </si>
  <si>
    <t>COMERCIAL PONTAROLO LTDA</t>
  </si>
  <si>
    <t>LTG COMERCIO DE TINTAS LTDA ME</t>
  </si>
  <si>
    <t>POTIGUAR MATERIAIS DE COSNTRUCAO LTDA</t>
  </si>
  <si>
    <t>BELISARIO MATERIAL DE CONSTRUCAO LTDA</t>
  </si>
  <si>
    <t>MULIK MATERIAIS DE CONSTRUCAO LTDA</t>
  </si>
  <si>
    <t>YZICOR COMERCIO DE TINTAS LTDA</t>
  </si>
  <si>
    <t>VEBDA</t>
  </si>
  <si>
    <t>MADEREIRA A J REIS</t>
  </si>
  <si>
    <t>JOAO LUIZ SCHNEL</t>
  </si>
  <si>
    <t>ROCHAS MATERIAIS DE CONSTRUÇÃO</t>
  </si>
  <si>
    <t>PEKA MATERIAIS DE CONSTRUÇÃO</t>
  </si>
  <si>
    <t>ARAUJO E FIGUEIREDO LTDA</t>
  </si>
  <si>
    <t>VEND.ENT. FUT</t>
  </si>
  <si>
    <t>MAGGICON CONSTRUÇÃO E DECORAÇÃO</t>
  </si>
  <si>
    <t>ACQUA TINTAS</t>
  </si>
  <si>
    <t>FERRAGEM UNIVERSAL</t>
  </si>
  <si>
    <t>CARLOS BRUNONI</t>
  </si>
  <si>
    <t>EJC MATERIAIS DE CONSTRUÇÃO</t>
  </si>
  <si>
    <t>ONEILTO FERREIRA LOPES ME</t>
  </si>
  <si>
    <t>ANDREIA TERESINHA BERBIGIER</t>
  </si>
  <si>
    <t>MULIK MATERIAIS DE CONSTRUÇÃO LTDA</t>
  </si>
  <si>
    <t>MOUTINHO E CIA LTDA</t>
  </si>
  <si>
    <t>TUA CASA FERRAGEM</t>
  </si>
  <si>
    <t>VS TINTAS</t>
  </si>
  <si>
    <t>TIAGO CASAROTTO</t>
  </si>
  <si>
    <t>VAL &amp; DAL SANTOS LTDA ME</t>
  </si>
  <si>
    <t>CACULA MATERIAIS DE CONSTRUCAO LTDA</t>
  </si>
  <si>
    <t>AGRICOL MATERIAIS DE CONSTRUCAO LTDA</t>
  </si>
  <si>
    <t>COMERCIAL TML LTDA</t>
  </si>
  <si>
    <t>CONSTRUILMA MATERIAIS DE CONSTRUCAO LTDA</t>
  </si>
  <si>
    <t>TINTASUL DISTRIBUIDORA DE TINTAS LTDA</t>
  </si>
  <si>
    <t>ADRILU COMERCIO DE TINTAS LTDA</t>
  </si>
  <si>
    <t>HYOSUNG BRASIL IND E COM DE FIBRAS LTDA</t>
  </si>
  <si>
    <t>GRANJA PINHEIROS LTDA</t>
  </si>
  <si>
    <t>CONSTRUILMA MATERIAL DE CONSTRUCAO LTDA</t>
  </si>
  <si>
    <t>DRP TINTAS E BAZAR LTDA</t>
  </si>
  <si>
    <t>VALTENIO</t>
  </si>
  <si>
    <t>TORK COMERCIO DE MAQUINAS E FERRAMENTAS</t>
  </si>
  <si>
    <t>ANJ TINTAS NAVAIS E INDUSTRIAIS LTDA</t>
  </si>
  <si>
    <t>MORO COMERCIO DE TINTAS LTDA</t>
  </si>
  <si>
    <t>FERRAGEM BARATÃO</t>
  </si>
  <si>
    <t>HEMPEL TINTAS</t>
  </si>
  <si>
    <t>STALAR MATERIAIS DE CONSTRUÇÃO</t>
  </si>
  <si>
    <t>MARINI MATERIAIS DE CONSTRUÇÃO</t>
  </si>
  <si>
    <t>AGCO</t>
  </si>
  <si>
    <t>JAIRO PEREIRA SILV</t>
  </si>
  <si>
    <t>ANGELA A J BUSATTO</t>
  </si>
  <si>
    <t>JHS MATERIAIS DE CONSTRUÇÃO</t>
  </si>
  <si>
    <t>RENY CESAR MENDES</t>
  </si>
  <si>
    <t>DISMIL DISTRIBUIDORA LTDA</t>
  </si>
  <si>
    <t>CENTRAO MATERIAIS DE CONSTRUÇÃO LTDA</t>
  </si>
  <si>
    <t>FERRAGEM SANTIAGO LTDA</t>
  </si>
  <si>
    <t>GMB TINTAS E MATERIAIS PARA CONSTRUÇÃO CIVIL</t>
  </si>
  <si>
    <t>STALAR MATERIAIS DE CONSTRUÇÃO LTDA</t>
  </si>
  <si>
    <t>DEON COMERCIO DE MATERIAIS PARA CONSTRUCAO LTDA</t>
  </si>
  <si>
    <t>Periodo de 7 a 11/Março  -   Total Vendas:</t>
  </si>
  <si>
    <t>Periodo de 14 a 18/Março  -   Total Vendas:</t>
  </si>
  <si>
    <t>Periodo de 21 a 24/Março  -   Total Vendas:</t>
  </si>
  <si>
    <t>Periodo de 28 a 31/Março  -   Total Vendas:</t>
  </si>
  <si>
    <t>Periodo de 01 a 4/março  -   Total Vendas:</t>
  </si>
  <si>
    <t>À vista</t>
  </si>
  <si>
    <t>Boleto 14 dias</t>
  </si>
  <si>
    <t>Ent R$ 10.000,00 + 4x R$ 2.746,46 + 14x R$ 2.496,46</t>
  </si>
  <si>
    <t>Ent R$ 1.870,00 + 10x de R$ 1.870,00</t>
  </si>
  <si>
    <t>Ent R$ 5.980,00 + 8x R$ 2.990,00</t>
  </si>
  <si>
    <t>Ent R$ 9.380,00 + 8x de R$ 4.690,00</t>
  </si>
  <si>
    <t>Ent R$ 10.990,00 + 3x de R$ 4.290,00 + 6x de R$ 990,00</t>
  </si>
  <si>
    <t>Ent R$ 2.983,35 + 5x de R$ 2.983,33</t>
  </si>
  <si>
    <t>Ent R$ 4.750,00 + 5x de R$ 4.750,00</t>
  </si>
  <si>
    <t>Ent R$ 3.033,35 + 5x de R$ 3.033,33</t>
  </si>
  <si>
    <t>Ent R$ 1.950,00 + 1x de R$ 1.950,00 + 8x de R$ 2.215,00</t>
  </si>
  <si>
    <t>Ent R$ 2.866,65 + 5x de R$ 2.866,67</t>
  </si>
  <si>
    <t>Ent R$ 10.100,00 + 2x de R$ 5.050,00</t>
  </si>
  <si>
    <t>Ent R$ 2.585,35 + 5x de R$ 2.858,33</t>
  </si>
  <si>
    <t>Ent R$ 3.128,57 + 6x de R$ 3.128,57</t>
  </si>
  <si>
    <t>Ent R$ 2.858,35 + 5x de R$ 2.858,33</t>
  </si>
  <si>
    <t>Ent R$ 12.000,00 + 4x de R$ 3.950,00</t>
  </si>
  <si>
    <t>Ent R$ 3.985,00 + 3x de R$ 3.318,33 + 2x de R$ 3.601,87 + 9x de R$ 3.351,87</t>
  </si>
  <si>
    <t>Proger (R$ 30.693,60 à vista + 5x de R$ 821,28)</t>
  </si>
  <si>
    <t>Ent R$ 2.606,06 + 11x de R$ 2.606,10</t>
  </si>
  <si>
    <t>Ent R$ 890,00 + 1x de R$ 890,00 + 11x de R$ 1.496,71</t>
  </si>
  <si>
    <t>Ent R$ 4.990,00 + 8x de R$ 1.687,50</t>
  </si>
  <si>
    <t>Boletos 30/60/90/120</t>
  </si>
  <si>
    <t>Ent R$ 1.780,00 + 11x de R$ 1.496,71</t>
  </si>
  <si>
    <t>Ent R$ 5.000,00 + 8x de R$ 1.862,50</t>
  </si>
  <si>
    <t>Ent R$ 2.475,00 + 9x de R$ 825,00</t>
  </si>
  <si>
    <t>Ent R$ 2.670,00 + 4x de R$ 1.557,50</t>
  </si>
  <si>
    <t>Ent R$ 10.470,00 + 5x de R$ 4.886,00</t>
  </si>
  <si>
    <t>Ent R$ 16.691,67 + 5x de R$ 16.691,67</t>
  </si>
  <si>
    <t>Proger</t>
  </si>
  <si>
    <t>Ent R$ 3.780,00 + 11x de R$ 1.647,27</t>
  </si>
  <si>
    <t>Ent R$ 3.150,00 = 5x de R$ 3.150,00</t>
  </si>
  <si>
    <t>Ent R$ 5.000,00 + 10x de R$ 1.525,20</t>
  </si>
  <si>
    <t>Ent R$ 6.900,00 + 6x de R$ 2.500,00</t>
  </si>
  <si>
    <t>VALMOR SANTO TALGATI ME</t>
  </si>
  <si>
    <t>47,53,</t>
  </si>
  <si>
    <t>SANDRO RODRIGUES CONSTRUCOES ME</t>
  </si>
  <si>
    <t>W-8 TEXTIL LTDA</t>
  </si>
  <si>
    <t>DANILO CORREA NUNES ME</t>
  </si>
  <si>
    <t>VERNISUL INDUSTRIA E COMERCIO DE TINTAS LTDA</t>
  </si>
  <si>
    <t>GABRIL AGATTI STRAPASSON ME</t>
  </si>
  <si>
    <t>BMC MATERIAIS DE CONSTRUCAO LTDA</t>
  </si>
  <si>
    <t>M DE S NASCIMENTO EIRELI EPP</t>
  </si>
  <si>
    <t>TINTAS ROCHA ILHA SUL LTDA</t>
  </si>
  <si>
    <t>Z P ACABAMENTOS LTDA ME</t>
  </si>
  <si>
    <t>OCL COMERCIO E IMPORTACAO LTDA</t>
  </si>
  <si>
    <t>WHIRLPOOL S/A</t>
  </si>
  <si>
    <t>DEON</t>
  </si>
  <si>
    <t>RENILDA DOS SANTOS RIPOLL EPP</t>
  </si>
  <si>
    <t>ALESSANDRA ANDRADE OLIVEIRA ME</t>
  </si>
  <si>
    <t>MUNDIAL S/A PRODUTOS DE CONSUMO</t>
  </si>
  <si>
    <t>AUTO SUL COMERCIO DE PECAS E TINTAS LTDA</t>
  </si>
  <si>
    <t>DAPPER ELY E VASCONCELOS COMERCIAL DE TINTAS LTDA ME</t>
  </si>
  <si>
    <t>Ent R$ 13.000,00 + 9x de R$ 2.082,76</t>
  </si>
  <si>
    <t>FERRAGEM BARROS ASSAL LTDA</t>
  </si>
  <si>
    <t>MAX RICARDO MARIN E CIA LTDA</t>
  </si>
  <si>
    <t>MARLI CATARINA HENNICKA ME</t>
  </si>
  <si>
    <t>CECRISA REVESIMENTOS CERAMICOS S/A</t>
  </si>
  <si>
    <t>BEDIN COMERCIO DE MATERIAIS DE COSNTRUCAO EIRELI ME</t>
  </si>
  <si>
    <t>COMERCIO DE TINTAS ALTO URUGUAI EIRELI</t>
  </si>
  <si>
    <t>BOCK E MALDANER LTDA EPP</t>
  </si>
  <si>
    <t>CONCORD COMERCIO DE MATERIAIS DE CONSTRUCAO LTDA</t>
  </si>
  <si>
    <t>MOVISTAR COMERCIO DE MATERIAIS DE CONSTRUCAO</t>
  </si>
  <si>
    <t>ECOL MATERIAIS DE CONSTRUCAO LTDA</t>
  </si>
  <si>
    <t>COMERCIAL DE MATERIAIS DE CONSTRUCAO PORTAL DA ILHA LTDA</t>
  </si>
  <si>
    <t>DECORTEC TINTAS LTDA EPP</t>
  </si>
  <si>
    <t>TOK LAR COMERCIO DE TINTAS LTDA</t>
  </si>
  <si>
    <t>DEMATEC MATERIAIS DE CONSTRUCOES LTDA</t>
  </si>
  <si>
    <t>BIGOLIN MATERIAIS DE CONSTRUCAO LTDA</t>
  </si>
  <si>
    <t>INOVAR COMERCIO DE MATS DE CONST LTDA</t>
  </si>
  <si>
    <t>MAD A J REIS LTDA</t>
  </si>
  <si>
    <t>BONE DISTRIBUIDORA DE FERRMENTAS E ABRASIVOS LTDA</t>
  </si>
  <si>
    <t>A P GUIMARAES NETO</t>
  </si>
  <si>
    <t>DIFERPAN COMERCIO IMPORTACAO EXPORTACAO LTDA</t>
  </si>
  <si>
    <t>MOVISTAR COMERCIO DE MAT CONST LTDA</t>
  </si>
  <si>
    <t>PONTINTAS COMERCIO DE TINTAS LTDA</t>
  </si>
  <si>
    <t>GILSON CONRADO PRESTES EIRELI EPP</t>
  </si>
  <si>
    <t>METALURGICA E VIDRACARIA CONSTRUFERRO LTDA ME</t>
  </si>
  <si>
    <t>COUSSEAU INDUSTRIA COMERCIO E SERVISO LTDA</t>
  </si>
  <si>
    <t>CACULA MATERIAIS PARA CONSTRUCAO LTDA</t>
  </si>
  <si>
    <t>ARTCOR FUTURA TINTAS LTDA ME</t>
  </si>
  <si>
    <t>COMERCIO DE TINTAS MAT ELETR HIDRAU VERGINIA</t>
  </si>
  <si>
    <t>IRMAOS LOREGIAN LTDA</t>
  </si>
  <si>
    <t>VALTENIO E MARY LUCIA LTDA</t>
  </si>
  <si>
    <t>JOSE WALDEMAR LES</t>
  </si>
  <si>
    <t>ILHA TINTAS LTDA</t>
  </si>
  <si>
    <t>DAPPER ELY</t>
  </si>
  <si>
    <t>KISCH TINTAS LTDA</t>
  </si>
  <si>
    <t>J SANTIS DISTRIBUIDORA DE TINTAS</t>
  </si>
  <si>
    <t>FABIO DOS SANTOS ME</t>
  </si>
  <si>
    <t xml:space="preserve">STEIL E STEIL </t>
  </si>
  <si>
    <t>MONSANTO DO BRASIL</t>
  </si>
  <si>
    <t>INOVE COMERCIO DE TINTAS</t>
  </si>
  <si>
    <t>RENY CESAR MENDES LTDA</t>
  </si>
  <si>
    <t>R &amp; B MATERIAIS DE CONSTRUÇÃO</t>
  </si>
  <si>
    <t>TOIGO COMERCIO DE MATERIAIS DE CONSTRUÇÃO</t>
  </si>
  <si>
    <t>A N J TINTAS NAVAIS E INDUSTRIAIS LTDA</t>
  </si>
  <si>
    <t>AMPLA MATERIAIS DE CONTRUÇÃO LTDA</t>
  </si>
  <si>
    <t>MAULONI E CIA LTDA</t>
  </si>
  <si>
    <t>AMAZON DISTRIBUIDORA DE TINTAS LTDA</t>
  </si>
  <si>
    <t>RECANTO COMERCIO DE TINTAS LTDA</t>
  </si>
  <si>
    <t>ELETROTINTAS COMERCIAL LTDA</t>
  </si>
  <si>
    <t>CAMILA GALVAN MARQUES</t>
  </si>
  <si>
    <t>HEMKEMEIER MATERIAIS DE CONSTRUCAO LTDA ME</t>
  </si>
  <si>
    <t>ELOI BAUER MELO E CIA LTDA</t>
  </si>
  <si>
    <t>TOIGO COMERCIO DE MATS DE CONST LTDA</t>
  </si>
  <si>
    <t>BAUER TINTAS E ACESSORIOS LTDA</t>
  </si>
  <si>
    <t>MARTA BIANCA DO AMARANTE</t>
  </si>
  <si>
    <t>Ent R$ 3.066,65 + 4x</t>
  </si>
  <si>
    <t>Ent R$ 19.200,00 + 9x</t>
  </si>
  <si>
    <t>Ent R$ 4.900,00 + 7x</t>
  </si>
  <si>
    <t>Ent R$ 10.000,00 + 2x</t>
  </si>
  <si>
    <t>Proger (R$ 29.988) + 6x</t>
  </si>
  <si>
    <t>Ent R$ 13.600,00  9x</t>
  </si>
  <si>
    <t>Ent R$ 3.360,00 + 4x</t>
  </si>
  <si>
    <t>Ent R$ 1.000,00 + 5x</t>
  </si>
  <si>
    <t>Boleto 25/42 dias</t>
  </si>
  <si>
    <t>Ent R$ 3.780,00 + 11x</t>
  </si>
  <si>
    <t>Ent R$ 2.799,00 + 9x</t>
  </si>
  <si>
    <t>Boleto 9x</t>
  </si>
  <si>
    <t>Ent R4 5.670,00 + 3x</t>
  </si>
  <si>
    <t>Ent R$ 1.975,00 + 3x</t>
  </si>
  <si>
    <t>Ent R4 5.957,50 + 5x</t>
  </si>
  <si>
    <t>Ent R$ 8.997,00 + 5x</t>
  </si>
  <si>
    <t>Ent R$ 6.800,00 + 11x</t>
  </si>
  <si>
    <t>BLATTCON MATERIAIS DE CONSTRUCAO</t>
  </si>
  <si>
    <t>Periodo de 01/Abril  -   Total Vendas:</t>
  </si>
  <si>
    <t>Periodo de 04 a 08/Abril  -   Total Vendas:</t>
  </si>
  <si>
    <t>Periodo de 11 a 15/Abril  -   Total Vendas:</t>
  </si>
  <si>
    <t>Periodo de 18 a 22/Abril  -   Total Vendas:</t>
  </si>
  <si>
    <t>Periodo de 25 a 29/Abril  -   Total Vendas:</t>
  </si>
  <si>
    <t>L E PEDROTTI TINTAS LTDA</t>
  </si>
  <si>
    <t>DURATEX S.A.</t>
  </si>
  <si>
    <t>TINTAGEM COMERCIAL</t>
  </si>
  <si>
    <t>TINTAGEM COMERCIAL LTDA</t>
  </si>
  <si>
    <t>OCL</t>
  </si>
  <si>
    <t>MANNRICH IND E COM DE MALHAS LTDA</t>
  </si>
  <si>
    <t>CATIVA TEXTIL INDUSTRIA E COMERCIO LTDA</t>
  </si>
  <si>
    <t>SAND BEACH INDUSTRIA DE CONFECCOES LTDA</t>
  </si>
  <si>
    <t>PALACIO DAS TINTAS MATS CONST LTDA</t>
  </si>
  <si>
    <t>DELMAR KLEIN ME</t>
  </si>
  <si>
    <t>BEDIN COMERCIO DE MATS DE CONST</t>
  </si>
  <si>
    <t>RO E RO TINTAS LTDA</t>
  </si>
  <si>
    <t>CENTRO DE TINTAS ESPUMOSENSE LTDA</t>
  </si>
  <si>
    <t>MMA MATERIAIS DE CONSTRUCOES LTDA</t>
  </si>
  <si>
    <t>JET RETAIL SERVICES GESTAO EMPRESARIAL LTDA</t>
  </si>
  <si>
    <t>HYDRONORTH S/A</t>
  </si>
  <si>
    <t>FLAJO IND COM DE ACABAMENTOS TEXTEIS LTDA</t>
  </si>
  <si>
    <t>BERNARDI BERNARDI MATERIAIS DE CONSTRUCAO LTDA</t>
  </si>
  <si>
    <t>RS CARVALHO MATERIAIS DE COSNTRUCAO LTDA</t>
  </si>
  <si>
    <t>DAPPER ELY E VASCONCELOS COM TINTAS LTDA</t>
  </si>
  <si>
    <t>ESPACO AZUL MATERIAIS PARA CONSTRUCAO LTDA</t>
  </si>
  <si>
    <t>GERSON LUIZ BRIZOLLA ME</t>
  </si>
  <si>
    <t>ELEGANCE CONSTRUCAO CIVIL LTDA</t>
  </si>
  <si>
    <t>JCC TINTAS LTDA</t>
  </si>
  <si>
    <t>HEMPEL TINTAS DO BRASIL LTDA</t>
  </si>
  <si>
    <t>MANNRICH INDUSTRIA E COMERCIO DE MALHAS LTDA</t>
  </si>
  <si>
    <t>MARIA A TESSEROLI HLADKYI E CIA LTDA</t>
  </si>
  <si>
    <t>FLAJO IND E COM DE ACABAMENTOS TEXTEIS LTDA</t>
  </si>
  <si>
    <t>BERNARDI BERNARDI MATERIAIS DE CONSTRUICAO LTDA ME</t>
  </si>
  <si>
    <t>GERSON ANTONIO ZANCANARO</t>
  </si>
  <si>
    <t>STEDILE MADEIRAS E MAT CONST LTDA</t>
  </si>
  <si>
    <t>COMERCIAL AGROP BOI CRIOULO LTDA</t>
  </si>
  <si>
    <t>MATERIAIS PARA CONST OLIMPICO LTDA</t>
  </si>
  <si>
    <t>GAIA LTDA</t>
  </si>
  <si>
    <t>FERRAGEM PORAO LTDA</t>
  </si>
  <si>
    <t>GLOBO CORES TINTAS LTDA</t>
  </si>
  <si>
    <t>ALTERNATIVA TINTAS</t>
  </si>
  <si>
    <t>BARCELOS MATS CONST LTDA</t>
  </si>
  <si>
    <t>DEON COM MATS CONST LTDA</t>
  </si>
  <si>
    <t>DIFERPAN COM IMP EXP LTDA</t>
  </si>
  <si>
    <t>ALIANCA MATS CONST LTDA</t>
  </si>
  <si>
    <t>ELEBAT ALIMENTOS S/A</t>
  </si>
  <si>
    <t>CIA PROVIDENCIA INDUSTRIA E COMERCIO LTDA</t>
  </si>
  <si>
    <t>TUMELERO MATERIAIS DE CONSTRUCAO S/A</t>
  </si>
  <si>
    <t>POTIGUAR MATERIAIS DE CONSTRUCAO LTDA</t>
  </si>
  <si>
    <t>HYOSUNG BRASIL IND COM FIBRAS LTDA</t>
  </si>
  <si>
    <t>CIA ULTRAGAZ S/A</t>
  </si>
  <si>
    <t>ELIAS MARTINS DAROS</t>
  </si>
  <si>
    <t>MULTIBEL UTILIDADES E ELETRODOMESTICOS LTDA</t>
  </si>
  <si>
    <t>SANTANA DISTRIBUIDOR DE TINTAS</t>
  </si>
  <si>
    <t>MUNDIAL CENTER ATACADISTA</t>
  </si>
  <si>
    <t>TREVO CASA &amp; CONSTRUÇÃO LTDA</t>
  </si>
  <si>
    <t>TINTAS REAL COMPANY IND E COM DE TINTAS LTDA</t>
  </si>
  <si>
    <t>COSTI COMERCIO DE TINTAS LTDA</t>
  </si>
  <si>
    <t>TREVO CASA &amp; CONSTRUCAO LTDA ME</t>
  </si>
  <si>
    <t>LEANDRO THEREZIO GANZERT ME</t>
  </si>
  <si>
    <t>ROMANCINI TINTAS</t>
  </si>
  <si>
    <t>KILLING</t>
  </si>
  <si>
    <t>TINTAS OLIVEIRA</t>
  </si>
  <si>
    <t>CONSTRUTORA ANA CLARA</t>
  </si>
  <si>
    <t>AMAZON DISTRIBUIDORA</t>
  </si>
  <si>
    <t>BENEVIDES MATERIAIS DE CONSTRUÇÃO</t>
  </si>
  <si>
    <t>MADEREIRA ZUCOLOTTO LTDA</t>
  </si>
  <si>
    <t>YZICOR COMERCIO DE TINTASLTDA</t>
  </si>
  <si>
    <t>ZEPO MATERIAIS DE CONSTRUCAO LTDA</t>
  </si>
  <si>
    <t>IVETE CORSO SELAU E CIA LTDA</t>
  </si>
  <si>
    <t>MADEREIRA RAMPANELLI LTDA</t>
  </si>
  <si>
    <t>CONFECCOES DIAL LTDA</t>
  </si>
  <si>
    <t>T PERUZZO LTDA</t>
  </si>
  <si>
    <t>PLUS ESTAMPARIA LTDA</t>
  </si>
  <si>
    <t>CATARINA ZULIAN E CIA LTDA</t>
  </si>
  <si>
    <t>PERUZZO TINTAS LTDA</t>
  </si>
  <si>
    <t>RUBENS JULIO SHISHIDO EPP</t>
  </si>
  <si>
    <t>BOCK E MALDANER LTDA</t>
  </si>
  <si>
    <t>Ent R$ 8.235,00 + 7x</t>
  </si>
  <si>
    <t>Ent R$ 3.066,65 + 5x</t>
  </si>
  <si>
    <t>Ent R$ 5.560,00 + 11x</t>
  </si>
  <si>
    <t>Boleto 21 dias</t>
  </si>
  <si>
    <t>Ent R$ 3.975,00 + 3x</t>
  </si>
  <si>
    <t>À Vista</t>
  </si>
  <si>
    <t>Ent R$ 3.750,00 + 7x</t>
  </si>
  <si>
    <t>Ent R$ 6.270,00 + 6x</t>
  </si>
  <si>
    <t>Boleto 7 dias</t>
  </si>
  <si>
    <t>DEPÓSITO ARTHUSO</t>
  </si>
  <si>
    <t>DIEGO BEPPLER</t>
  </si>
  <si>
    <t>VEND. ENT. FUT</t>
  </si>
  <si>
    <t>D &amp; L COMERCIO DE TINTAS LTDA</t>
  </si>
  <si>
    <t>BENEVIDES MATERIAIS DE CONSTRUCAO LTDA</t>
  </si>
  <si>
    <t>ASSIS BOMBAS</t>
  </si>
  <si>
    <t>BIMBO DO BRASIL</t>
  </si>
  <si>
    <t>IGOR E CIA LTDA</t>
  </si>
  <si>
    <t>FERNANDO SANTIAGO GIACOBBO ME</t>
  </si>
  <si>
    <t>COMERCIAL DE TINTAS VLADIMIR LTDA</t>
  </si>
  <si>
    <t>COLOR TINTAS CHAPECO LTDA ME</t>
  </si>
  <si>
    <t>AMPERE MATERIAIS DE CONSTRUCOES LTDA</t>
  </si>
  <si>
    <t>CONSTRUA TURVO COMERCIO DE MATS CONST LTDA</t>
  </si>
  <si>
    <t>M E S COMERCIAL DE TINTAS LTDA</t>
  </si>
  <si>
    <t>MARIN DISTRIBUIDORA DE MATS CONST LTDA</t>
  </si>
  <si>
    <t>Ent R4 13.160,00 + 10x</t>
  </si>
  <si>
    <t>Boleto 5x</t>
  </si>
  <si>
    <t>Boleto 4x</t>
  </si>
  <si>
    <t>Periodo de 02 a 06/Maio  -   Total Vendas:</t>
  </si>
  <si>
    <t>Periodo de 09 a 13/Maio  -   Total Vendas:</t>
  </si>
  <si>
    <t>Periodo de 16 a 20/Maio  -   Total Vendas:</t>
  </si>
  <si>
    <t>Periodo de 23 a 27/Maio  -   Total Vendas:</t>
  </si>
  <si>
    <t>Periodo de 30 a 31/Maio  -   Total Vendas:</t>
  </si>
  <si>
    <t>COMERCIAL DE TINTAS CATTIANI LTDA</t>
  </si>
  <si>
    <t>RAMBO COM E TRANSP MATS CONST LTDA</t>
  </si>
  <si>
    <t>RAMBO COM E TRANSP MATS CONT LTDA</t>
  </si>
  <si>
    <t>J TAVARES MATERIAIS DE CONSTRUCAO LTDA</t>
  </si>
  <si>
    <t>J B SCHMIDT MATERIAIS DE CONSTRUCAO LTDA</t>
  </si>
  <si>
    <t>J SCHMIDT MATERIAS DE CONSTRUCAO LTDA</t>
  </si>
  <si>
    <t>DIFERPAN COMERCIO IMPORTACAO EXPORTCAO LTDA</t>
  </si>
  <si>
    <t>PANA E TREVISOL LTDA</t>
  </si>
  <si>
    <t>MAGGICON CONSTRUCAO E DECORACAO LTDA</t>
  </si>
  <si>
    <t>RAMBO COMERCIO E TRANSP MATS CONST LTDA</t>
  </si>
  <si>
    <t>GERHART DISTRIBUIDORA DE TINTAS</t>
  </si>
  <si>
    <t>CASA DAS TINTAS EIRELI</t>
  </si>
  <si>
    <t>DEON COMERCIO DE MATS CONST LTDA</t>
  </si>
  <si>
    <t>MONSANTO DO BRASIL LTDA</t>
  </si>
  <si>
    <t>MATERIAIS DE CONSTRUCAO MEIROCH LTDA</t>
  </si>
  <si>
    <t>JZAGO MATERIAIS DE CONSTRUCAO LTDA</t>
  </si>
  <si>
    <t>CHIQUINHO MATERIAIS DE CONSTRUCAO LTDA</t>
  </si>
  <si>
    <t>COMERCIAL IVAIPORA LTDA</t>
  </si>
  <si>
    <t>MADEREIRA E FERRAGEM KASTELO LTDA</t>
  </si>
  <si>
    <t>MAQUINAS JUNQUEIRA</t>
  </si>
  <si>
    <t>BURITI MATERIAIS PARA CONSTRUCAO LTDA</t>
  </si>
  <si>
    <t>CONSTRUTORA BRACATINGA LTDA</t>
  </si>
  <si>
    <t>RAFAEL &amp; ABOU LTDA</t>
  </si>
  <si>
    <t>GILSON CONRADO PRESTES EIRELI</t>
  </si>
  <si>
    <t>COMERCIAL CHUVEIRAO DAS TINTAS LTDA</t>
  </si>
  <si>
    <t>GLC MATERIAIS DE CONSTRUCAO LTDA</t>
  </si>
  <si>
    <t>CHUVEIRAO COMERCIO DE MATS DE CONST LTDA</t>
  </si>
  <si>
    <t>PPG INDUSTRIAL DO BRASIL TINTAS E VERNIZES</t>
  </si>
  <si>
    <t>ART E COR COMERCIO E SERVICOS LTDA</t>
  </si>
  <si>
    <t>ETERNIT S/A</t>
  </si>
  <si>
    <t>CD-MAX INDUSTRIA E COMERCIO DE TINTAS LTDA</t>
  </si>
  <si>
    <t>SRR COMERCIO DE MATERIAIS DE CONSTRUCAO LTDA ME</t>
  </si>
  <si>
    <t>SILVANA B S LISBOA</t>
  </si>
  <si>
    <t>COMACO COMERCIO DE MATERIAL DE CONSTRUCAO LTDA</t>
  </si>
  <si>
    <t>PPG INDUSTRIAL DO BRASIL TINTAS E VERNIZES LTDA</t>
  </si>
  <si>
    <t>REALEZA MATERIAIS DE CONSTRUCAO LTDA</t>
  </si>
  <si>
    <t>BATEZINE MATERIAIS DE COSNTRUCAO LTDA</t>
  </si>
  <si>
    <t>E O COMERCIO DE TINTAS LTDA</t>
  </si>
  <si>
    <t>BATEZINE MATERIAIS DE CONSTRUCAO LTDA</t>
  </si>
  <si>
    <t>CONSTRUCAL MATERIAIS DE CONSTRUCAO LTDA</t>
  </si>
  <si>
    <t>COMERCIO DE TINTAS ALTO URUGUAI LTDA</t>
  </si>
  <si>
    <t>MULIK MATERIAIS DE COSNTRUCAO LTDA</t>
  </si>
  <si>
    <t>CECRISA REVESTIMENTOS CERAMICOS S/A</t>
  </si>
  <si>
    <t>MULIK MATERIAIS DE CONSTRUCAO LTDA EPP</t>
  </si>
  <si>
    <t>EDIFICARE ENGENHARIA LTDA</t>
  </si>
  <si>
    <t>RONDOTINTAS COMERCIO DE TINTAS LTDA</t>
  </si>
  <si>
    <t>MARIN DISTRIBUIDORA DE MATERIAIS DE COSNTRUCAO LTDA</t>
  </si>
  <si>
    <t>CONSTRUNETTO MATERIAIS DE CONSTRUCAO LTDA</t>
  </si>
  <si>
    <t>VILMA MORCHE PALMITAL ME</t>
  </si>
  <si>
    <t>COLORLINE TINTAS LTDA</t>
  </si>
  <si>
    <t>VOVO ANTONIO MATERIAIS DE CONSTRUCAO LTDA ME</t>
  </si>
  <si>
    <t>R PIVATTO E CIA LTDA</t>
  </si>
  <si>
    <t>REDCOR DISTRIBUIDORA DE TINTAS LTDA EPP</t>
  </si>
  <si>
    <t>DEMONSTRAÇÃO</t>
  </si>
  <si>
    <t>FLAVIO MAGRI TERRES ME</t>
  </si>
  <si>
    <t>AVIVEM COMERCIO DE TINTAS LTDA</t>
  </si>
  <si>
    <t>CONSTRUCENTER MATS DE CONST AGROPECUARIA</t>
  </si>
  <si>
    <t>RIOSUL TINTAS LTDA</t>
  </si>
  <si>
    <t>UNIVERSO TINTAS E VERNIZES LTDA</t>
  </si>
  <si>
    <t>Boleto 30/60/90/120</t>
  </si>
  <si>
    <t>Ent R$ 3.000,00 + 10x</t>
  </si>
  <si>
    <t>Ent R$ 2.970,00 + 5x</t>
  </si>
  <si>
    <t>Ent R$ 2.000,00 + 11x</t>
  </si>
  <si>
    <t>Boleto 11x</t>
  </si>
  <si>
    <t>Ent R$ 6.200,00 + 4x</t>
  </si>
  <si>
    <t>Ent R$ 5.000,00 5x</t>
  </si>
  <si>
    <t>Ent R$ 5.670,00 + 8x</t>
  </si>
  <si>
    <t>Ent R$ 2.670,00 + 8x</t>
  </si>
  <si>
    <t>Emt R$ 4.900,00 + 8x</t>
  </si>
  <si>
    <t>Ent R$ 11.900,00 + 3x</t>
  </si>
  <si>
    <t>Boleto 8x</t>
  </si>
  <si>
    <t>Ent R$ 6.990,00 + 8x</t>
  </si>
  <si>
    <t>BNDES</t>
  </si>
  <si>
    <t>Periodo de 01 a 03/Junho  -   Total Vendas:</t>
  </si>
  <si>
    <t>Periodo de 06 a 10/Junho  -   Total Vendas:</t>
  </si>
  <si>
    <t>Periodo de 13 a 17/Junho  -   Total Vendas:</t>
  </si>
  <si>
    <t>Periodo de 20 a 24/Junho  -   Total Vendas:</t>
  </si>
  <si>
    <t>Periodo de 27 a 30/Junho  -   Total Vendas:</t>
  </si>
  <si>
    <t>OCV MATERIAL DE CONSTRUCAO E FERRAGEM LTDA</t>
  </si>
  <si>
    <t>NORTE COMERCIO DE PRODUTOS AGROPECUARIOS VETER LTDA</t>
  </si>
  <si>
    <t>BIAZI MATERIAIS DE CONSTRUCAO LTDA</t>
  </si>
  <si>
    <t>HIPER JN COMERCIO DE MATERIAIS DE CONSTRUCAO LTDA</t>
  </si>
  <si>
    <t>CLENIO ALBERTO LOVIS TRENTIN</t>
  </si>
  <si>
    <t>DISCAL COMERCIO DE MATERIAIS DE CONSTRUCAO LTDA</t>
  </si>
  <si>
    <t>PONTO CERTO LTDA</t>
  </si>
  <si>
    <t>MAQUINAS JUNQUEIRA LTDA</t>
  </si>
  <si>
    <t>CLAUDIANO CUSTODIO DOS ANJOS EPP</t>
  </si>
  <si>
    <t>PAULO RICARDO FASSBINDER TINTAS</t>
  </si>
  <si>
    <t>HARTZ TINTAS LTDA</t>
  </si>
  <si>
    <t>MECK MATERIAIS DE CONSTRUCAO LTDA</t>
  </si>
  <si>
    <t>J C CHERPINSKI TINTAS ME</t>
  </si>
  <si>
    <t>SULTECNICA INDUSTRIA MECANICA LTDA</t>
  </si>
  <si>
    <t>FOPPA E CIA LTDA</t>
  </si>
  <si>
    <t>MADELIMA MATERIAIS DE CONSTRUCAO LTDA</t>
  </si>
  <si>
    <t>BRUSQUE TINTAS LTDA</t>
  </si>
  <si>
    <t>CLAUDIO LORENZON E CIA LTDA ME</t>
  </si>
  <si>
    <t>MATELANDIA COM IMP E EXP DE FERRAGEM LTDA</t>
  </si>
  <si>
    <t>DISCAL COMERCIO DE MATERIAIS DE CONSTRUCOES LTDA</t>
  </si>
  <si>
    <t>CASA DAS TINTAS MABA LTDA</t>
  </si>
  <si>
    <t>TINTASINOS COMERCIO DE TINTAS LTDA</t>
  </si>
  <si>
    <t>COMERCIAL DE TINTAS CATTANI LTDA</t>
  </si>
  <si>
    <t>RENNER SUL DISTRIBUIDORA LTDA</t>
  </si>
  <si>
    <t>TINTAS LUSACOR LTDA</t>
  </si>
  <si>
    <t>M M T COMERCIO E SERVICOS LTDA</t>
  </si>
  <si>
    <t>COMERCIAL DE FERRAGENS MORADA DO SOL</t>
  </si>
  <si>
    <t>CASSEROLLES RESTAURANTE  E PIZZARIA LTDA</t>
  </si>
  <si>
    <t>SHERWIN WILLIAMS DO BRASIL INDUSTRIA E COMERCIO LTDA</t>
  </si>
  <si>
    <t>COMERCIAL DE TINTAS DILKIN LTDA</t>
  </si>
  <si>
    <t>MAURO REDUA</t>
  </si>
  <si>
    <t>DIFERPAN COMERCIO IMPORTACAO E EXPORTACAO LTDA</t>
  </si>
  <si>
    <t>LUCAS ROMERO TINTAS ME</t>
  </si>
  <si>
    <t>RIBEIRO DE ALMEIDA MATERIAIS DE CONSTRUCAO LTDA</t>
  </si>
  <si>
    <t>QUALIFLEX INDUSTRIA E COMERCIO DE TINTAS LTDA</t>
  </si>
  <si>
    <t>COMERCIAL DISTRIBUIDORA BONFIGLIOLI LTDA</t>
  </si>
  <si>
    <t>GAMA DISTRIBUIDORA DE TINTAS LTDA</t>
  </si>
  <si>
    <t>ATLANTICO TINTAS COMERCIO E SERVICO LTDA ME</t>
  </si>
  <si>
    <t>VALDIR ORSSI BOECKEL</t>
  </si>
  <si>
    <t>VIVAL COMERCIO DE TINTAS LTDA</t>
  </si>
  <si>
    <t>CASACOR TINTAS ARACATUBA LTDA</t>
  </si>
  <si>
    <t>ESTOQUE TINTAS EIRELI</t>
  </si>
  <si>
    <t>TINTAS MAGOGA LTDA</t>
  </si>
  <si>
    <t>AROMAT PRODUTOS QUIMICOS LTDA</t>
  </si>
  <si>
    <t>TINTORAURO COMERCIO DE TINTAS LTDA</t>
  </si>
  <si>
    <t>COLOR TINTAS CHAPECO LTDA</t>
  </si>
  <si>
    <t>J W MOTA ME</t>
  </si>
  <si>
    <t>RENY CESAR MENDES ME</t>
  </si>
  <si>
    <t>COM E REPRE GOUVEA LTDA</t>
  </si>
  <si>
    <t>CARLESSO MATERIAIS DE CONSTRUCAO LTDA</t>
  </si>
  <si>
    <t>LUIZ ALBERTO DE OLIVEIRA BETO</t>
  </si>
  <si>
    <t>AQUARELA TINTAS LTDA</t>
  </si>
  <si>
    <t>COOPERATIVA CENTRAL AURORA ALIMENTOS</t>
  </si>
  <si>
    <t>MATERIAIS DE CONSTRUCAO ROGERI LTDA</t>
  </si>
  <si>
    <t>LUIS ALBERTO DE OLIVEIRA BETO EPP</t>
  </si>
  <si>
    <t>ALDEIA CORES COMERCIO DE TINTAS E ACABAMENTOS LTDA</t>
  </si>
  <si>
    <t>ILDO BREMM JUSTEN</t>
  </si>
  <si>
    <t>STALAR MATERIAIS DE CONSTRUCAO LTDA</t>
  </si>
  <si>
    <t>CARLESSO MATERIAIS DE CONSTRUCAO EIRELI</t>
  </si>
  <si>
    <t>GSM DISTRIBUIDORA DE TINTAS LTDA</t>
  </si>
  <si>
    <t>BONE DISTRIBUIDORA DE FERRAMENTAS E ABRASIVOS LTDA</t>
  </si>
  <si>
    <t>Ent R$ 8.900,00 + 8x</t>
  </si>
  <si>
    <t>Ent R$ 5.000,00 + 9x</t>
  </si>
  <si>
    <t>Ent R$ 3.033,34 + 5x</t>
  </si>
  <si>
    <t>Ent R$ 4.781,67 + 5x</t>
  </si>
  <si>
    <t>Ent R$ 6.297,00 + 5x</t>
  </si>
  <si>
    <t>Ent R$ 11.914,29 + 6x</t>
  </si>
  <si>
    <t>Ent R$ 10.000,00 + 8x</t>
  </si>
  <si>
    <t>Ent R$ 4.000,00 + 9x</t>
  </si>
  <si>
    <t>Ent R$ 4.000,00 + 4x</t>
  </si>
  <si>
    <t>Ent R$ 2.670,00 + 4x</t>
  </si>
  <si>
    <t>Ent R$ 6.500,00 + 2x</t>
  </si>
  <si>
    <t>Boleto 15 dd</t>
  </si>
  <si>
    <t>FERRAGEM DA CRISTOVAO LTDA</t>
  </si>
  <si>
    <t>SERRANA COMERCIO DE TINTAS LTDA</t>
  </si>
  <si>
    <t>L M COMERCIO DE TINTAS LTDA</t>
  </si>
  <si>
    <t>GASPARIN E FILHOS LTDA</t>
  </si>
  <si>
    <t>SOROKA TINTAS LTDA</t>
  </si>
  <si>
    <t>HEMKEMEIER MATS DE CONST LTDA</t>
  </si>
  <si>
    <t>ROVAN COMERCIO DE MATS DE CONST LTDA</t>
  </si>
  <si>
    <t>MELO E ROCHA LTDA ME</t>
  </si>
  <si>
    <t>CASA PARANA AGROP MATERIAIS DE CONSTRUCAO LTDA</t>
  </si>
  <si>
    <t>TREVO CASA E CONSTRUCAO LTDA</t>
  </si>
  <si>
    <t>CASA DA OBRA MATERIAIS DE COSNTRUCAO LTDA</t>
  </si>
  <si>
    <t>KM COMERCIO DE MATERIAIS DE CONSTRUCAO LTDA</t>
  </si>
  <si>
    <t>ROTA E ROTA COMERCIO DE MATERIAIS DE CONSTRUCAO LTDA</t>
  </si>
  <si>
    <t>ESTAMPARIA WESKLANN LTDA</t>
  </si>
  <si>
    <t>COOPERATIVA TRITICOLA MISTA CAMPO NOVO LTDA</t>
  </si>
  <si>
    <t>HERNANDES HERNANDES LTDA ME</t>
  </si>
  <si>
    <t>ROVAN COMERCIO DE MATERIAL DE CONSTRUCAO LTDA</t>
  </si>
  <si>
    <t>COMERCIAL TINTAS E CORES LTDA</t>
  </si>
  <si>
    <t>ANA CLAUDIA DOS SANTOS NIZER WITT E CIA LTDA</t>
  </si>
  <si>
    <t>COMPARATIVO POR TRIMESTRE 2016</t>
  </si>
  <si>
    <t>COMPARATIVO POR SEMESTRE 2016</t>
  </si>
  <si>
    <t>1° Semestre</t>
  </si>
  <si>
    <t>2° Semestre</t>
  </si>
  <si>
    <t>Clóvis</t>
  </si>
  <si>
    <t>Periodo de 01/Julho  -   Total Vendas:</t>
  </si>
  <si>
    <t>Periodo de 04 a 08/Julho  -   Total Vendas:</t>
  </si>
  <si>
    <t>Periodo de 11 a 15/Julho  -   Total Vendas:</t>
  </si>
  <si>
    <t>Periodo de 18 a 22/Julho  -   Total Vendas:</t>
  </si>
  <si>
    <t>Periodo de 25 a 29/Julho  -   Total Vendas:</t>
  </si>
  <si>
    <t>SINOS TINTAS LTDA</t>
  </si>
  <si>
    <t>TINTAS ROCHA LTDA</t>
  </si>
  <si>
    <t>FABIO HIROSHI KIBINO</t>
  </si>
  <si>
    <t>CASA DA PINTURA REDECOR LTDA</t>
  </si>
  <si>
    <t>ESPARIA ROSIN LTDA</t>
  </si>
  <si>
    <t>SHOP CONSTRUCAO E DECORACAO LTDA</t>
  </si>
  <si>
    <t>VANDERLEI SILVEIRA DE AVILA</t>
  </si>
  <si>
    <t>CONSTRUCOLOR COMERCIO DE TINTAS LTDA</t>
  </si>
  <si>
    <t>A JACOME FERREIRA IMPORTACAO EXPORTACAO</t>
  </si>
  <si>
    <t>MADELIMA MATERIAIS DE COSNTRUCAO LTDA</t>
  </si>
  <si>
    <t>ROCHA E TROMBELLI LTDA</t>
  </si>
  <si>
    <t>UNIVERSO DAS CORES TINTAS LTDA</t>
  </si>
  <si>
    <t>JOAO DEMETRIO E FILHOS LTDA</t>
  </si>
  <si>
    <t>FARIAS ALIMENTOS S/A</t>
  </si>
  <si>
    <t>FORNECEDORA DALLA BERNARDINA</t>
  </si>
  <si>
    <t>ESTAMPARIA ROSIN LTDA</t>
  </si>
  <si>
    <t>PARESUL MATERIAIS DE CONSTRUCAO LTDA</t>
  </si>
  <si>
    <t>DISTRIBUIDORA DE TINTAS APARECIDA LTDA</t>
  </si>
  <si>
    <t>METALURGICA E VIDRACARIA CONSTRUFERRO LTDA</t>
  </si>
  <si>
    <t>EDIFIER CONSTRUCAO CIVIL</t>
  </si>
  <si>
    <t>VAGNER BORN FOSTER</t>
  </si>
  <si>
    <t>COMERCIO DE MATERIAIS DE CONSTRUCAO COSTA AZUL LTDA</t>
  </si>
  <si>
    <t>GUIABIMAT COMERCIO DE MATERIAIS DE CONSTRUCAO LTDA</t>
  </si>
  <si>
    <t>CCM INDUSTRIA E COMERCIO DE TINTAS LTDA</t>
  </si>
  <si>
    <t>LITIVA COMERCIO DE MATERIAIS DE CONSTRUCAO</t>
  </si>
  <si>
    <t>TRANSCOR INDDUSTRIA DE PIGMENTOS E CORANTES LTDA</t>
  </si>
  <si>
    <t>E STRICKLER DUTRA</t>
  </si>
  <si>
    <t>ESPECTRO TINTAS LTDA</t>
  </si>
  <si>
    <t>GILBERTO JUNQUEIRA LAUTERT</t>
  </si>
  <si>
    <t>ALIANCA TINTAS E TEXTURAS LTDA</t>
  </si>
  <si>
    <t>SHERWIN WILLIAMS DO BRASIL INDUSTRIA E COMERCIO</t>
  </si>
  <si>
    <t>SANTANA PRODUTOS SIDERURGICOS LTDA</t>
  </si>
  <si>
    <t>TRANSCOR INDUSTRIA DE PIGMENTOS E CORANTES LTDA</t>
  </si>
  <si>
    <t>VALECOR TINTAS LTDA</t>
  </si>
  <si>
    <t>Periodo de 01 a 05/Agosto-   Total Vendas:</t>
  </si>
  <si>
    <t>Periodo de 15 a 19/Agosto  -   Total Vendas:</t>
  </si>
  <si>
    <t>Periodo de 22 a 26/Agosto  -   Total Vendas:</t>
  </si>
  <si>
    <t>Periodo de 29 a 31/Agosto  -   Total Vendas:</t>
  </si>
  <si>
    <t>TINTAS ALESSI LTDA</t>
  </si>
  <si>
    <t>Ent R$ 4.665,00 + 5x</t>
  </si>
  <si>
    <t>Ent R$ 4.800,00 + 5x</t>
  </si>
  <si>
    <t>Ent R$ 3.500,00 + 11x</t>
  </si>
  <si>
    <t>Ent R$ 3.640,00 + 4x</t>
  </si>
  <si>
    <t>Ent R$ 2.855,74 + 6x</t>
  </si>
  <si>
    <t>Ent R$ 8.400,00 + 4x</t>
  </si>
  <si>
    <t>Ent $4 1.780,00 + 4x</t>
  </si>
  <si>
    <t>Ent R$ 12.400,00 + 4x</t>
  </si>
  <si>
    <t>Periodo de 08 a 12/Agosto  -   Total Vendas:</t>
  </si>
  <si>
    <t>Ent R$ 3.560,00 + 11x</t>
  </si>
  <si>
    <t>ALBERTO C DE L SILVA ME</t>
  </si>
  <si>
    <t>LOJAS DE DEPARTAMENTOS MILIUM LTDA</t>
  </si>
  <si>
    <t>PONTO DA CONSTRUCAO URAI LTDA</t>
  </si>
  <si>
    <t>ANDRADE MATERIAIS DE CONSTRUCAO LTDA</t>
  </si>
  <si>
    <t>BESEN COMERCIO DE MATS DE CONS E IMOBILIARIA LTDA</t>
  </si>
  <si>
    <t>RODRIGUES CASA DO CONSTRUTOR LTDA</t>
  </si>
  <si>
    <t>GON TINTAS COMERCIO DE TINTAS LTDA</t>
  </si>
  <si>
    <t>ROQUE SPIES E CIA LTDA ME</t>
  </si>
  <si>
    <t>JCC TINTAS LTDA ME</t>
  </si>
  <si>
    <t>COMERCIAL CASTELINHO LTDA</t>
  </si>
  <si>
    <t>VINICOLOR INDDUSTRIA E COMERCIO TEXTURA E GRAFIATO LTDA</t>
  </si>
  <si>
    <t>EXPORTAÇÃO</t>
  </si>
  <si>
    <t>MIMBI CENTER DE MANUEL CRISPULO DEL PUERTO</t>
  </si>
  <si>
    <t>TINTAS CURITIBA LTDA</t>
  </si>
  <si>
    <t>ACQUA TINTAS LTDA</t>
  </si>
  <si>
    <t>CONSTRUIR FÁCIL MATERIAIS DE CONSTRUÇÃO</t>
  </si>
  <si>
    <t>DG COMERCIO DE TINTAS LTDA</t>
  </si>
  <si>
    <t>COMERCIAL DE PRODUTOS AGROPECUARIOS PECHER LTDA</t>
  </si>
  <si>
    <t>GASPARIN &amp; FILHOS</t>
  </si>
  <si>
    <t>KRICK TINTAS LTDA</t>
  </si>
  <si>
    <t>DURATEX S.A</t>
  </si>
  <si>
    <t>ELEBAT</t>
  </si>
  <si>
    <t>SOLAE</t>
  </si>
  <si>
    <t>COOPERATIVA TRITICOLA MISTA CAMPO NOVO</t>
  </si>
  <si>
    <t>LOJAS DE DEPARTAMENTO MILIUM</t>
  </si>
  <si>
    <t>CASA DAS TINTAS MABA</t>
  </si>
  <si>
    <t>BREJAO COMERCIAL</t>
  </si>
  <si>
    <t>MARCELO CATTO MATERIAIS DE CONSTRUÇÃO LTDA</t>
  </si>
  <si>
    <t>ELIAN INSDUSTRIA TEXTIL</t>
  </si>
  <si>
    <t xml:space="preserve">J A ROCHA E CIA </t>
  </si>
  <si>
    <t xml:space="preserve">FERRAJAO MATERIAIS DE CONSTRUÇÃO </t>
  </si>
  <si>
    <t>VAGNER LOPES GIRALDI MAT TINTAS</t>
  </si>
  <si>
    <t>ROVAN COMERCIO DE MATERIAS DE CONSTRUÇÃO</t>
  </si>
  <si>
    <t>GRAPHITE COM DE TINTAS LTDA</t>
  </si>
  <si>
    <t>LOPES E RAMOS LTDA</t>
  </si>
  <si>
    <t xml:space="preserve">COMERCIAL DE PRODUTOS AGROPECUARIOS PECHER </t>
  </si>
  <si>
    <t>NILZA SOUSA DA SILVA</t>
  </si>
  <si>
    <t>ESCALAR COR</t>
  </si>
  <si>
    <t>MADEKIKO MATERIAIS DE CONSTRUÇÃO</t>
  </si>
  <si>
    <t>TORK COMERCIO DE MAQUINAS</t>
  </si>
  <si>
    <t>PRS MACHADO E CIA LTDA</t>
  </si>
  <si>
    <t>DAHMER E COLLING LTDA</t>
  </si>
  <si>
    <t>BAUER TINTAS E ACESSORIOS</t>
  </si>
  <si>
    <t>TINTAPAR</t>
  </si>
  <si>
    <t>DIFERRAGENS REPRESENTAÇÕES</t>
  </si>
  <si>
    <t>DAHMER E COLLING</t>
  </si>
  <si>
    <t>FERRAGEM PORÃO</t>
  </si>
  <si>
    <t>CANOAS TINTAS</t>
  </si>
  <si>
    <t>DOVAC</t>
  </si>
  <si>
    <t>BIAZUS E CIA</t>
  </si>
  <si>
    <t>MADEREIRA RAMPANELLI</t>
  </si>
  <si>
    <t>L L  DE PONTES</t>
  </si>
  <si>
    <t>TUMELERO MATERIAS DE CONTRUÇÃO</t>
  </si>
  <si>
    <t>TINTAS ALESSI</t>
  </si>
  <si>
    <t>BRUNO FERREIRA</t>
  </si>
  <si>
    <t>COMERCIAL DE TINTAS MATERIAL HIDRÁULICO E ELETRICO VERGINIA</t>
  </si>
  <si>
    <t>COMERCIAL DE TINTAS DILKIN</t>
  </si>
  <si>
    <t>BIAZUS E CIA LTDA</t>
  </si>
  <si>
    <t>COOPERATIVA TRITICOLA SARANDI</t>
  </si>
  <si>
    <t>FERRAGEM LORENZET</t>
  </si>
  <si>
    <t>GT MOTORES E ELETRICA LTDA</t>
  </si>
  <si>
    <t>JOAO HUMBERTO Zrenner</t>
  </si>
  <si>
    <t>ART &amp; COR COMERCIO E SERVIÇOS</t>
  </si>
  <si>
    <t>GERHARDT &amp; FILHOS LTDA</t>
  </si>
  <si>
    <t>CAMPAGNOLO COMERCIO DE TINTAS</t>
  </si>
  <si>
    <t>PRAIANA COMERCIO DE MATERIAS DE CONSTRUÇÃO</t>
  </si>
  <si>
    <t>NELSON F DE MELLO</t>
  </si>
  <si>
    <t>ADAMI S/A MADEIRAS</t>
  </si>
  <si>
    <t>DIFERPAN COM IMP EXOP LTDA</t>
  </si>
  <si>
    <t>CARLOS ROBERTO PRETTI</t>
  </si>
  <si>
    <t>W8 TEXTIL LTDA</t>
  </si>
  <si>
    <t>MULTI LOJA E FERRAGEM OLIVEIRA LTDA</t>
  </si>
  <si>
    <t>TUMELERO MATERIAIS DE CONSTRUCAO LS/A</t>
  </si>
  <si>
    <t>QUEDAS DO IGUACU MATERIAIS DE CONSTRUCAO</t>
  </si>
  <si>
    <t>IRMAOS POLETTO E CIA LTDA</t>
  </si>
  <si>
    <t>POLETTO EXPORTACAO E IMPORTACAO DE CEREAIS LTDA</t>
  </si>
  <si>
    <t>CONSTRUCENTER MARIA MATERIAIS DE CONSTRUCAO LTDA</t>
  </si>
  <si>
    <t>KIKO CONFECCOES LTDA EPP</t>
  </si>
  <si>
    <t>PIZZARIA E RESTAURANTE CASSEROLES LTDA</t>
  </si>
  <si>
    <t>HIPER MERCADO GOTARDO LTDA</t>
  </si>
  <si>
    <t>COMERCIO DE TINTAS MATERIAL ELETRICO HIDRAULICO VERGINIA LTDA</t>
  </si>
  <si>
    <t>EDUARDO BARCELOS MATERIAIS DE CONSTRUCAO</t>
  </si>
  <si>
    <t>VALESAN MATERIAIS PARA CONSTRUCAO LTDA</t>
  </si>
  <si>
    <t>FERRAGEM MAFRA LTDA</t>
  </si>
  <si>
    <t>AQUARELA TINTAS E FERRAMENTAS LTDA</t>
  </si>
  <si>
    <t>DEPOSITO ARTHUSO LTDA</t>
  </si>
  <si>
    <t>RENATO MAIA ROCHA EPP</t>
  </si>
  <si>
    <t>JOAO HUMBERTO ZRENNER ME</t>
  </si>
  <si>
    <t>J A ROCHA E CIA LTDA</t>
  </si>
  <si>
    <t>PALACIO DAS TINTAS MATERIAIS DE CONSTRUCAO LTDA</t>
  </si>
  <si>
    <t>ROVITEX INDUSTRIA E COMERCIO DE MALHAS LTDA</t>
  </si>
  <si>
    <t>OKASA COMERCIO DE MATERIAL DE CONSTRUCAO LTDA</t>
  </si>
  <si>
    <t>DECORTEC TINTAS LTDA</t>
  </si>
  <si>
    <t>VENCE CUSTOMIZADORA DE PRODUTOS LTDA ME</t>
  </si>
  <si>
    <t>LOTICI MATERIAIS DE CONSTRUCAO LTDA</t>
  </si>
  <si>
    <t>PRUMO MANUTENCAO DE MAQUINAS E EQUIPAMENTOS LTDA</t>
  </si>
  <si>
    <t>A M DE SOUZA CONSTRUCIA</t>
  </si>
  <si>
    <t>MAFESA TINTAS LTDA</t>
  </si>
  <si>
    <t>COMERCIAL DE FERRAGENS JANTARA LTDA</t>
  </si>
  <si>
    <t>TORK COMERCIO DE MAQUINAS E FERRAMENTAS LTDA</t>
  </si>
  <si>
    <t>RODO VIAS TINTAS E SINALIZACAO VIARIA EIRELI</t>
  </si>
  <si>
    <t>ANDREA TERESINHA BERBIGIER ME</t>
  </si>
  <si>
    <t>LOJAS DE DEPARTAMENTO MILIUM LTDA</t>
  </si>
  <si>
    <t>ARAUJO E FIGUEIREDO LTDA ME</t>
  </si>
  <si>
    <t>ALEXANDRE RODRIGUES DE ARAUJO ME</t>
  </si>
  <si>
    <t>C M BORTOLOSO</t>
  </si>
  <si>
    <t>PG ATACADO DAS TINTAS LTDA ME</t>
  </si>
  <si>
    <t>MAZZOCHIN MATERIAIS DE CONSTRUCAO EIRELI EPP</t>
  </si>
  <si>
    <t>CONSTRUCASA MATERIAIS DE CONSTRUCAO LTDA</t>
  </si>
  <si>
    <t>PERUZZO MATERIAIS DE CONSTRUCAO LTDA</t>
  </si>
  <si>
    <t>EDINEI PEREIRA GOMES ME</t>
  </si>
  <si>
    <t>PEROBA FINA MATERIAIS PARA CONSTRUCAO LTDA</t>
  </si>
  <si>
    <t>PEROBA FINA MATERIAIS DE CONSTRUCAO LTDA</t>
  </si>
  <si>
    <t>ALFFA COMERCIO DE TINTAS MATERIAIS PARA PINTURA</t>
  </si>
  <si>
    <t>LOJAS DEPARTAMENTO MILIUM LTDA</t>
  </si>
  <si>
    <t>MADEREIRA DAISA LTDA</t>
  </si>
  <si>
    <t>RENO J HAUBERT</t>
  </si>
  <si>
    <t>MIRANDA COMERCIO DE TINTAS LTDA</t>
  </si>
  <si>
    <t>CONSTRUJA DISTRIBUIDORA DE MATERIAIS PARA CONSTRUCAO LTDA</t>
  </si>
  <si>
    <t>JALMYR ALVES DE CARVALHO</t>
  </si>
  <si>
    <t>MEDEIREIRA DAISA LTDA</t>
  </si>
  <si>
    <t>LOJAS DE DEPPARTAMENTO MILIUM LTDA</t>
  </si>
  <si>
    <t>CRISMAR MATERIAIS DE CONSTRUÇÃO LTDA</t>
  </si>
  <si>
    <t>MARSILVA - COMERCIO, SERVILÇOS E REPRESENTAÇÕES</t>
  </si>
  <si>
    <t>TUMELERO MATERIAIS DE CONSTRUÇÃO</t>
  </si>
  <si>
    <t>ASSIS MÁQUINA</t>
  </si>
  <si>
    <t>PRAIANA COM MATS CONST LTDA</t>
  </si>
  <si>
    <t>M S R DA SILVA E SILVA</t>
  </si>
  <si>
    <t>MARISOL VESTUÁRIO AS</t>
  </si>
  <si>
    <t>BEIJA FLOR TINTAS</t>
  </si>
  <si>
    <t>COLORTEX COMERCIO DE TINTAS</t>
  </si>
  <si>
    <t>BORTOLATO MATERIAL PARA CONSTRUÇÃP</t>
  </si>
  <si>
    <t>Ent R$ 3.780,00 + 4x</t>
  </si>
  <si>
    <t>Ent R$ 3.000,00 + 15 dias + 3x cartão</t>
  </si>
  <si>
    <t>Ent R$ 2.916,67 + 5x</t>
  </si>
  <si>
    <t>Ent R$ 4.725,00 + 3x</t>
  </si>
  <si>
    <t>Ent R$ 6.900,00 + 4x</t>
  </si>
  <si>
    <t>Ent R$ 3.990,00 + 8x</t>
  </si>
  <si>
    <t>Ent R$ 4.200,00 + 4x</t>
  </si>
  <si>
    <t>Ent R$ 3.000,00 + 6x</t>
  </si>
  <si>
    <t>Ent R$ 3.420,00 + 4x</t>
  </si>
  <si>
    <t>Ent R$ 5.000,00 + 5x</t>
  </si>
  <si>
    <t>Ent R$ 7.900,00 + 4x</t>
  </si>
  <si>
    <t>Ent R$ 8.800,00 + 4x</t>
  </si>
  <si>
    <t>Ent R$ 2.370,00 + 4x</t>
  </si>
  <si>
    <t>Ent R$ 7.830,00 + 4x</t>
  </si>
  <si>
    <t>ONDAS INDUSTRIA E COMERCIO DE CONFECÇÕES</t>
  </si>
  <si>
    <t>RAFAELA S PADILHA</t>
  </si>
  <si>
    <t>ALTECH DO BRASIL</t>
  </si>
  <si>
    <t>PAINI E PIANI LTDA</t>
  </si>
  <si>
    <t>BORTOLATO MATERIAL PARA CONSTRUÇÃO</t>
  </si>
  <si>
    <t>Ent R$ 2.799,00 + 12x</t>
  </si>
  <si>
    <t>Ent R$ 4.428,58 + 6x</t>
  </si>
  <si>
    <t>Ent R$ 8.000,00 + 4x</t>
  </si>
  <si>
    <t>Ent R$ 4.900,00 + 3x</t>
  </si>
  <si>
    <t>Emt R$ 5.000,00 + 5x</t>
  </si>
  <si>
    <t>Ent R$ 890,00 + 9x</t>
  </si>
  <si>
    <t>Ent R$ 5.997,00 + 8x</t>
  </si>
  <si>
    <t>TIJUCAS TINTAS LTDA</t>
  </si>
  <si>
    <t>JORGE ERNESTO RIZZOTTO</t>
  </si>
  <si>
    <t>BELOTTI COMERCIO DE MADEIRAS MATERIAIS DE CONSTRUCAO LTDA</t>
  </si>
  <si>
    <t>ONDAS INDUSTRIA E COMERCIO DE CONFECCOES LTDA</t>
  </si>
  <si>
    <t>CONSTRUTORRES  COMERCIO DE MATERIAIS PARA CONSTRUCAO</t>
  </si>
  <si>
    <t>MADEREIRA IDEAL LTDA</t>
  </si>
  <si>
    <t>CONSTRUTORRES COMERCIO MATERIAIS DE CONSTRUCAO</t>
  </si>
  <si>
    <t>IRMAOS PICCOLI LTDA</t>
  </si>
  <si>
    <t>VANIR JOAO DE CARLI</t>
  </si>
  <si>
    <t>CASA DE TINTAS BRASIL</t>
  </si>
  <si>
    <t>CONSTRUILMA MATERIAL DE CONSTRUÇÃO</t>
  </si>
  <si>
    <t>DAPPER ELY E VASCONCELOS</t>
  </si>
  <si>
    <t>CONSTRUCENTER MARIA</t>
  </si>
  <si>
    <t xml:space="preserve">RAMBO COMERCIO E TRANSPORTES </t>
  </si>
  <si>
    <t>COM DE TINTAS PREDIAIS E AUTOMOTIVAS OLIVEIRA</t>
  </si>
  <si>
    <t>PIANI E PIANI</t>
  </si>
  <si>
    <t>CONSTRUILMA MAT DE CONSTRUÇÃO</t>
  </si>
  <si>
    <t>EDD DE ALMEIDA E CIA</t>
  </si>
  <si>
    <t>GILVAN GOMES</t>
  </si>
  <si>
    <t>TINTAVEL - TINTAS E MATS DE CONSTCASCAVEL</t>
  </si>
  <si>
    <t>21/11/196</t>
  </si>
  <si>
    <t>COM DE TINTAS PREDIAIS E AUTO OLIVEIRA</t>
  </si>
  <si>
    <t>RAMBO</t>
  </si>
  <si>
    <t>DEPOSITO JOTAERRE</t>
  </si>
  <si>
    <t>HORIGIN ELETRICA</t>
  </si>
  <si>
    <t>KMM CASA E CONSTRUÇÃO</t>
  </si>
  <si>
    <t>ZAPECHOUKA</t>
  </si>
  <si>
    <t>MARN LOGISTICA E COMERCIO</t>
  </si>
  <si>
    <t>KRICK TINTAS</t>
  </si>
  <si>
    <t>TINTAS LUSACOR</t>
  </si>
  <si>
    <t>VALMORBIDA</t>
  </si>
  <si>
    <t>DECORTEC TINTAS</t>
  </si>
  <si>
    <t>COLOR TINTAS CHAPECO</t>
  </si>
  <si>
    <t>J M C TINTAS</t>
  </si>
  <si>
    <t>W8</t>
  </si>
  <si>
    <t>SHERWIN WILLIAMS</t>
  </si>
  <si>
    <t>IRMÃOS KARPINSKI</t>
  </si>
  <si>
    <t>OXITENO AS INDUSTRIA E COMERCIO</t>
  </si>
  <si>
    <t>PEREIRA E BAUER</t>
  </si>
  <si>
    <t>EQUATORIAL TINTAS</t>
  </si>
  <si>
    <t>CASA DAS TINTAS FERREIRA NETO</t>
  </si>
  <si>
    <t>BEIRA MAR TINTAS</t>
  </si>
  <si>
    <t>MUNDIAL TINTAS</t>
  </si>
  <si>
    <t>TISA NORDESTE COM E REPRESENTAÇÃO</t>
  </si>
  <si>
    <t>CASA DAS TINTAS 100 CORES</t>
  </si>
  <si>
    <t>BOCCHI E BRANDELERO LTDA</t>
  </si>
  <si>
    <t>W C H COMERCIO DE TINTAS LTDA</t>
  </si>
  <si>
    <t>VITORIA COMERCIO DE TINTAS LTDA</t>
  </si>
  <si>
    <t>C &amp; E COMERCIO DE TINTAS LTDA</t>
  </si>
  <si>
    <t>CONSTRUCASA MATAERIAIS DE CONSTRUCAO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</si>
</sst>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&quot;R$ &quot;#,##0.00"/>
    <numFmt numFmtId="166" formatCode="&quot;R$&quot;\ #,##0.00"/>
    <numFmt numFmtId="167" formatCode="[$-416]General"/>
  </numFmts>
  <fonts count="4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Tahoma"/>
      <family val="2"/>
    </font>
    <font>
      <b/>
      <u/>
      <sz val="14"/>
      <color indexed="8"/>
      <name val="Tahoma"/>
      <family val="2"/>
    </font>
    <font>
      <sz val="9"/>
      <color indexed="8"/>
      <name val="Tahoma"/>
      <family val="2"/>
    </font>
    <font>
      <sz val="11"/>
      <color indexed="8"/>
      <name val="Calibri"/>
      <family val="2"/>
    </font>
    <font>
      <sz val="10"/>
      <color indexed="8"/>
      <name val="Tahoma"/>
      <family val="2"/>
    </font>
    <font>
      <sz val="10"/>
      <color indexed="10"/>
      <name val="Tahoma"/>
      <family val="2"/>
    </font>
    <font>
      <b/>
      <sz val="9"/>
      <color indexed="8"/>
      <name val="Tahoma"/>
      <family val="2"/>
    </font>
    <font>
      <sz val="11"/>
      <color indexed="8"/>
      <name val="Tahoma"/>
      <family val="2"/>
    </font>
    <font>
      <sz val="10"/>
      <name val="Arial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9"/>
      <color indexed="48"/>
      <name val="Tahoma"/>
      <family val="2"/>
    </font>
    <font>
      <sz val="9"/>
      <color indexed="48"/>
      <name val="Tahoma"/>
      <family val="2"/>
    </font>
    <font>
      <b/>
      <sz val="9"/>
      <color indexed="10"/>
      <name val="Tahoma"/>
      <family val="2"/>
    </font>
    <font>
      <b/>
      <sz val="11"/>
      <color indexed="10"/>
      <name val="Tahoma"/>
      <family val="2"/>
    </font>
    <font>
      <sz val="11"/>
      <color indexed="10"/>
      <name val="Tahoma"/>
      <family val="2"/>
    </font>
    <font>
      <u/>
      <sz val="9"/>
      <color indexed="8"/>
      <name val="Tahoma"/>
      <family val="2"/>
    </font>
    <font>
      <sz val="9"/>
      <color indexed="57"/>
      <name val="Tahoma"/>
      <family val="2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Tahoma"/>
      <family val="2"/>
    </font>
    <font>
      <sz val="9"/>
      <color indexed="62"/>
      <name val="Tahoma"/>
      <family val="2"/>
    </font>
    <font>
      <sz val="10"/>
      <color indexed="62"/>
      <name val="Tahoma"/>
      <family val="2"/>
    </font>
    <font>
      <b/>
      <sz val="9"/>
      <color indexed="12"/>
      <name val="Tahoma"/>
      <family val="2"/>
    </font>
    <font>
      <b/>
      <sz val="9"/>
      <color indexed="51"/>
      <name val="Tahoma"/>
      <family val="2"/>
    </font>
    <font>
      <b/>
      <sz val="9"/>
      <color indexed="17"/>
      <name val="Tahoma"/>
      <family val="2"/>
    </font>
    <font>
      <b/>
      <sz val="9"/>
      <name val="Tahoma"/>
      <family val="2"/>
    </font>
    <font>
      <sz val="11"/>
      <color indexed="9"/>
      <name val="Tahoma"/>
      <family val="2"/>
    </font>
    <font>
      <b/>
      <u/>
      <sz val="16"/>
      <color indexed="8"/>
      <name val="Calibri"/>
      <family val="2"/>
    </font>
    <font>
      <sz val="11"/>
      <name val="Calibri"/>
      <family val="2"/>
    </font>
    <font>
      <b/>
      <sz val="12"/>
      <color indexed="62"/>
      <name val="Calibri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sz val="8"/>
      <name val="Calibri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Tahoma"/>
      <family val="2"/>
    </font>
    <font>
      <b/>
      <sz val="9"/>
      <color theme="9" tint="-0.249977111117893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39" fillId="0" borderId="0" applyBorder="0" applyProtection="0"/>
    <xf numFmtId="0" fontId="11" fillId="0" borderId="0"/>
    <xf numFmtId="0" fontId="11" fillId="0" borderId="0"/>
    <xf numFmtId="9" fontId="6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7" fillId="0" borderId="0" xfId="1" applyFont="1" applyAlignment="1">
      <alignment horizontal="center" vertical="center"/>
    </xf>
    <xf numFmtId="164" fontId="8" fillId="0" borderId="0" xfId="1" applyFont="1" applyFill="1" applyAlignment="1">
      <alignment vertical="center"/>
    </xf>
    <xf numFmtId="164" fontId="3" fillId="0" borderId="0" xfId="1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4" fontId="9" fillId="0" borderId="0" xfId="1" applyFont="1" applyAlignment="1">
      <alignment horizontal="center" vertical="center"/>
    </xf>
    <xf numFmtId="164" fontId="9" fillId="2" borderId="0" xfId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5" applyFont="1" applyAlignment="1">
      <alignment horizontal="left" vertical="center"/>
    </xf>
    <xf numFmtId="0" fontId="12" fillId="0" borderId="0" xfId="5" applyFont="1" applyAlignment="1">
      <alignment vertical="center"/>
    </xf>
    <xf numFmtId="14" fontId="12" fillId="0" borderId="0" xfId="5" applyNumberFormat="1" applyFont="1" applyAlignment="1">
      <alignment horizontal="center" vertical="center"/>
    </xf>
    <xf numFmtId="164" fontId="12" fillId="0" borderId="0" xfId="1" applyFont="1" applyAlignment="1">
      <alignment horizontal="center" vertical="center"/>
    </xf>
    <xf numFmtId="164" fontId="7" fillId="2" borderId="0" xfId="1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14" fontId="13" fillId="3" borderId="0" xfId="0" applyNumberFormat="1" applyFont="1" applyFill="1" applyAlignment="1">
      <alignment horizontal="center" vertical="center"/>
    </xf>
    <xf numFmtId="164" fontId="13" fillId="3" borderId="0" xfId="1" applyFont="1" applyFill="1" applyAlignment="1">
      <alignment horizontal="center" vertical="center"/>
    </xf>
    <xf numFmtId="44" fontId="8" fillId="3" borderId="0" xfId="2" applyFont="1" applyFill="1" applyAlignment="1">
      <alignment horizontal="center" vertical="center"/>
    </xf>
    <xf numFmtId="44" fontId="13" fillId="3" borderId="0" xfId="2" applyFont="1" applyFill="1" applyAlignment="1">
      <alignment horizontal="center" vertical="center"/>
    </xf>
    <xf numFmtId="164" fontId="8" fillId="0" borderId="0" xfId="1" applyFont="1" applyAlignment="1">
      <alignment vertical="center"/>
    </xf>
    <xf numFmtId="14" fontId="7" fillId="0" borderId="0" xfId="0" applyNumberFormat="1" applyFont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2" fillId="0" borderId="0" xfId="4" applyFont="1" applyAlignment="1">
      <alignment vertical="center"/>
    </xf>
    <xf numFmtId="14" fontId="12" fillId="0" borderId="0" xfId="4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64" fontId="12" fillId="2" borderId="0" xfId="1" applyFont="1" applyFill="1" applyAlignment="1">
      <alignment horizontal="center" vertical="center"/>
    </xf>
    <xf numFmtId="164" fontId="8" fillId="2" borderId="0" xfId="1" applyFont="1" applyFill="1" applyAlignment="1">
      <alignment vertical="center"/>
    </xf>
    <xf numFmtId="164" fontId="15" fillId="2" borderId="1" xfId="1" applyFont="1" applyFill="1" applyBorder="1" applyAlignment="1">
      <alignment vertical="center"/>
    </xf>
    <xf numFmtId="0" fontId="16" fillId="0" borderId="0" xfId="0" applyFont="1" applyAlignment="1">
      <alignment horizontal="center" vertical="center"/>
    </xf>
    <xf numFmtId="164" fontId="17" fillId="0" borderId="0" xfId="1" applyFont="1" applyFill="1" applyAlignment="1">
      <alignment horizontal="center" vertical="center"/>
    </xf>
    <xf numFmtId="164" fontId="18" fillId="0" borderId="0" xfId="1" applyFont="1" applyAlignment="1">
      <alignment horizontal="right" vertical="center"/>
    </xf>
    <xf numFmtId="4" fontId="19" fillId="0" borderId="0" xfId="6" applyNumberFormat="1" applyFont="1" applyFill="1" applyAlignment="1">
      <alignment vertical="center"/>
    </xf>
    <xf numFmtId="0" fontId="20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64" fontId="7" fillId="0" borderId="2" xfId="1" applyFont="1" applyBorder="1" applyAlignment="1">
      <alignment horizontal="center" vertical="center"/>
    </xf>
    <xf numFmtId="164" fontId="8" fillId="0" borderId="2" xfId="1" applyFont="1" applyFill="1" applyBorder="1" applyAlignment="1">
      <alignment vertical="center"/>
    </xf>
    <xf numFmtId="164" fontId="3" fillId="0" borderId="2" xfId="1" applyFont="1" applyFill="1" applyBorder="1" applyAlignment="1">
      <alignment vertical="center"/>
    </xf>
    <xf numFmtId="0" fontId="21" fillId="0" borderId="0" xfId="0" applyFont="1" applyAlignment="1">
      <alignment horizontal="left" vertical="center"/>
    </xf>
    <xf numFmtId="164" fontId="9" fillId="0" borderId="0" xfId="1" applyFont="1" applyFill="1" applyAlignment="1">
      <alignment vertical="center"/>
    </xf>
    <xf numFmtId="164" fontId="12" fillId="3" borderId="0" xfId="1" applyFont="1" applyFill="1" applyAlignment="1">
      <alignment horizontal="center" vertical="center"/>
    </xf>
    <xf numFmtId="164" fontId="8" fillId="3" borderId="0" xfId="1" applyFont="1" applyFill="1" applyAlignment="1">
      <alignment vertical="center"/>
    </xf>
    <xf numFmtId="164" fontId="15" fillId="3" borderId="0" xfId="1" applyFont="1" applyFill="1" applyBorder="1" applyAlignment="1">
      <alignment vertical="center"/>
    </xf>
    <xf numFmtId="164" fontId="3" fillId="0" borderId="0" xfId="0" applyNumberFormat="1" applyFont="1" applyAlignment="1">
      <alignment vertical="center"/>
    </xf>
    <xf numFmtId="164" fontId="22" fillId="0" borderId="0" xfId="1" applyFont="1" applyAlignment="1">
      <alignment horizontal="left" vertical="center"/>
    </xf>
    <xf numFmtId="164" fontId="22" fillId="0" borderId="0" xfId="1" applyFont="1" applyAlignment="1">
      <alignment vertical="center"/>
    </xf>
    <xf numFmtId="14" fontId="22" fillId="0" borderId="0" xfId="1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14" fontId="5" fillId="0" borderId="2" xfId="0" applyNumberFormat="1" applyFont="1" applyBorder="1" applyAlignment="1">
      <alignment horizontal="center" vertical="center"/>
    </xf>
    <xf numFmtId="164" fontId="8" fillId="0" borderId="0" xfId="1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64" fontId="7" fillId="2" borderId="0" xfId="1" applyFont="1" applyFill="1" applyAlignment="1">
      <alignment horizontal="center" vertical="center"/>
    </xf>
    <xf numFmtId="164" fontId="23" fillId="2" borderId="1" xfId="1" applyFont="1" applyFill="1" applyBorder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4" fontId="23" fillId="0" borderId="2" xfId="1" applyFont="1" applyFill="1" applyBorder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center" vertical="center"/>
    </xf>
    <xf numFmtId="4" fontId="19" fillId="0" borderId="0" xfId="6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0" borderId="0" xfId="1" applyFont="1" applyAlignment="1">
      <alignment horizontal="center" vertical="center"/>
    </xf>
    <xf numFmtId="164" fontId="24" fillId="0" borderId="2" xfId="1" applyFont="1" applyFill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64" fontId="8" fillId="0" borderId="3" xfId="1" applyFont="1" applyFill="1" applyBorder="1" applyAlignment="1">
      <alignment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vertical="center"/>
    </xf>
    <xf numFmtId="14" fontId="26" fillId="0" borderId="0" xfId="0" applyNumberFormat="1" applyFont="1" applyAlignment="1">
      <alignment horizontal="center" vertical="center"/>
    </xf>
    <xf numFmtId="164" fontId="27" fillId="0" borderId="2" xfId="1" applyFont="1" applyBorder="1" applyAlignment="1">
      <alignment horizontal="center" vertical="center"/>
    </xf>
    <xf numFmtId="0" fontId="21" fillId="0" borderId="3" xfId="0" applyFont="1" applyBorder="1" applyAlignment="1">
      <alignment vertical="center"/>
    </xf>
    <xf numFmtId="164" fontId="23" fillId="0" borderId="0" xfId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164" fontId="7" fillId="0" borderId="0" xfId="1" applyFont="1" applyBorder="1" applyAlignment="1">
      <alignment horizontal="center" vertical="center"/>
    </xf>
    <xf numFmtId="164" fontId="8" fillId="0" borderId="0" xfId="1" applyFont="1" applyFill="1" applyBorder="1" applyAlignment="1">
      <alignment vertical="center"/>
    </xf>
    <xf numFmtId="164" fontId="9" fillId="2" borderId="1" xfId="1" applyFont="1" applyFill="1" applyBorder="1" applyAlignment="1">
      <alignment vertical="center"/>
    </xf>
    <xf numFmtId="164" fontId="28" fillId="2" borderId="1" xfId="1" applyFont="1" applyFill="1" applyBorder="1" applyAlignment="1">
      <alignment vertical="center"/>
    </xf>
    <xf numFmtId="164" fontId="29" fillId="2" borderId="1" xfId="1" applyFont="1" applyFill="1" applyBorder="1" applyAlignment="1">
      <alignment vertical="center"/>
    </xf>
    <xf numFmtId="164" fontId="18" fillId="2" borderId="1" xfId="1" applyFont="1" applyFill="1" applyBorder="1" applyAlignment="1">
      <alignment vertical="center"/>
    </xf>
    <xf numFmtId="164" fontId="30" fillId="2" borderId="1" xfId="1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64" fontId="3" fillId="0" borderId="0" xfId="1" applyFont="1" applyBorder="1" applyAlignment="1">
      <alignment horizontal="center" vertical="center"/>
    </xf>
    <xf numFmtId="164" fontId="8" fillId="0" borderId="0" xfId="1" applyFont="1" applyBorder="1" applyAlignment="1">
      <alignment vertical="center"/>
    </xf>
    <xf numFmtId="164" fontId="31" fillId="0" borderId="1" xfId="1" applyFont="1" applyBorder="1" applyAlignment="1">
      <alignment vertical="center"/>
    </xf>
    <xf numFmtId="164" fontId="32" fillId="0" borderId="0" xfId="0" applyNumberFormat="1" applyFont="1" applyAlignment="1">
      <alignment vertical="center"/>
    </xf>
    <xf numFmtId="164" fontId="15" fillId="0" borderId="0" xfId="1" applyFont="1" applyBorder="1" applyAlignment="1">
      <alignment vertical="center"/>
    </xf>
    <xf numFmtId="164" fontId="25" fillId="0" borderId="0" xfId="1" applyFont="1" applyAlignment="1">
      <alignment vertical="center"/>
    </xf>
    <xf numFmtId="164" fontId="3" fillId="0" borderId="0" xfId="1" applyFont="1" applyAlignment="1">
      <alignment vertical="center"/>
    </xf>
    <xf numFmtId="0" fontId="2" fillId="4" borderId="4" xfId="0" applyFont="1" applyFill="1" applyBorder="1"/>
    <xf numFmtId="165" fontId="0" fillId="4" borderId="4" xfId="0" applyNumberFormat="1" applyFill="1" applyBorder="1"/>
    <xf numFmtId="0" fontId="2" fillId="5" borderId="4" xfId="0" applyFont="1" applyFill="1" applyBorder="1"/>
    <xf numFmtId="165" fontId="0" fillId="5" borderId="4" xfId="0" applyNumberFormat="1" applyFill="1" applyBorder="1"/>
    <xf numFmtId="0" fontId="2" fillId="6" borderId="4" xfId="0" applyFont="1" applyFill="1" applyBorder="1"/>
    <xf numFmtId="165" fontId="0" fillId="6" borderId="4" xfId="0" applyNumberFormat="1" applyFill="1" applyBorder="1"/>
    <xf numFmtId="0" fontId="2" fillId="7" borderId="4" xfId="0" applyFont="1" applyFill="1" applyBorder="1"/>
    <xf numFmtId="165" fontId="0" fillId="7" borderId="4" xfId="0" applyNumberFormat="1" applyFill="1" applyBorder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34" fillId="8" borderId="0" xfId="0" applyFont="1" applyFill="1" applyAlignment="1">
      <alignment horizontal="center"/>
    </xf>
    <xf numFmtId="0" fontId="2" fillId="3" borderId="4" xfId="0" applyFont="1" applyFill="1" applyBorder="1"/>
    <xf numFmtId="165" fontId="0" fillId="3" borderId="4" xfId="0" applyNumberFormat="1" applyFill="1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0" fillId="8" borderId="8" xfId="0" applyFill="1" applyBorder="1" applyAlignment="1">
      <alignment horizontal="right"/>
    </xf>
    <xf numFmtId="9" fontId="0" fillId="8" borderId="0" xfId="0" applyNumberFormat="1" applyFill="1" applyAlignment="1">
      <alignment horizontal="center"/>
    </xf>
    <xf numFmtId="0" fontId="0" fillId="8" borderId="0" xfId="0" applyFill="1" applyAlignment="1">
      <alignment horizontal="right"/>
    </xf>
    <xf numFmtId="166" fontId="0" fillId="8" borderId="0" xfId="0" applyNumberFormat="1" applyFill="1"/>
    <xf numFmtId="164" fontId="7" fillId="3" borderId="0" xfId="1" applyFont="1" applyFill="1" applyAlignment="1">
      <alignment horizontal="center" vertical="center"/>
    </xf>
    <xf numFmtId="0" fontId="34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5" fillId="3" borderId="0" xfId="0" applyFont="1" applyFill="1"/>
    <xf numFmtId="166" fontId="3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right" vertical="center"/>
    </xf>
    <xf numFmtId="166" fontId="36" fillId="0" borderId="0" xfId="0" applyNumberFormat="1" applyFont="1" applyAlignment="1">
      <alignment horizontal="right" vertical="center"/>
    </xf>
    <xf numFmtId="166" fontId="3" fillId="0" borderId="0" xfId="0" applyNumberFormat="1" applyFont="1" applyAlignment="1">
      <alignment horizontal="right" vertical="center"/>
    </xf>
    <xf numFmtId="166" fontId="23" fillId="0" borderId="0" xfId="0" applyNumberFormat="1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2" fillId="0" borderId="4" xfId="5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right" vertical="center"/>
    </xf>
    <xf numFmtId="0" fontId="12" fillId="0" borderId="4" xfId="4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166" fontId="7" fillId="0" borderId="4" xfId="0" applyNumberFormat="1" applyFont="1" applyFill="1" applyBorder="1" applyAlignment="1">
      <alignment horizontal="right" vertical="center"/>
    </xf>
    <xf numFmtId="166" fontId="7" fillId="3" borderId="4" xfId="0" applyNumberFormat="1" applyFont="1" applyFill="1" applyBorder="1" applyAlignment="1">
      <alignment horizontal="right" vertical="center"/>
    </xf>
    <xf numFmtId="166" fontId="12" fillId="3" borderId="4" xfId="0" applyNumberFormat="1" applyFont="1" applyFill="1" applyBorder="1" applyAlignment="1">
      <alignment horizontal="right" vertical="center"/>
    </xf>
    <xf numFmtId="166" fontId="12" fillId="0" borderId="4" xfId="5" applyNumberFormat="1" applyFont="1" applyBorder="1" applyAlignment="1">
      <alignment horizontal="center" vertical="center"/>
    </xf>
    <xf numFmtId="166" fontId="12" fillId="3" borderId="4" xfId="5" applyNumberFormat="1" applyFont="1" applyFill="1" applyBorder="1" applyAlignment="1">
      <alignment horizontal="center" vertical="center"/>
    </xf>
    <xf numFmtId="165" fontId="0" fillId="10" borderId="4" xfId="0" applyNumberFormat="1" applyFill="1" applyBorder="1"/>
    <xf numFmtId="0" fontId="2" fillId="10" borderId="4" xfId="0" applyFont="1" applyFill="1" applyBorder="1" applyAlignment="1">
      <alignment horizontal="center"/>
    </xf>
    <xf numFmtId="166" fontId="0" fillId="10" borderId="4" xfId="0" applyNumberFormat="1" applyFill="1" applyBorder="1"/>
    <xf numFmtId="0" fontId="0" fillId="10" borderId="0" xfId="0" applyFill="1" applyAlignment="1">
      <alignment horizontal="center"/>
    </xf>
    <xf numFmtId="166" fontId="0" fillId="10" borderId="0" xfId="0" applyNumberFormat="1" applyFill="1"/>
    <xf numFmtId="164" fontId="8" fillId="3" borderId="0" xfId="1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14" fontId="7" fillId="3" borderId="0" xfId="0" applyNumberFormat="1" applyFont="1" applyFill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2" fillId="3" borderId="0" xfId="4" applyFont="1" applyFill="1" applyAlignment="1">
      <alignment horizontal="left" vertical="center"/>
    </xf>
    <xf numFmtId="0" fontId="12" fillId="3" borderId="0" xfId="4" applyFont="1" applyFill="1" applyAlignment="1">
      <alignment vertical="center"/>
    </xf>
    <xf numFmtId="0" fontId="12" fillId="3" borderId="4" xfId="5" applyFont="1" applyFill="1" applyBorder="1" applyAlignment="1">
      <alignment horizontal="center" vertical="center"/>
    </xf>
    <xf numFmtId="0" fontId="12" fillId="3" borderId="4" xfId="4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21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14" fontId="13" fillId="11" borderId="0" xfId="0" applyNumberFormat="1" applyFont="1" applyFill="1" applyAlignment="1">
      <alignment horizontal="center" vertical="center"/>
    </xf>
    <xf numFmtId="164" fontId="13" fillId="11" borderId="0" xfId="1" applyFont="1" applyFill="1" applyAlignment="1">
      <alignment horizontal="center" vertical="center"/>
    </xf>
    <xf numFmtId="44" fontId="8" fillId="11" borderId="0" xfId="2" applyFont="1" applyFill="1" applyAlignment="1">
      <alignment horizontal="center" vertical="center"/>
    </xf>
    <xf numFmtId="44" fontId="13" fillId="11" borderId="0" xfId="2" applyFont="1" applyFill="1" applyAlignment="1">
      <alignment horizontal="center" vertical="center"/>
    </xf>
    <xf numFmtId="164" fontId="8" fillId="11" borderId="0" xfId="1" applyFont="1" applyFill="1" applyAlignment="1">
      <alignment vertical="center"/>
    </xf>
    <xf numFmtId="14" fontId="7" fillId="11" borderId="0" xfId="0" applyNumberFormat="1" applyFont="1" applyFill="1" applyAlignment="1">
      <alignment horizontal="center" vertical="center"/>
    </xf>
    <xf numFmtId="164" fontId="7" fillId="11" borderId="0" xfId="1" applyFont="1" applyFill="1" applyAlignment="1">
      <alignment horizontal="center" vertical="center"/>
    </xf>
    <xf numFmtId="14" fontId="12" fillId="11" borderId="0" xfId="4" applyNumberFormat="1" applyFont="1" applyFill="1" applyAlignment="1">
      <alignment horizontal="center" vertical="center"/>
    </xf>
    <xf numFmtId="164" fontId="12" fillId="11" borderId="0" xfId="1" applyFont="1" applyFill="1" applyAlignment="1">
      <alignment horizontal="center" vertical="center"/>
    </xf>
    <xf numFmtId="0" fontId="3" fillId="11" borderId="0" xfId="0" applyFont="1" applyFill="1" applyAlignment="1">
      <alignment vertical="center"/>
    </xf>
    <xf numFmtId="0" fontId="10" fillId="11" borderId="0" xfId="0" applyFont="1" applyFill="1" applyAlignment="1">
      <alignment vertical="center"/>
    </xf>
    <xf numFmtId="0" fontId="12" fillId="11" borderId="0" xfId="4" applyFont="1" applyFill="1" applyAlignment="1">
      <alignment horizontal="left" vertical="center"/>
    </xf>
    <xf numFmtId="0" fontId="12" fillId="11" borderId="0" xfId="4" applyFont="1" applyFill="1" applyAlignment="1">
      <alignment vertical="center"/>
    </xf>
    <xf numFmtId="164" fontId="8" fillId="11" borderId="0" xfId="1" applyFont="1" applyFill="1" applyAlignment="1">
      <alignment horizontal="center" vertical="center"/>
    </xf>
    <xf numFmtId="0" fontId="7" fillId="11" borderId="0" xfId="0" applyFont="1" applyFill="1" applyAlignment="1">
      <alignment horizontal="left" vertical="center"/>
    </xf>
    <xf numFmtId="0" fontId="7" fillId="11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166" fontId="12" fillId="3" borderId="0" xfId="5" applyNumberFormat="1" applyFont="1" applyFill="1" applyBorder="1" applyAlignment="1">
      <alignment horizontal="center" vertical="center"/>
    </xf>
    <xf numFmtId="166" fontId="12" fillId="11" borderId="4" xfId="5" applyNumberFormat="1" applyFont="1" applyFill="1" applyBorder="1" applyAlignment="1">
      <alignment horizontal="center" vertical="center"/>
    </xf>
    <xf numFmtId="0" fontId="12" fillId="11" borderId="4" xfId="5" applyFont="1" applyFill="1" applyBorder="1" applyAlignment="1">
      <alignment horizontal="center" vertical="center"/>
    </xf>
    <xf numFmtId="166" fontId="7" fillId="11" borderId="4" xfId="0" applyNumberFormat="1" applyFont="1" applyFill="1" applyBorder="1" applyAlignment="1">
      <alignment horizontal="right" vertical="center"/>
    </xf>
    <xf numFmtId="0" fontId="12" fillId="11" borderId="4" xfId="4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11" borderId="0" xfId="0" applyFont="1" applyFill="1" applyAlignment="1">
      <alignment horizontal="left" vertical="center"/>
    </xf>
    <xf numFmtId="0" fontId="12" fillId="11" borderId="0" xfId="5" applyFont="1" applyFill="1" applyAlignment="1">
      <alignment horizontal="left" vertical="center"/>
    </xf>
    <xf numFmtId="0" fontId="12" fillId="11" borderId="0" xfId="5" applyFont="1" applyFill="1" applyAlignment="1">
      <alignment vertical="center"/>
    </xf>
    <xf numFmtId="14" fontId="12" fillId="11" borderId="0" xfId="5" applyNumberFormat="1" applyFont="1" applyFill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9" fillId="11" borderId="0" xfId="0" applyFont="1" applyFill="1" applyAlignment="1">
      <alignment horizontal="left" vertical="center"/>
    </xf>
    <xf numFmtId="0" fontId="14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2" xfId="0" applyFont="1" applyFill="1" applyBorder="1" applyAlignment="1">
      <alignment horizontal="left" vertical="center"/>
    </xf>
    <xf numFmtId="164" fontId="22" fillId="11" borderId="0" xfId="1" applyFont="1" applyFill="1" applyAlignment="1">
      <alignment horizontal="left" vertical="center"/>
    </xf>
    <xf numFmtId="0" fontId="22" fillId="11" borderId="0" xfId="0" applyFont="1" applyFill="1" applyAlignment="1">
      <alignment horizontal="left" vertical="center"/>
    </xf>
    <xf numFmtId="0" fontId="3" fillId="11" borderId="0" xfId="0" applyFont="1" applyFill="1" applyAlignment="1">
      <alignment horizontal="left" vertical="center"/>
    </xf>
    <xf numFmtId="0" fontId="26" fillId="11" borderId="0" xfId="0" applyFont="1" applyFill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10" fillId="11" borderId="0" xfId="0" applyFont="1" applyFill="1" applyAlignment="1">
      <alignment horizontal="left" vertical="center"/>
    </xf>
    <xf numFmtId="164" fontId="18" fillId="11" borderId="0" xfId="1" applyFont="1" applyFill="1" applyAlignment="1">
      <alignment horizontal="right" vertical="center"/>
    </xf>
    <xf numFmtId="164" fontId="8" fillId="11" borderId="2" xfId="1" applyFont="1" applyFill="1" applyBorder="1" applyAlignment="1">
      <alignment vertical="center"/>
    </xf>
    <xf numFmtId="164" fontId="8" fillId="11" borderId="3" xfId="1" applyFont="1" applyFill="1" applyBorder="1" applyAlignment="1">
      <alignment vertical="center"/>
    </xf>
    <xf numFmtId="164" fontId="8" fillId="11" borderId="0" xfId="1" applyFont="1" applyFill="1" applyBorder="1" applyAlignment="1">
      <alignment vertical="center"/>
    </xf>
    <xf numFmtId="164" fontId="25" fillId="11" borderId="0" xfId="1" applyFont="1" applyFill="1" applyAlignment="1">
      <alignment vertical="center"/>
    </xf>
    <xf numFmtId="164" fontId="42" fillId="0" borderId="0" xfId="0" applyNumberFormat="1" applyFont="1" applyAlignment="1">
      <alignment vertical="center"/>
    </xf>
    <xf numFmtId="164" fontId="8" fillId="12" borderId="0" xfId="1" applyFont="1" applyFill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6" fontId="7" fillId="3" borderId="0" xfId="0" applyNumberFormat="1" applyFont="1" applyFill="1" applyBorder="1" applyAlignment="1">
      <alignment horizontal="right" vertical="center"/>
    </xf>
    <xf numFmtId="166" fontId="7" fillId="0" borderId="0" xfId="0" applyNumberFormat="1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13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164" fontId="12" fillId="0" borderId="0" xfId="7" applyFont="1" applyAlignment="1">
      <alignment horizontal="center" vertical="center"/>
    </xf>
    <xf numFmtId="164" fontId="7" fillId="0" borderId="0" xfId="7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13" borderId="0" xfId="0" applyFont="1" applyFill="1" applyAlignment="1">
      <alignment vertical="center"/>
    </xf>
    <xf numFmtId="14" fontId="7" fillId="13" borderId="0" xfId="0" applyNumberFormat="1" applyFont="1" applyFill="1" applyAlignment="1">
      <alignment horizontal="center" vertical="center"/>
    </xf>
    <xf numFmtId="164" fontId="7" fillId="13" borderId="0" xfId="1" applyFont="1" applyFill="1" applyAlignment="1">
      <alignment horizontal="center" vertical="center"/>
    </xf>
    <xf numFmtId="43" fontId="10" fillId="0" borderId="0" xfId="0" applyNumberFormat="1" applyFont="1" applyBorder="1" applyAlignment="1">
      <alignment vertical="center"/>
    </xf>
    <xf numFmtId="0" fontId="13" fillId="14" borderId="0" xfId="0" applyFont="1" applyFill="1" applyAlignment="1">
      <alignment horizontal="left" vertical="center"/>
    </xf>
    <xf numFmtId="0" fontId="7" fillId="14" borderId="0" xfId="0" applyFont="1" applyFill="1" applyAlignment="1">
      <alignment horizontal="left" vertical="center"/>
    </xf>
    <xf numFmtId="14" fontId="13" fillId="14" borderId="0" xfId="0" applyNumberFormat="1" applyFont="1" applyFill="1" applyAlignment="1">
      <alignment horizontal="center" vertical="center"/>
    </xf>
    <xf numFmtId="164" fontId="13" fillId="14" borderId="0" xfId="1" applyFont="1" applyFill="1" applyAlignment="1">
      <alignment horizontal="center" vertical="center"/>
    </xf>
    <xf numFmtId="0" fontId="7" fillId="14" borderId="0" xfId="0" applyFont="1" applyFill="1" applyAlignment="1">
      <alignment vertical="center"/>
    </xf>
    <xf numFmtId="14" fontId="7" fillId="14" borderId="0" xfId="0" applyNumberFormat="1" applyFont="1" applyFill="1" applyAlignment="1">
      <alignment horizontal="center" vertical="center"/>
    </xf>
    <xf numFmtId="164" fontId="7" fillId="14" borderId="0" xfId="1" applyFont="1" applyFill="1" applyAlignment="1">
      <alignment horizontal="center" vertical="center"/>
    </xf>
    <xf numFmtId="44" fontId="13" fillId="14" borderId="0" xfId="2" applyFont="1" applyFill="1" applyAlignment="1">
      <alignment horizontal="center" vertical="center"/>
    </xf>
    <xf numFmtId="0" fontId="12" fillId="14" borderId="0" xfId="4" applyFont="1" applyFill="1" applyAlignment="1">
      <alignment horizontal="left" vertical="center"/>
    </xf>
    <xf numFmtId="0" fontId="12" fillId="14" borderId="0" xfId="4" applyFont="1" applyFill="1" applyAlignment="1">
      <alignment vertical="center"/>
    </xf>
    <xf numFmtId="164" fontId="7" fillId="14" borderId="0" xfId="7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14" borderId="0" xfId="5" applyFont="1" applyFill="1" applyAlignment="1">
      <alignment horizontal="left" vertical="center"/>
    </xf>
    <xf numFmtId="0" fontId="12" fillId="14" borderId="0" xfId="5" applyFont="1" applyFill="1" applyAlignment="1">
      <alignment vertical="center"/>
    </xf>
    <xf numFmtId="14" fontId="12" fillId="14" borderId="0" xfId="5" applyNumberFormat="1" applyFont="1" applyFill="1" applyAlignment="1">
      <alignment horizontal="center" vertical="center"/>
    </xf>
    <xf numFmtId="164" fontId="12" fillId="14" borderId="0" xfId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43" fillId="2" borderId="1" xfId="1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3" fillId="11" borderId="0" xfId="0" applyNumberFormat="1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3" fontId="3" fillId="0" borderId="0" xfId="0" applyNumberFormat="1" applyFont="1" applyAlignment="1">
      <alignment vertical="center"/>
    </xf>
    <xf numFmtId="43" fontId="10" fillId="0" borderId="0" xfId="0" applyNumberFormat="1" applyFont="1" applyAlignment="1">
      <alignment vertical="center"/>
    </xf>
    <xf numFmtId="44" fontId="13" fillId="0" borderId="0" xfId="2" applyFont="1" applyFill="1" applyAlignment="1">
      <alignment horizontal="center" vertical="center"/>
    </xf>
    <xf numFmtId="164" fontId="12" fillId="0" borderId="0" xfId="1" applyFont="1" applyFill="1" applyAlignment="1">
      <alignment horizontal="center" vertical="center"/>
    </xf>
    <xf numFmtId="44" fontId="8" fillId="0" borderId="0" xfId="2" applyFont="1" applyFill="1" applyAlignment="1">
      <alignment horizontal="center" vertical="center"/>
    </xf>
    <xf numFmtId="0" fontId="13" fillId="13" borderId="0" xfId="0" applyFont="1" applyFill="1" applyAlignment="1">
      <alignment horizontal="left" vertical="center"/>
    </xf>
    <xf numFmtId="0" fontId="12" fillId="13" borderId="0" xfId="5" applyFont="1" applyFill="1" applyAlignment="1">
      <alignment horizontal="left" vertical="center"/>
    </xf>
    <xf numFmtId="0" fontId="12" fillId="13" borderId="0" xfId="4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164" fontId="8" fillId="13" borderId="0" xfId="1" applyFont="1" applyFill="1" applyAlignment="1">
      <alignment vertical="center"/>
    </xf>
    <xf numFmtId="164" fontId="8" fillId="14" borderId="0" xfId="1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7" fillId="15" borderId="0" xfId="0" applyFont="1" applyFill="1" applyAlignment="1">
      <alignment horizontal="left" vertical="center"/>
    </xf>
    <xf numFmtId="0" fontId="7" fillId="15" borderId="0" xfId="0" applyFont="1" applyFill="1" applyAlignment="1">
      <alignment vertical="center"/>
    </xf>
    <xf numFmtId="14" fontId="7" fillId="15" borderId="0" xfId="0" applyNumberFormat="1" applyFont="1" applyFill="1" applyAlignment="1">
      <alignment horizontal="center" vertical="center"/>
    </xf>
    <xf numFmtId="164" fontId="7" fillId="15" borderId="0" xfId="1" applyFont="1" applyFill="1" applyAlignment="1">
      <alignment horizontal="center" vertical="center"/>
    </xf>
    <xf numFmtId="164" fontId="8" fillId="15" borderId="0" xfId="1" applyFont="1" applyFill="1" applyAlignment="1">
      <alignment vertical="center"/>
    </xf>
    <xf numFmtId="0" fontId="12" fillId="3" borderId="0" xfId="4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14" fontId="7" fillId="0" borderId="0" xfId="0" applyNumberFormat="1" applyFont="1" applyFill="1" applyAlignment="1">
      <alignment horizontal="center" vertical="center"/>
    </xf>
    <xf numFmtId="164" fontId="7" fillId="0" borderId="0" xfId="1" applyFont="1" applyFill="1" applyAlignment="1">
      <alignment horizontal="center" vertical="center"/>
    </xf>
    <xf numFmtId="0" fontId="12" fillId="0" borderId="0" xfId="4" applyFont="1" applyFill="1" applyAlignment="1">
      <alignment horizontal="left" vertical="center"/>
    </xf>
    <xf numFmtId="0" fontId="12" fillId="0" borderId="0" xfId="4" applyFont="1" applyFill="1" applyAlignment="1">
      <alignment vertical="center"/>
    </xf>
    <xf numFmtId="14" fontId="12" fillId="0" borderId="0" xfId="4" applyNumberFormat="1" applyFont="1" applyFill="1" applyAlignment="1">
      <alignment horizontal="center" vertical="center"/>
    </xf>
    <xf numFmtId="0" fontId="12" fillId="0" borderId="0" xfId="5" applyFont="1" applyFill="1" applyAlignment="1">
      <alignment horizontal="left" vertical="center"/>
    </xf>
    <xf numFmtId="14" fontId="12" fillId="0" borderId="0" xfId="5" applyNumberFormat="1" applyFont="1" applyFill="1" applyAlignment="1">
      <alignment horizontal="center" vertical="center"/>
    </xf>
    <xf numFmtId="0" fontId="12" fillId="0" borderId="0" xfId="5" applyFont="1" applyFill="1" applyAlignment="1">
      <alignment vertical="center"/>
    </xf>
    <xf numFmtId="0" fontId="30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28" fillId="0" borderId="0" xfId="0" applyFont="1" applyBorder="1" applyAlignment="1">
      <alignment horizontal="right" vertical="center"/>
    </xf>
    <xf numFmtId="0" fontId="29" fillId="0" borderId="0" xfId="0" applyFont="1" applyBorder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43" fillId="0" borderId="0" xfId="0" applyFont="1" applyBorder="1" applyAlignment="1">
      <alignment horizontal="right" vertical="center"/>
    </xf>
    <xf numFmtId="0" fontId="30" fillId="0" borderId="9" xfId="0" applyFont="1" applyBorder="1" applyAlignment="1">
      <alignment horizontal="right" vertical="center"/>
    </xf>
    <xf numFmtId="0" fontId="9" fillId="0" borderId="9" xfId="0" applyFont="1" applyBorder="1" applyAlignment="1">
      <alignment horizontal="right" vertical="center"/>
    </xf>
    <xf numFmtId="0" fontId="28" fillId="0" borderId="9" xfId="0" applyFont="1" applyBorder="1" applyAlignment="1">
      <alignment horizontal="right" vertical="center"/>
    </xf>
    <xf numFmtId="0" fontId="29" fillId="0" borderId="9" xfId="0" applyFont="1" applyBorder="1" applyAlignment="1">
      <alignment horizontal="right" vertical="center"/>
    </xf>
    <xf numFmtId="0" fontId="18" fillId="0" borderId="9" xfId="0" applyFont="1" applyBorder="1" applyAlignment="1">
      <alignment horizontal="right" vertical="center"/>
    </xf>
    <xf numFmtId="166" fontId="0" fillId="0" borderId="19" xfId="0" applyNumberFormat="1" applyBorder="1" applyAlignment="1">
      <alignment horizontal="center"/>
    </xf>
    <xf numFmtId="166" fontId="0" fillId="0" borderId="20" xfId="0" applyNumberFormat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0" fillId="0" borderId="24" xfId="0" applyNumberFormat="1" applyBorder="1" applyAlignment="1">
      <alignment horizontal="center"/>
    </xf>
    <xf numFmtId="4" fontId="0" fillId="0" borderId="19" xfId="0" applyNumberFormat="1" applyBorder="1" applyAlignment="1">
      <alignment horizontal="center"/>
    </xf>
    <xf numFmtId="4" fontId="0" fillId="0" borderId="20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166" fontId="0" fillId="0" borderId="26" xfId="0" applyNumberFormat="1" applyBorder="1" applyAlignment="1">
      <alignment horizontal="center"/>
    </xf>
    <xf numFmtId="0" fontId="33" fillId="3" borderId="0" xfId="0" applyFont="1" applyFill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0" fillId="0" borderId="14" xfId="0" applyBorder="1" applyAlignment="1">
      <alignment horizontal="center"/>
    </xf>
  </cellXfs>
  <cellStyles count="8">
    <cellStyle name="Moeda" xfId="1" builtinId="4"/>
    <cellStyle name="Moeda 2" xfId="2"/>
    <cellStyle name="Moeda 3" xfId="7"/>
    <cellStyle name="Normal" xfId="0" builtinId="0"/>
    <cellStyle name="Normal 2 2" xfId="3"/>
    <cellStyle name="Normal_Abril" xfId="4"/>
    <cellStyle name="Normal_Maio" xfId="5"/>
    <cellStyle name="Porcentagem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19050</xdr:rowOff>
    </xdr:from>
    <xdr:to>
      <xdr:col>3</xdr:col>
      <xdr:colOff>247650</xdr:colOff>
      <xdr:row>4</xdr:row>
      <xdr:rowOff>114300</xdr:rowOff>
    </xdr:to>
    <xdr:pic>
      <xdr:nvPicPr>
        <xdr:cNvPr id="8193" name="Imagem 1" descr="nova-marca-definida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209550"/>
          <a:ext cx="214312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queryTables/queryTable1.xml><?xml version="1.0" encoding="utf-8"?>
<queryTable xmlns="http://schemas.openxmlformats.org/spreadsheetml/2006/main" name="DadosExternos_7" growShrinkType="overwriteClear" connectionId="1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DadosExternos_3" growShrinkType="overwriteClear" connectionId="7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DadosExternos_1" growShrinkType="overwriteClear" connectionId="2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DadosExternos_6" growShrinkType="overwriteClear" connectionId="8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DadosExternos_5" growShrinkType="overwriteClear" connectionId="4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DadosExternos_2" growShrinkType="overwriteClear" connectionId="6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DadosExternos_8" growShrinkType="overwriteClear" connectionId="5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DadosExternos_4" growShrinkType="overwriteClear" connectionId="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DadosExternos_6" growShrinkType="overwriteClear" connectionId="9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DadosExternos_7" growShrinkType="overwriteClear" connectionId="1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DadosExternos_3" growShrinkType="overwriteClear" connectionId="7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dosExternos_3" growShrinkType="overwriteClear" connectionId="7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DadosExternos_5" growShrinkType="overwriteClear" connectionId="4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DadosExternos_1" growShrinkType="overwriteClear" connectionId="3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DadosExternos_2" growShrinkType="overwriteClear" connectionId="6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DadosExternos_4" growShrinkType="overwriteClear" connectionId="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DadosExternos_8" growShrinkType="overwriteClear" connectionId="5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DadosExternos_3" growShrinkType="overwriteClear" connectionId="7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DadosExternos_1" growShrinkType="overwriteClear" connectionId="3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DadosExternos_6" growShrinkType="overwriteClear" connectionId="9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DadosExternos_7" growShrinkType="overwriteClear" connectionId="19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DadosExternos_5" growShrinkType="overwriteClear" connectionId="4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dosExternos_1" growShrinkType="overwriteClear" connectionId="26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DadosExternos_8" growShrinkType="overwriteClear" connectionId="5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DadosExternos_2" growShrinkType="overwriteClear" connectionId="67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DadosExternos_4" growShrinkType="overwriteClear" connectionId="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DadosExternos_5" growShrinkType="overwriteClear" connectionId="44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DadosExternos_6" growShrinkType="overwriteClear" connectionId="92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DadosExternos_2" growShrinkType="overwriteClear" connectionId="68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DadosExternos_7" growShrinkType="overwriteClear" connectionId="20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DadosExternos_3" growShrinkType="overwriteClear" connectionId="80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DadosExternos_4" growShrinkType="overwriteClear" connectionId="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DadosExternos_1" growShrinkType="overwriteClear" connectionId="3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dosExternos_6" growShrinkType="overwriteClear" connectionId="8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DadosExternos_8" growShrinkType="overwriteClear" connectionId="56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DadosExternos_1" growShrinkType="overwriteClear" connectionId="33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DadosExternos_5" growShrinkType="overwriteClear" connectionId="4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DadosExternos_3" growShrinkType="overwriteClear" connectionId="8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DadosExternos_2" growShrinkType="overwriteClear" connectionId="69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DadosExternos_8" growShrinkType="overwriteClear" connectionId="57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DadosExternos_4" growShrinkType="overwriteClear" connectionId="9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DadosExternos_7" growShrinkType="overwriteClear" connectionId="2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DadosExternos_6" growShrinkType="overwriteClear" connectionId="9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DadosExternos_1" growShrinkType="overwriteClear" connectionId="3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dosExternos_4" growShrinkType="overwriteClear" connectionId="2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DadosExternos_6" growShrinkType="overwriteClear" connectionId="94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DadosExternos_7" growShrinkType="overwriteClear" connectionId="22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DadosExternos_8" growShrinkType="overwriteClear" connectionId="58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DadosExternos_2" growShrinkType="overwriteClear" connectionId="70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DadosExternos_5" growShrinkType="overwriteClear" connectionId="46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DadosExternos_4" growShrinkType="overwriteClear" connectionId="10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DadosExternos_3" growShrinkType="overwriteClear" connectionId="82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DadosExternos_2" growShrinkType="overwriteClear" connectionId="71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DadosExternos_5" growShrinkType="overwriteClear" connectionId="4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DadosExternos_3" growShrinkType="overwriteClear" connectionId="8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adosExternos_5" growShrinkType="overwriteClear" connectionId="38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DadosExternos_8" growShrinkType="overwriteClear" connectionId="59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DadosExternos_1" growShrinkType="overwriteClear" connectionId="35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DadosExternos_7" growShrinkType="overwriteClear" connectionId="23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DadosExternos_6" growShrinkType="overwriteClear" connectionId="95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DadosExternos_4" growShrinkType="overwriteClear" connectionId="1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DadosExternos_4" growShrinkType="overwriteClear" connectionId="12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DadosExternos_5" growShrinkType="overwriteClear" connectionId="48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DadosExternos_7" growShrinkType="overwriteClear" connectionId="24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DadosExternos_6" growShrinkType="overwriteClear" connectionId="96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DadosExternos_3" growShrinkType="overwriteClear" connectionId="8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adosExternos_2" growShrinkType="overwriteClear" connectionId="62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DadosExternos_1" growShrinkType="overwriteClear" connectionId="36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DadosExternos_2" growShrinkType="overwriteClear" connectionId="72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DadosExternos_8" growShrinkType="overwriteClear" connectionId="60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DadosExternos_2" growShrinkType="overwriteClear" connectionId="63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DadosExternos_4" growShrinkType="overwriteClear" connectionId="3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DadosExternos_8" growShrinkType="overwriteClear" connectionId="51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DadosExternos_3" growShrinkType="overwriteClear" connectionId="75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DadosExternos_1" growShrinkType="overwriteClear" connectionId="27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DadosExternos_6" growShrinkType="overwriteClear" connectionId="87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DadosExternos_7" growShrinkType="overwriteClear" connectionId="1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adosExternos_8" growShrinkType="overwriteClear" connectionId="50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DadosExternos_5" growShrinkType="overwriteClear" connectionId="39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DadosExternos_7" growShrinkType="overwriteClear" connectionId="16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DadosExternos_4" growShrinkType="overwriteClear" connectionId="4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DadosExternos_8" growShrinkType="overwriteClear" connectionId="52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DadosExternos_2" growShrinkType="overwriteClear" connectionId="64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DadosExternos_6" growShrinkType="overwriteClear" connectionId="88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DadosExternos_3" growShrinkType="overwriteClear" connectionId="76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DadosExternos_5" growShrinkType="overwriteClear" connectionId="4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DadosExternos_1" growShrinkType="overwriteClear" connectionId="28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DadosExternos_4" growShrinkType="overwriteClear" connectionId="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adosExternos_7" growShrinkType="overwriteClear" connectionId="17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DadosExternos_6" growShrinkType="overwriteClear" connectionId="85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DadosExternos_2" growShrinkType="overwriteClear" connectionId="61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DadosExternos_7" growShrinkType="overwriteClear" connectionId="13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DadosExternos_8" growShrinkType="overwriteClear" connectionId="49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DadosExternos_3" growShrinkType="overwriteClear" connectionId="73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DadosExternos_5" growShrinkType="overwriteClear" connectionId="37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DadosExternos_1" growShrinkType="overwriteClear" connectionId="2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comments" Target="../comments1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8.xml"/><Relationship Id="rId3" Type="http://schemas.openxmlformats.org/officeDocument/2006/relationships/queryTable" Target="../queryTables/queryTable73.xml"/><Relationship Id="rId7" Type="http://schemas.openxmlformats.org/officeDocument/2006/relationships/queryTable" Target="../queryTables/queryTable77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Relationship Id="rId6" Type="http://schemas.openxmlformats.org/officeDocument/2006/relationships/queryTable" Target="../queryTables/queryTable76.xml"/><Relationship Id="rId11" Type="http://schemas.openxmlformats.org/officeDocument/2006/relationships/comments" Target="../comments10.xml"/><Relationship Id="rId5" Type="http://schemas.openxmlformats.org/officeDocument/2006/relationships/queryTable" Target="../queryTables/queryTable75.xml"/><Relationship Id="rId10" Type="http://schemas.openxmlformats.org/officeDocument/2006/relationships/queryTable" Target="../queryTables/queryTable80.xml"/><Relationship Id="rId4" Type="http://schemas.openxmlformats.org/officeDocument/2006/relationships/queryTable" Target="../queryTables/queryTable74.xml"/><Relationship Id="rId9" Type="http://schemas.openxmlformats.org/officeDocument/2006/relationships/queryTable" Target="../queryTables/queryTable79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6.xml"/><Relationship Id="rId3" Type="http://schemas.openxmlformats.org/officeDocument/2006/relationships/queryTable" Target="../queryTables/queryTable81.xml"/><Relationship Id="rId7" Type="http://schemas.openxmlformats.org/officeDocument/2006/relationships/queryTable" Target="../queryTables/queryTable85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Relationship Id="rId6" Type="http://schemas.openxmlformats.org/officeDocument/2006/relationships/queryTable" Target="../queryTables/queryTable84.xml"/><Relationship Id="rId11" Type="http://schemas.openxmlformats.org/officeDocument/2006/relationships/comments" Target="../comments11.xml"/><Relationship Id="rId5" Type="http://schemas.openxmlformats.org/officeDocument/2006/relationships/queryTable" Target="../queryTables/queryTable83.xml"/><Relationship Id="rId10" Type="http://schemas.openxmlformats.org/officeDocument/2006/relationships/queryTable" Target="../queryTables/queryTable88.xml"/><Relationship Id="rId4" Type="http://schemas.openxmlformats.org/officeDocument/2006/relationships/queryTable" Target="../queryTables/queryTable82.xml"/><Relationship Id="rId9" Type="http://schemas.openxmlformats.org/officeDocument/2006/relationships/queryTable" Target="../queryTables/queryTable87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95.xml"/><Relationship Id="rId3" Type="http://schemas.openxmlformats.org/officeDocument/2006/relationships/queryTable" Target="../queryTables/queryTable90.xml"/><Relationship Id="rId7" Type="http://schemas.openxmlformats.org/officeDocument/2006/relationships/queryTable" Target="../queryTables/queryTable94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12.bin"/><Relationship Id="rId6" Type="http://schemas.openxmlformats.org/officeDocument/2006/relationships/queryTable" Target="../queryTables/queryTable93.xml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Relationship Id="rId9" Type="http://schemas.openxmlformats.org/officeDocument/2006/relationships/queryTable" Target="../queryTables/queryTable9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4.xml"/><Relationship Id="rId3" Type="http://schemas.openxmlformats.org/officeDocument/2006/relationships/queryTable" Target="../queryTables/queryTable9.xml"/><Relationship Id="rId7" Type="http://schemas.openxmlformats.org/officeDocument/2006/relationships/queryTable" Target="../queryTables/queryTable1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2.xml"/><Relationship Id="rId11" Type="http://schemas.openxmlformats.org/officeDocument/2006/relationships/comments" Target="../comments2.xml"/><Relationship Id="rId5" Type="http://schemas.openxmlformats.org/officeDocument/2006/relationships/queryTable" Target="../queryTables/queryTable11.xml"/><Relationship Id="rId10" Type="http://schemas.openxmlformats.org/officeDocument/2006/relationships/queryTable" Target="../queryTables/queryTable16.xml"/><Relationship Id="rId4" Type="http://schemas.openxmlformats.org/officeDocument/2006/relationships/queryTable" Target="../queryTables/queryTable10.xml"/><Relationship Id="rId9" Type="http://schemas.openxmlformats.org/officeDocument/2006/relationships/queryTable" Target="../queryTables/queryTable1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2.xml"/><Relationship Id="rId3" Type="http://schemas.openxmlformats.org/officeDocument/2006/relationships/queryTable" Target="../queryTables/queryTable17.xml"/><Relationship Id="rId7" Type="http://schemas.openxmlformats.org/officeDocument/2006/relationships/queryTable" Target="../queryTables/queryTable2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20.xml"/><Relationship Id="rId11" Type="http://schemas.openxmlformats.org/officeDocument/2006/relationships/comments" Target="../comments3.xml"/><Relationship Id="rId5" Type="http://schemas.openxmlformats.org/officeDocument/2006/relationships/queryTable" Target="../queryTables/queryTable19.xml"/><Relationship Id="rId10" Type="http://schemas.openxmlformats.org/officeDocument/2006/relationships/queryTable" Target="../queryTables/queryTable24.xml"/><Relationship Id="rId4" Type="http://schemas.openxmlformats.org/officeDocument/2006/relationships/queryTable" Target="../queryTables/queryTable18.xml"/><Relationship Id="rId9" Type="http://schemas.openxmlformats.org/officeDocument/2006/relationships/queryTable" Target="../queryTables/queryTable2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0.xml"/><Relationship Id="rId3" Type="http://schemas.openxmlformats.org/officeDocument/2006/relationships/queryTable" Target="../queryTables/queryTable25.xml"/><Relationship Id="rId7" Type="http://schemas.openxmlformats.org/officeDocument/2006/relationships/queryTable" Target="../queryTables/queryTable29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28.xml"/><Relationship Id="rId11" Type="http://schemas.openxmlformats.org/officeDocument/2006/relationships/comments" Target="../comments4.xml"/><Relationship Id="rId5" Type="http://schemas.openxmlformats.org/officeDocument/2006/relationships/queryTable" Target="../queryTables/queryTable27.xml"/><Relationship Id="rId10" Type="http://schemas.openxmlformats.org/officeDocument/2006/relationships/queryTable" Target="../queryTables/queryTable32.xml"/><Relationship Id="rId4" Type="http://schemas.openxmlformats.org/officeDocument/2006/relationships/queryTable" Target="../queryTables/queryTable26.xml"/><Relationship Id="rId9" Type="http://schemas.openxmlformats.org/officeDocument/2006/relationships/queryTable" Target="../queryTables/queryTable3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8.xml"/><Relationship Id="rId3" Type="http://schemas.openxmlformats.org/officeDocument/2006/relationships/queryTable" Target="../queryTables/queryTable33.xml"/><Relationship Id="rId7" Type="http://schemas.openxmlformats.org/officeDocument/2006/relationships/queryTable" Target="../queryTables/queryTable3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36.xml"/><Relationship Id="rId11" Type="http://schemas.openxmlformats.org/officeDocument/2006/relationships/comments" Target="../comments5.xml"/><Relationship Id="rId5" Type="http://schemas.openxmlformats.org/officeDocument/2006/relationships/queryTable" Target="../queryTables/queryTable35.xml"/><Relationship Id="rId10" Type="http://schemas.openxmlformats.org/officeDocument/2006/relationships/queryTable" Target="../queryTables/queryTable40.xml"/><Relationship Id="rId4" Type="http://schemas.openxmlformats.org/officeDocument/2006/relationships/queryTable" Target="../queryTables/queryTable34.xml"/><Relationship Id="rId9" Type="http://schemas.openxmlformats.org/officeDocument/2006/relationships/queryTable" Target="../queryTables/queryTable3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6.xml"/><Relationship Id="rId3" Type="http://schemas.openxmlformats.org/officeDocument/2006/relationships/queryTable" Target="../queryTables/queryTable41.xml"/><Relationship Id="rId7" Type="http://schemas.openxmlformats.org/officeDocument/2006/relationships/queryTable" Target="../queryTables/queryTable4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6" Type="http://schemas.openxmlformats.org/officeDocument/2006/relationships/queryTable" Target="../queryTables/queryTable44.xml"/><Relationship Id="rId11" Type="http://schemas.openxmlformats.org/officeDocument/2006/relationships/comments" Target="../comments6.xml"/><Relationship Id="rId5" Type="http://schemas.openxmlformats.org/officeDocument/2006/relationships/queryTable" Target="../queryTables/queryTable43.xml"/><Relationship Id="rId10" Type="http://schemas.openxmlformats.org/officeDocument/2006/relationships/queryTable" Target="../queryTables/queryTable48.xml"/><Relationship Id="rId4" Type="http://schemas.openxmlformats.org/officeDocument/2006/relationships/queryTable" Target="../queryTables/queryTable42.xml"/><Relationship Id="rId9" Type="http://schemas.openxmlformats.org/officeDocument/2006/relationships/queryTable" Target="../queryTables/queryTable47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4.xml"/><Relationship Id="rId3" Type="http://schemas.openxmlformats.org/officeDocument/2006/relationships/queryTable" Target="../queryTables/queryTable49.xml"/><Relationship Id="rId7" Type="http://schemas.openxmlformats.org/officeDocument/2006/relationships/queryTable" Target="../queryTables/queryTable53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6" Type="http://schemas.openxmlformats.org/officeDocument/2006/relationships/queryTable" Target="../queryTables/queryTable52.xml"/><Relationship Id="rId11" Type="http://schemas.openxmlformats.org/officeDocument/2006/relationships/comments" Target="../comments7.xml"/><Relationship Id="rId5" Type="http://schemas.openxmlformats.org/officeDocument/2006/relationships/queryTable" Target="../queryTables/queryTable51.xml"/><Relationship Id="rId10" Type="http://schemas.openxmlformats.org/officeDocument/2006/relationships/queryTable" Target="../queryTables/queryTable56.xml"/><Relationship Id="rId4" Type="http://schemas.openxmlformats.org/officeDocument/2006/relationships/queryTable" Target="../queryTables/queryTable50.xml"/><Relationship Id="rId9" Type="http://schemas.openxmlformats.org/officeDocument/2006/relationships/queryTable" Target="../queryTables/queryTable5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2.xml"/><Relationship Id="rId3" Type="http://schemas.openxmlformats.org/officeDocument/2006/relationships/queryTable" Target="../queryTables/queryTable57.xml"/><Relationship Id="rId7" Type="http://schemas.openxmlformats.org/officeDocument/2006/relationships/queryTable" Target="../queryTables/queryTable61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6" Type="http://schemas.openxmlformats.org/officeDocument/2006/relationships/queryTable" Target="../queryTables/queryTable60.xml"/><Relationship Id="rId11" Type="http://schemas.openxmlformats.org/officeDocument/2006/relationships/comments" Target="../comments8.xml"/><Relationship Id="rId5" Type="http://schemas.openxmlformats.org/officeDocument/2006/relationships/queryTable" Target="../queryTables/queryTable59.xml"/><Relationship Id="rId10" Type="http://schemas.openxmlformats.org/officeDocument/2006/relationships/queryTable" Target="../queryTables/queryTable64.xml"/><Relationship Id="rId4" Type="http://schemas.openxmlformats.org/officeDocument/2006/relationships/queryTable" Target="../queryTables/queryTable58.xml"/><Relationship Id="rId9" Type="http://schemas.openxmlformats.org/officeDocument/2006/relationships/queryTable" Target="../queryTables/queryTable6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0.xml"/><Relationship Id="rId3" Type="http://schemas.openxmlformats.org/officeDocument/2006/relationships/queryTable" Target="../queryTables/queryTable65.xml"/><Relationship Id="rId7" Type="http://schemas.openxmlformats.org/officeDocument/2006/relationships/queryTable" Target="../queryTables/queryTable6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6" Type="http://schemas.openxmlformats.org/officeDocument/2006/relationships/queryTable" Target="../queryTables/queryTable68.xml"/><Relationship Id="rId11" Type="http://schemas.openxmlformats.org/officeDocument/2006/relationships/comments" Target="../comments9.xml"/><Relationship Id="rId5" Type="http://schemas.openxmlformats.org/officeDocument/2006/relationships/queryTable" Target="../queryTables/queryTable67.xml"/><Relationship Id="rId10" Type="http://schemas.openxmlformats.org/officeDocument/2006/relationships/queryTable" Target="../queryTables/queryTable72.xml"/><Relationship Id="rId4" Type="http://schemas.openxmlformats.org/officeDocument/2006/relationships/queryTable" Target="../queryTables/queryTable66.xml"/><Relationship Id="rId9" Type="http://schemas.openxmlformats.org/officeDocument/2006/relationships/queryTable" Target="../queryTables/queryTable7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4"/>
  <sheetViews>
    <sheetView showGridLines="0" zoomScale="85" workbookViewId="0">
      <selection activeCell="I10" sqref="I10"/>
    </sheetView>
  </sheetViews>
  <sheetFormatPr defaultRowHeight="14.25" x14ac:dyDescent="0.25"/>
  <cols>
    <col min="1" max="1" width="9.140625" style="1" customWidth="1"/>
    <col min="2" max="2" width="11.5703125" style="205" customWidth="1"/>
    <col min="3" max="3" width="22" style="69" customWidth="1"/>
    <col min="4" max="4" width="60.28515625" style="1" bestFit="1" customWidth="1"/>
    <col min="5" max="5" width="18.7109375" style="72" customWidth="1"/>
    <col min="6" max="6" width="16.28515625" style="73" customWidth="1"/>
    <col min="7" max="7" width="16.5703125" style="103" customWidth="1"/>
    <col min="8" max="8" width="23.42578125" style="104" customWidth="1"/>
    <col min="9" max="9" width="69.28515625" style="1" customWidth="1"/>
    <col min="10" max="14" width="15.7109375" style="1" customWidth="1"/>
    <col min="15" max="16384" width="9.140625" style="1"/>
  </cols>
  <sheetData>
    <row r="1" spans="1:14" ht="18" x14ac:dyDescent="0.25">
      <c r="B1" s="198" t="s">
        <v>0</v>
      </c>
      <c r="C1" s="3"/>
      <c r="D1" s="4"/>
      <c r="E1" s="5"/>
      <c r="F1" s="6"/>
      <c r="G1" s="7"/>
      <c r="H1" s="8"/>
      <c r="J1" s="284" t="s">
        <v>43</v>
      </c>
      <c r="K1" s="284"/>
      <c r="L1" s="284"/>
      <c r="M1" s="284"/>
      <c r="N1" s="284"/>
    </row>
    <row r="2" spans="1:14" x14ac:dyDescent="0.25">
      <c r="B2" s="199" t="s">
        <v>1</v>
      </c>
      <c r="C2" s="9" t="s">
        <v>2</v>
      </c>
      <c r="D2" s="10" t="s">
        <v>3</v>
      </c>
      <c r="E2" s="11" t="s">
        <v>4</v>
      </c>
      <c r="F2" s="12" t="s">
        <v>5</v>
      </c>
      <c r="G2" s="7" t="s">
        <v>6</v>
      </c>
      <c r="H2" s="13" t="s">
        <v>7</v>
      </c>
      <c r="I2" s="136" t="s">
        <v>42</v>
      </c>
      <c r="J2" s="136" t="s">
        <v>50</v>
      </c>
      <c r="K2" s="136" t="s">
        <v>53</v>
      </c>
      <c r="L2" s="136" t="s">
        <v>51</v>
      </c>
      <c r="M2" s="136" t="s">
        <v>52</v>
      </c>
      <c r="N2" s="136" t="s">
        <v>54</v>
      </c>
    </row>
    <row r="3" spans="1:14" s="14" customFormat="1" x14ac:dyDescent="0.25">
      <c r="B3" s="195">
        <v>4458</v>
      </c>
      <c r="C3" s="141" t="s">
        <v>102</v>
      </c>
      <c r="D3" s="16" t="s">
        <v>353</v>
      </c>
      <c r="E3" s="17">
        <v>42374</v>
      </c>
      <c r="F3" s="18">
        <v>6500</v>
      </c>
      <c r="G3" s="7">
        <v>53</v>
      </c>
      <c r="H3" s="19">
        <f t="shared" ref="H3:H14" si="0">F3-G3</f>
        <v>6447</v>
      </c>
      <c r="I3" s="137" t="s">
        <v>319</v>
      </c>
      <c r="J3" s="138">
        <v>66.37</v>
      </c>
      <c r="K3" s="138">
        <v>34.630000000000003</v>
      </c>
      <c r="L3" s="138"/>
      <c r="M3" s="138">
        <v>43.29</v>
      </c>
      <c r="N3" s="138">
        <v>250</v>
      </c>
    </row>
    <row r="4" spans="1:14" s="14" customFormat="1" x14ac:dyDescent="0.25">
      <c r="A4" s="20"/>
      <c r="B4" s="195">
        <v>4462</v>
      </c>
      <c r="C4" s="141" t="s">
        <v>102</v>
      </c>
      <c r="D4" s="16" t="s">
        <v>158</v>
      </c>
      <c r="E4" s="17">
        <v>42377</v>
      </c>
      <c r="F4" s="18">
        <v>5500</v>
      </c>
      <c r="G4" s="7"/>
      <c r="H4" s="19">
        <f t="shared" si="0"/>
        <v>5500</v>
      </c>
      <c r="I4" s="137" t="s">
        <v>320</v>
      </c>
      <c r="J4" s="138">
        <v>57.3</v>
      </c>
      <c r="K4" s="138">
        <v>29.9</v>
      </c>
      <c r="L4" s="138">
        <v>37.369999999999997</v>
      </c>
      <c r="M4" s="138"/>
      <c r="N4" s="138"/>
    </row>
    <row r="5" spans="1:14" s="14" customFormat="1" x14ac:dyDescent="0.25">
      <c r="A5" s="20"/>
      <c r="B5" s="185">
        <v>4463</v>
      </c>
      <c r="C5" s="141" t="s">
        <v>102</v>
      </c>
      <c r="D5" s="16" t="s">
        <v>159</v>
      </c>
      <c r="E5" s="17">
        <v>42380</v>
      </c>
      <c r="F5" s="6">
        <v>6500</v>
      </c>
      <c r="G5" s="7">
        <v>200</v>
      </c>
      <c r="H5" s="19">
        <f t="shared" si="0"/>
        <v>6300</v>
      </c>
      <c r="I5" s="137" t="s">
        <v>319</v>
      </c>
      <c r="J5" s="138">
        <v>65.42</v>
      </c>
      <c r="K5" s="138">
        <v>34.130000000000003</v>
      </c>
      <c r="L5" s="138"/>
      <c r="M5" s="138">
        <v>44.17</v>
      </c>
      <c r="N5" s="138">
        <v>250</v>
      </c>
    </row>
    <row r="6" spans="1:14" s="14" customFormat="1" x14ac:dyDescent="0.25">
      <c r="A6" s="20"/>
      <c r="B6" s="194">
        <v>4484</v>
      </c>
      <c r="C6" s="141" t="s">
        <v>102</v>
      </c>
      <c r="D6" s="141" t="s">
        <v>130</v>
      </c>
      <c r="E6" s="23">
        <v>42389</v>
      </c>
      <c r="F6" s="26">
        <v>17900</v>
      </c>
      <c r="G6" s="175"/>
      <c r="H6" s="19">
        <f t="shared" si="0"/>
        <v>17900</v>
      </c>
      <c r="I6" s="137" t="s">
        <v>319</v>
      </c>
      <c r="J6" s="138">
        <v>183.21</v>
      </c>
      <c r="K6" s="138">
        <v>95.59</v>
      </c>
      <c r="L6" s="138">
        <v>119.48</v>
      </c>
      <c r="M6" s="138"/>
      <c r="N6" s="138">
        <v>450</v>
      </c>
    </row>
    <row r="7" spans="1:14" x14ac:dyDescent="0.25">
      <c r="A7" s="20"/>
      <c r="B7" s="230">
        <v>1159</v>
      </c>
      <c r="C7" s="231" t="s">
        <v>102</v>
      </c>
      <c r="D7" s="231" t="s">
        <v>127</v>
      </c>
      <c r="E7" s="232">
        <v>42390</v>
      </c>
      <c r="F7" s="233">
        <f>SUM(34900+9900)</f>
        <v>44800</v>
      </c>
      <c r="G7" s="25"/>
      <c r="H7" s="19">
        <f t="shared" si="0"/>
        <v>44800</v>
      </c>
      <c r="I7" s="137" t="s">
        <v>321</v>
      </c>
      <c r="J7" s="138">
        <v>363.7</v>
      </c>
      <c r="K7" s="138">
        <v>240.99</v>
      </c>
      <c r="L7" s="138"/>
      <c r="M7" s="138">
        <v>304.67</v>
      </c>
      <c r="N7" s="138">
        <v>1500</v>
      </c>
    </row>
    <row r="8" spans="1:14" x14ac:dyDescent="0.25">
      <c r="A8" s="20"/>
      <c r="B8" s="194">
        <v>4492</v>
      </c>
      <c r="C8" s="141" t="s">
        <v>102</v>
      </c>
      <c r="D8" s="141" t="s">
        <v>134</v>
      </c>
      <c r="E8" s="23">
        <v>42391</v>
      </c>
      <c r="F8" s="26">
        <v>18700</v>
      </c>
      <c r="G8" s="175"/>
      <c r="H8" s="19">
        <f t="shared" si="0"/>
        <v>18700</v>
      </c>
      <c r="I8" s="137" t="s">
        <v>322</v>
      </c>
      <c r="J8" s="138">
        <v>191.39</v>
      </c>
      <c r="K8" s="138">
        <v>99.86</v>
      </c>
      <c r="L8" s="138"/>
      <c r="M8" s="138">
        <v>124.82</v>
      </c>
      <c r="N8" s="138"/>
    </row>
    <row r="9" spans="1:14" x14ac:dyDescent="0.25">
      <c r="A9" s="20"/>
      <c r="B9" s="194">
        <v>4493</v>
      </c>
      <c r="C9" s="141" t="s">
        <v>102</v>
      </c>
      <c r="D9" s="141" t="s">
        <v>161</v>
      </c>
      <c r="E9" s="23">
        <v>42394</v>
      </c>
      <c r="F9" s="26">
        <v>18200</v>
      </c>
      <c r="G9" s="175">
        <v>96.24</v>
      </c>
      <c r="H9" s="19">
        <f t="shared" si="0"/>
        <v>18103.759999999998</v>
      </c>
      <c r="I9" s="137" t="s">
        <v>328</v>
      </c>
      <c r="J9" s="138">
        <v>183.98</v>
      </c>
      <c r="K9" s="138">
        <v>95.99</v>
      </c>
      <c r="L9" s="138">
        <v>119.99</v>
      </c>
      <c r="M9" s="138"/>
      <c r="N9" s="138"/>
    </row>
    <row r="10" spans="1:14" x14ac:dyDescent="0.25">
      <c r="A10" s="20"/>
      <c r="B10" s="194">
        <v>4494</v>
      </c>
      <c r="C10" s="141" t="s">
        <v>102</v>
      </c>
      <c r="D10" s="141" t="s">
        <v>161</v>
      </c>
      <c r="E10" s="23">
        <v>42396</v>
      </c>
      <c r="F10" s="26">
        <v>17150</v>
      </c>
      <c r="G10" s="27">
        <v>96.24</v>
      </c>
      <c r="H10" s="19">
        <f t="shared" si="0"/>
        <v>17053.759999999998</v>
      </c>
      <c r="I10" s="137" t="s">
        <v>334</v>
      </c>
      <c r="J10" s="138">
        <v>174.92</v>
      </c>
      <c r="K10" s="138">
        <v>91</v>
      </c>
      <c r="L10" s="138">
        <v>113.75</v>
      </c>
      <c r="M10" s="138"/>
      <c r="N10" s="138"/>
    </row>
    <row r="11" spans="1:14" x14ac:dyDescent="0.25">
      <c r="A11" s="20"/>
      <c r="B11" s="194">
        <v>4497</v>
      </c>
      <c r="C11" s="141" t="s">
        <v>102</v>
      </c>
      <c r="D11" s="141" t="s">
        <v>136</v>
      </c>
      <c r="E11" s="23">
        <v>42397</v>
      </c>
      <c r="F11" s="26">
        <f>18900+8900</f>
        <v>27800</v>
      </c>
      <c r="G11" s="27"/>
      <c r="H11" s="19">
        <f>F11-G11</f>
        <v>27800</v>
      </c>
      <c r="I11" s="137" t="s">
        <v>335</v>
      </c>
      <c r="J11" s="138">
        <v>193.44</v>
      </c>
      <c r="K11" s="138">
        <v>100.93</v>
      </c>
      <c r="L11" s="138">
        <v>126.16</v>
      </c>
      <c r="M11" s="138"/>
      <c r="N11" s="138"/>
    </row>
    <row r="12" spans="1:14" x14ac:dyDescent="0.25">
      <c r="A12" s="20"/>
      <c r="B12" s="231">
        <v>4502</v>
      </c>
      <c r="C12" s="231" t="s">
        <v>102</v>
      </c>
      <c r="D12" s="234" t="s">
        <v>162</v>
      </c>
      <c r="E12" s="235">
        <v>42398</v>
      </c>
      <c r="F12" s="236">
        <f>8900+8900</f>
        <v>17800</v>
      </c>
      <c r="G12" s="7"/>
      <c r="H12" s="19">
        <f>F12-G12</f>
        <v>17800</v>
      </c>
      <c r="I12" s="137" t="s">
        <v>339</v>
      </c>
      <c r="J12" s="138">
        <v>91.09</v>
      </c>
      <c r="K12" s="138" t="s">
        <v>354</v>
      </c>
      <c r="L12" s="138">
        <v>59.41</v>
      </c>
      <c r="M12" s="138"/>
      <c r="N12" s="138"/>
    </row>
    <row r="13" spans="1:14" x14ac:dyDescent="0.25">
      <c r="A13" s="20"/>
      <c r="B13" s="185">
        <v>4503</v>
      </c>
      <c r="C13" s="21" t="s">
        <v>82</v>
      </c>
      <c r="D13" s="20" t="s">
        <v>149</v>
      </c>
      <c r="E13" s="28">
        <v>42398</v>
      </c>
      <c r="F13" s="6">
        <v>18490</v>
      </c>
      <c r="G13" s="7"/>
      <c r="H13" s="19">
        <f>F13-G13</f>
        <v>18490</v>
      </c>
      <c r="I13" s="137" t="s">
        <v>340</v>
      </c>
      <c r="J13" s="138">
        <v>189.25</v>
      </c>
      <c r="K13" s="138">
        <v>98.74</v>
      </c>
      <c r="L13" s="138">
        <v>123.42</v>
      </c>
      <c r="M13" s="138"/>
      <c r="N13" s="138">
        <v>271.43</v>
      </c>
    </row>
    <row r="14" spans="1:14" ht="15" thickBot="1" x14ac:dyDescent="0.3">
      <c r="B14" s="185"/>
      <c r="C14" s="21"/>
      <c r="D14" s="20"/>
      <c r="E14" s="28"/>
      <c r="F14" s="6"/>
      <c r="G14" s="7"/>
      <c r="H14" s="19">
        <f t="shared" si="0"/>
        <v>0</v>
      </c>
      <c r="I14" s="66"/>
      <c r="J14" s="135">
        <f>SUM(J3:J13)</f>
        <v>1760.07</v>
      </c>
      <c r="K14" s="135">
        <f>SUM(K3:K13)</f>
        <v>921.76</v>
      </c>
      <c r="L14" s="135">
        <f>SUM(L3:L13)</f>
        <v>699.57999999999993</v>
      </c>
      <c r="M14" s="135">
        <f>SUM(M3:M13)</f>
        <v>516.95000000000005</v>
      </c>
      <c r="N14" s="135">
        <f>SUM(N3:N13)</f>
        <v>2721.43</v>
      </c>
    </row>
    <row r="15" spans="1:14" ht="15" thickBot="1" x14ac:dyDescent="0.3">
      <c r="B15" s="200"/>
      <c r="C15" s="32"/>
      <c r="D15" s="33"/>
      <c r="E15" s="34"/>
      <c r="F15" s="35">
        <f>SUM(F3:F14)</f>
        <v>199340</v>
      </c>
      <c r="G15" s="36">
        <f>SUM(G3:G14)</f>
        <v>445.48</v>
      </c>
      <c r="H15" s="37">
        <f>SUM(H3:H14)</f>
        <v>198894.52</v>
      </c>
      <c r="I15" s="66"/>
      <c r="J15" s="135"/>
      <c r="K15" s="135"/>
      <c r="L15" s="135"/>
      <c r="M15" s="135"/>
      <c r="N15" s="135"/>
    </row>
    <row r="16" spans="1:14" x14ac:dyDescent="0.25">
      <c r="B16" s="201"/>
      <c r="C16" s="3"/>
      <c r="D16" s="4"/>
      <c r="E16" s="38" t="s">
        <v>8</v>
      </c>
      <c r="F16" s="39">
        <f>TOTAL!C8</f>
        <v>155620</v>
      </c>
      <c r="G16" s="40" t="s">
        <v>9</v>
      </c>
      <c r="H16" s="41">
        <f>H15/F16%</f>
        <v>127.80781390566764</v>
      </c>
      <c r="I16" s="58" t="s">
        <v>10</v>
      </c>
    </row>
    <row r="17" spans="2:9" ht="15" thickBot="1" x14ac:dyDescent="0.3">
      <c r="B17" s="202"/>
      <c r="C17" s="43"/>
      <c r="D17" s="44"/>
      <c r="E17" s="45"/>
      <c r="F17" s="46"/>
      <c r="G17" s="47"/>
      <c r="H17" s="48"/>
      <c r="I17" s="14"/>
    </row>
    <row r="18" spans="2:9" ht="18.75" thickTop="1" x14ac:dyDescent="0.25">
      <c r="B18" s="198" t="s">
        <v>11</v>
      </c>
      <c r="C18" s="49"/>
      <c r="D18" s="4"/>
      <c r="E18" s="5"/>
      <c r="F18" s="6"/>
      <c r="G18" s="7"/>
      <c r="H18" s="50"/>
      <c r="I18" s="14"/>
    </row>
    <row r="19" spans="2:9" x14ac:dyDescent="0.25">
      <c r="B19" s="199" t="s">
        <v>1</v>
      </c>
      <c r="C19" s="9" t="s">
        <v>2</v>
      </c>
      <c r="D19" s="10" t="s">
        <v>3</v>
      </c>
      <c r="E19" s="11" t="s">
        <v>4</v>
      </c>
      <c r="F19" s="12" t="s">
        <v>5</v>
      </c>
      <c r="G19" s="7" t="s">
        <v>12</v>
      </c>
      <c r="H19" s="13" t="s">
        <v>7</v>
      </c>
      <c r="I19" s="14"/>
    </row>
    <row r="20" spans="2:9" s="14" customFormat="1" x14ac:dyDescent="0.25">
      <c r="B20" s="182"/>
      <c r="C20" s="29"/>
      <c r="D20" s="30"/>
      <c r="E20" s="31"/>
      <c r="F20" s="6"/>
      <c r="G20" s="7"/>
      <c r="H20" s="19">
        <f t="shared" ref="H20:H23" si="1">F20-G20</f>
        <v>0</v>
      </c>
    </row>
    <row r="21" spans="2:9" s="14" customFormat="1" x14ac:dyDescent="0.25">
      <c r="B21" s="182"/>
      <c r="C21" s="29"/>
      <c r="D21" s="30"/>
      <c r="E21" s="31"/>
      <c r="F21" s="6"/>
      <c r="G21" s="7"/>
      <c r="H21" s="19">
        <f t="shared" si="1"/>
        <v>0</v>
      </c>
    </row>
    <row r="22" spans="2:9" x14ac:dyDescent="0.25">
      <c r="B22" s="182"/>
      <c r="C22" s="29"/>
      <c r="D22" s="30"/>
      <c r="E22" s="31"/>
      <c r="F22" s="6"/>
      <c r="G22" s="7"/>
      <c r="H22" s="19">
        <f t="shared" si="1"/>
        <v>0</v>
      </c>
    </row>
    <row r="23" spans="2:9" ht="15" thickBot="1" x14ac:dyDescent="0.3">
      <c r="B23" s="182"/>
      <c r="C23" s="29"/>
      <c r="D23" s="30"/>
      <c r="E23" s="31"/>
      <c r="F23" s="6"/>
      <c r="G23" s="7"/>
      <c r="H23" s="19">
        <f t="shared" si="1"/>
        <v>0</v>
      </c>
    </row>
    <row r="24" spans="2:9" ht="15" thickBot="1" x14ac:dyDescent="0.3">
      <c r="B24" s="182"/>
      <c r="C24" s="29"/>
      <c r="D24" s="30"/>
      <c r="E24" s="31"/>
      <c r="F24" s="35"/>
      <c r="G24" s="36"/>
      <c r="H24" s="37">
        <f>SUM(H20:H23)</f>
        <v>0</v>
      </c>
    </row>
    <row r="25" spans="2:9" x14ac:dyDescent="0.25">
      <c r="B25" s="182"/>
      <c r="C25" s="29"/>
      <c r="D25" s="30"/>
      <c r="E25" s="31"/>
      <c r="F25" s="51"/>
      <c r="G25" s="52"/>
      <c r="H25" s="53"/>
    </row>
    <row r="26" spans="2:9" ht="15" thickBot="1" x14ac:dyDescent="0.3">
      <c r="B26" s="202"/>
      <c r="C26" s="43"/>
      <c r="D26" s="44"/>
      <c r="E26" s="45"/>
      <c r="F26" s="46"/>
      <c r="G26" s="47"/>
      <c r="H26" s="48"/>
      <c r="I26" s="14"/>
    </row>
    <row r="27" spans="2:9" ht="18.75" thickTop="1" x14ac:dyDescent="0.25">
      <c r="B27" s="198" t="s">
        <v>13</v>
      </c>
      <c r="C27" s="49"/>
      <c r="D27" s="4"/>
      <c r="E27" s="5"/>
      <c r="F27" s="6"/>
      <c r="G27" s="7"/>
      <c r="H27" s="50"/>
      <c r="I27" s="14"/>
    </row>
    <row r="28" spans="2:9" x14ac:dyDescent="0.25">
      <c r="B28" s="199" t="s">
        <v>1</v>
      </c>
      <c r="C28" s="9" t="s">
        <v>2</v>
      </c>
      <c r="D28" s="10" t="s">
        <v>3</v>
      </c>
      <c r="E28" s="11" t="s">
        <v>4</v>
      </c>
      <c r="F28" s="12" t="s">
        <v>5</v>
      </c>
      <c r="G28" s="7" t="s">
        <v>12</v>
      </c>
      <c r="H28" s="13" t="s">
        <v>7</v>
      </c>
      <c r="I28" s="14"/>
    </row>
    <row r="29" spans="2:9" s="14" customFormat="1" x14ac:dyDescent="0.25">
      <c r="B29" s="182">
        <v>4478</v>
      </c>
      <c r="C29" s="29" t="s">
        <v>102</v>
      </c>
      <c r="D29" s="30" t="s">
        <v>160</v>
      </c>
      <c r="E29" s="31">
        <v>42387</v>
      </c>
      <c r="F29" s="6">
        <v>2600</v>
      </c>
      <c r="G29" s="7"/>
      <c r="H29" s="19">
        <f t="shared" ref="H29:H32" si="2">F29-G29</f>
        <v>2600</v>
      </c>
    </row>
    <row r="30" spans="2:9" s="14" customFormat="1" x14ac:dyDescent="0.25">
      <c r="B30" s="194">
        <v>1159</v>
      </c>
      <c r="C30" s="141" t="s">
        <v>102</v>
      </c>
      <c r="D30" s="141" t="s">
        <v>127</v>
      </c>
      <c r="E30" s="23">
        <v>42390</v>
      </c>
      <c r="F30" s="24">
        <v>1295</v>
      </c>
      <c r="G30" s="7"/>
      <c r="H30" s="19">
        <f t="shared" si="2"/>
        <v>1295</v>
      </c>
    </row>
    <row r="31" spans="2:9" s="14" customFormat="1" x14ac:dyDescent="0.25">
      <c r="B31" s="182"/>
      <c r="C31" s="29"/>
      <c r="D31" s="30"/>
      <c r="E31" s="31"/>
      <c r="F31" s="6"/>
      <c r="G31" s="7"/>
      <c r="H31" s="19">
        <f t="shared" si="2"/>
        <v>0</v>
      </c>
    </row>
    <row r="32" spans="2:9" ht="15" thickBot="1" x14ac:dyDescent="0.3">
      <c r="B32" s="182"/>
      <c r="C32" s="29"/>
      <c r="D32" s="30"/>
      <c r="E32" s="31"/>
      <c r="F32" s="6"/>
      <c r="G32" s="7"/>
      <c r="H32" s="19">
        <f t="shared" si="2"/>
        <v>0</v>
      </c>
    </row>
    <row r="33" spans="2:14" ht="15" thickBot="1" x14ac:dyDescent="0.3">
      <c r="B33" s="203"/>
      <c r="C33" s="55"/>
      <c r="D33" s="56"/>
      <c r="E33" s="57"/>
      <c r="F33" s="35">
        <f>SUM(F29:F32)</f>
        <v>3895</v>
      </c>
      <c r="G33" s="36">
        <f>SUM(G29:G32)</f>
        <v>0</v>
      </c>
      <c r="H33" s="37">
        <f>SUM(H29:H32)</f>
        <v>3895</v>
      </c>
    </row>
    <row r="34" spans="2:14" x14ac:dyDescent="0.25">
      <c r="B34" s="203"/>
      <c r="C34" s="55"/>
      <c r="D34" s="56"/>
      <c r="E34" s="38"/>
      <c r="F34" s="39"/>
      <c r="G34" s="40"/>
      <c r="H34" s="41"/>
    </row>
    <row r="35" spans="2:14" ht="15" thickBot="1" x14ac:dyDescent="0.3">
      <c r="B35" s="202"/>
      <c r="C35" s="43"/>
      <c r="D35" s="44"/>
      <c r="E35" s="59"/>
      <c r="F35" s="46"/>
      <c r="G35" s="47"/>
      <c r="H35" s="48"/>
      <c r="I35" s="14"/>
    </row>
    <row r="36" spans="2:14" ht="18.75" thickTop="1" x14ac:dyDescent="0.25">
      <c r="B36" s="198" t="s">
        <v>14</v>
      </c>
      <c r="C36" s="49"/>
      <c r="D36" s="4"/>
      <c r="E36" s="5"/>
      <c r="F36" s="6"/>
      <c r="G36" s="7"/>
      <c r="H36" s="50"/>
      <c r="I36" s="14"/>
    </row>
    <row r="37" spans="2:14" x14ac:dyDescent="0.25">
      <c r="B37" s="199" t="s">
        <v>1</v>
      </c>
      <c r="C37" s="9" t="s">
        <v>2</v>
      </c>
      <c r="D37" s="10" t="s">
        <v>3</v>
      </c>
      <c r="E37" s="11" t="s">
        <v>4</v>
      </c>
      <c r="F37" s="12" t="s">
        <v>5</v>
      </c>
      <c r="G37" s="7" t="s">
        <v>12</v>
      </c>
      <c r="H37" s="13" t="s">
        <v>7</v>
      </c>
      <c r="I37" s="14"/>
    </row>
    <row r="38" spans="2:14" s="14" customFormat="1" x14ac:dyDescent="0.25">
      <c r="B38" s="182">
        <v>1139</v>
      </c>
      <c r="C38" s="15" t="s">
        <v>82</v>
      </c>
      <c r="D38" s="30" t="s">
        <v>61</v>
      </c>
      <c r="E38" s="31">
        <v>42376</v>
      </c>
      <c r="F38" s="6">
        <v>630.52</v>
      </c>
      <c r="G38" s="7"/>
      <c r="H38" s="19">
        <f t="shared" ref="H38:H52" si="3">F38-G38</f>
        <v>630.52</v>
      </c>
      <c r="J38" s="1"/>
      <c r="K38" s="1"/>
      <c r="L38" s="1"/>
      <c r="M38" s="1"/>
      <c r="N38" s="1"/>
    </row>
    <row r="39" spans="2:14" s="14" customFormat="1" x14ac:dyDescent="0.25">
      <c r="B39" s="182">
        <v>1144</v>
      </c>
      <c r="C39" s="15" t="s">
        <v>102</v>
      </c>
      <c r="D39" s="30" t="s">
        <v>103</v>
      </c>
      <c r="E39" s="31">
        <v>42381</v>
      </c>
      <c r="F39" s="6">
        <v>5807.43</v>
      </c>
      <c r="G39" s="7"/>
      <c r="H39" s="19">
        <f t="shared" si="3"/>
        <v>5807.43</v>
      </c>
      <c r="J39" s="1"/>
      <c r="K39" s="1"/>
      <c r="L39" s="1"/>
      <c r="M39" s="1"/>
      <c r="N39" s="1"/>
    </row>
    <row r="40" spans="2:14" s="14" customFormat="1" x14ac:dyDescent="0.25">
      <c r="B40" s="195">
        <v>1145</v>
      </c>
      <c r="C40" s="15" t="s">
        <v>102</v>
      </c>
      <c r="D40" s="15" t="s">
        <v>103</v>
      </c>
      <c r="E40" s="17">
        <v>42381</v>
      </c>
      <c r="F40" s="18">
        <v>127.36</v>
      </c>
      <c r="G40" s="60"/>
      <c r="H40" s="19">
        <f t="shared" si="3"/>
        <v>127.36</v>
      </c>
    </row>
    <row r="41" spans="2:14" x14ac:dyDescent="0.25">
      <c r="B41" s="195">
        <v>1147</v>
      </c>
      <c r="C41" s="15" t="s">
        <v>102</v>
      </c>
      <c r="D41" s="16" t="s">
        <v>105</v>
      </c>
      <c r="E41" s="17">
        <v>42383</v>
      </c>
      <c r="F41" s="51">
        <v>1419.04</v>
      </c>
      <c r="G41" s="7"/>
      <c r="H41" s="19">
        <f t="shared" si="3"/>
        <v>1419.04</v>
      </c>
      <c r="J41" s="14"/>
      <c r="K41" s="14"/>
      <c r="L41" s="14"/>
      <c r="M41" s="14"/>
      <c r="N41" s="14"/>
    </row>
    <row r="42" spans="2:14" x14ac:dyDescent="0.25">
      <c r="B42" s="185">
        <v>1150</v>
      </c>
      <c r="C42" s="21" t="s">
        <v>102</v>
      </c>
      <c r="D42" s="21" t="s">
        <v>106</v>
      </c>
      <c r="E42" s="28">
        <v>42384</v>
      </c>
      <c r="F42" s="6">
        <v>2033</v>
      </c>
      <c r="G42" s="7"/>
      <c r="H42" s="19">
        <f t="shared" si="3"/>
        <v>2033</v>
      </c>
      <c r="J42" s="14"/>
      <c r="K42" s="14"/>
      <c r="L42" s="14"/>
      <c r="M42" s="14"/>
      <c r="N42" s="14"/>
    </row>
    <row r="43" spans="2:14" x14ac:dyDescent="0.25">
      <c r="B43" s="185">
        <v>1156</v>
      </c>
      <c r="C43" s="21" t="s">
        <v>102</v>
      </c>
      <c r="D43" s="21" t="s">
        <v>125</v>
      </c>
      <c r="E43" s="28">
        <v>42389</v>
      </c>
      <c r="F43" s="6">
        <v>152.83000000000001</v>
      </c>
      <c r="G43" s="7"/>
      <c r="H43" s="19">
        <f t="shared" si="3"/>
        <v>152.83000000000001</v>
      </c>
      <c r="J43" s="14"/>
      <c r="K43" s="14"/>
      <c r="L43" s="14"/>
      <c r="M43" s="14"/>
      <c r="N43" s="14"/>
    </row>
    <row r="44" spans="2:14" ht="14.25" customHeight="1" x14ac:dyDescent="0.25">
      <c r="B44" s="185">
        <v>1169</v>
      </c>
      <c r="C44" s="21" t="s">
        <v>102</v>
      </c>
      <c r="D44" s="21" t="s">
        <v>139</v>
      </c>
      <c r="E44" s="28">
        <v>42395</v>
      </c>
      <c r="F44" s="6">
        <v>696.66</v>
      </c>
      <c r="G44" s="7"/>
      <c r="H44" s="19">
        <f t="shared" si="3"/>
        <v>696.66</v>
      </c>
      <c r="J44" s="14"/>
      <c r="K44" s="14"/>
      <c r="L44" s="14"/>
      <c r="M44" s="14"/>
      <c r="N44" s="14"/>
    </row>
    <row r="45" spans="2:14" ht="14.25" customHeight="1" x14ac:dyDescent="0.25">
      <c r="B45" s="185">
        <v>1170</v>
      </c>
      <c r="C45" s="21" t="s">
        <v>102</v>
      </c>
      <c r="D45" s="21" t="s">
        <v>139</v>
      </c>
      <c r="E45" s="28">
        <v>42395</v>
      </c>
      <c r="F45" s="6">
        <v>696.66</v>
      </c>
      <c r="G45" s="7"/>
      <c r="H45" s="19">
        <f t="shared" si="3"/>
        <v>696.66</v>
      </c>
      <c r="J45" s="14"/>
      <c r="K45" s="14"/>
      <c r="L45" s="14"/>
      <c r="M45" s="14"/>
      <c r="N45" s="14"/>
    </row>
    <row r="46" spans="2:14" ht="14.25" customHeight="1" x14ac:dyDescent="0.25">
      <c r="B46" s="185">
        <v>1171</v>
      </c>
      <c r="C46" s="21" t="s">
        <v>102</v>
      </c>
      <c r="D46" s="21" t="s">
        <v>140</v>
      </c>
      <c r="E46" s="28">
        <v>42395</v>
      </c>
      <c r="F46" s="6">
        <v>1828.4</v>
      </c>
      <c r="G46" s="7"/>
      <c r="H46" s="19">
        <f t="shared" si="3"/>
        <v>1828.4</v>
      </c>
      <c r="J46" s="14"/>
      <c r="K46" s="14"/>
      <c r="L46" s="14"/>
      <c r="M46" s="14"/>
      <c r="N46" s="14"/>
    </row>
    <row r="47" spans="2:14" ht="14.25" customHeight="1" x14ac:dyDescent="0.25">
      <c r="B47" s="185">
        <v>1172</v>
      </c>
      <c r="C47" s="21" t="s">
        <v>102</v>
      </c>
      <c r="D47" s="21" t="s">
        <v>141</v>
      </c>
      <c r="E47" s="28">
        <v>42395</v>
      </c>
      <c r="F47" s="6">
        <v>468.35</v>
      </c>
      <c r="G47" s="7"/>
      <c r="H47" s="19">
        <f t="shared" si="3"/>
        <v>468.35</v>
      </c>
      <c r="J47" s="14"/>
      <c r="K47" s="14"/>
      <c r="L47" s="14"/>
      <c r="M47" s="14"/>
      <c r="N47" s="14"/>
    </row>
    <row r="48" spans="2:14" ht="14.25" customHeight="1" x14ac:dyDescent="0.25">
      <c r="B48" s="185">
        <v>1173</v>
      </c>
      <c r="C48" s="21" t="s">
        <v>102</v>
      </c>
      <c r="D48" s="21" t="s">
        <v>141</v>
      </c>
      <c r="E48" s="28">
        <v>42395</v>
      </c>
      <c r="F48" s="6">
        <v>847.83</v>
      </c>
      <c r="G48" s="7"/>
      <c r="H48" s="19">
        <f t="shared" si="3"/>
        <v>847.83</v>
      </c>
      <c r="J48" s="14"/>
      <c r="K48" s="14"/>
      <c r="L48" s="14"/>
      <c r="M48" s="14"/>
      <c r="N48" s="14"/>
    </row>
    <row r="49" spans="2:14" ht="14.25" customHeight="1" x14ac:dyDescent="0.25">
      <c r="B49" s="185">
        <v>1176</v>
      </c>
      <c r="C49" s="21" t="s">
        <v>102</v>
      </c>
      <c r="D49" s="21" t="s">
        <v>142</v>
      </c>
      <c r="E49" s="28">
        <v>42396</v>
      </c>
      <c r="F49" s="6">
        <v>469.2</v>
      </c>
      <c r="G49" s="7"/>
      <c r="H49" s="19">
        <f t="shared" si="3"/>
        <v>469.2</v>
      </c>
      <c r="J49" s="14"/>
      <c r="K49" s="14"/>
      <c r="L49" s="14"/>
      <c r="M49" s="14"/>
      <c r="N49" s="14"/>
    </row>
    <row r="50" spans="2:14" ht="14.25" customHeight="1" x14ac:dyDescent="0.25">
      <c r="B50" s="185">
        <v>1177</v>
      </c>
      <c r="C50" s="21" t="s">
        <v>102</v>
      </c>
      <c r="D50" s="21" t="s">
        <v>142</v>
      </c>
      <c r="E50" s="28">
        <v>42396</v>
      </c>
      <c r="F50" s="6">
        <v>417.12</v>
      </c>
      <c r="G50" s="7"/>
      <c r="H50" s="19">
        <f t="shared" si="3"/>
        <v>417.12</v>
      </c>
      <c r="J50" s="14"/>
      <c r="K50" s="14"/>
      <c r="L50" s="14"/>
      <c r="M50" s="14"/>
      <c r="N50" s="14"/>
    </row>
    <row r="51" spans="2:14" ht="14.25" customHeight="1" x14ac:dyDescent="0.25">
      <c r="B51" s="185">
        <v>1178</v>
      </c>
      <c r="C51" s="21" t="s">
        <v>102</v>
      </c>
      <c r="D51" s="21" t="s">
        <v>142</v>
      </c>
      <c r="E51" s="28">
        <v>42396</v>
      </c>
      <c r="F51" s="6">
        <v>105.33</v>
      </c>
      <c r="G51" s="7"/>
      <c r="H51" s="19">
        <f t="shared" si="3"/>
        <v>105.33</v>
      </c>
      <c r="J51" s="14"/>
      <c r="K51" s="14"/>
      <c r="L51" s="14"/>
      <c r="M51" s="14"/>
      <c r="N51" s="14"/>
    </row>
    <row r="52" spans="2:14" ht="14.25" customHeight="1" thickBot="1" x14ac:dyDescent="0.3">
      <c r="B52" s="185"/>
      <c r="C52" s="21"/>
      <c r="D52" s="21"/>
      <c r="E52" s="28"/>
      <c r="F52" s="6"/>
      <c r="G52" s="7"/>
      <c r="H52" s="19">
        <f t="shared" si="3"/>
        <v>0</v>
      </c>
      <c r="J52" s="14"/>
      <c r="K52" s="14"/>
      <c r="L52" s="14"/>
      <c r="M52" s="14"/>
      <c r="N52" s="14"/>
    </row>
    <row r="53" spans="2:14" ht="15" thickBot="1" x14ac:dyDescent="0.3">
      <c r="B53" s="201"/>
      <c r="C53" s="3"/>
      <c r="D53" s="4"/>
      <c r="E53" s="61"/>
      <c r="F53" s="62">
        <f>SUM(F38:F50)</f>
        <v>15594.400000000001</v>
      </c>
      <c r="G53" s="36">
        <f>SUM(G38:G44)</f>
        <v>0</v>
      </c>
      <c r="H53" s="63">
        <f>SUM(H38:H52)</f>
        <v>15699.730000000001</v>
      </c>
      <c r="J53" s="14"/>
      <c r="K53" s="14"/>
      <c r="L53" s="14"/>
      <c r="M53" s="14"/>
      <c r="N53" s="14"/>
    </row>
    <row r="54" spans="2:14" x14ac:dyDescent="0.25">
      <c r="B54" s="204"/>
      <c r="C54" s="3"/>
      <c r="D54" s="65"/>
      <c r="E54" s="38" t="s">
        <v>8</v>
      </c>
      <c r="F54" s="39">
        <f>TOTAL!C9</f>
        <v>0</v>
      </c>
      <c r="G54" s="40" t="s">
        <v>9</v>
      </c>
      <c r="H54" s="41" t="e">
        <f>H53/F54%</f>
        <v>#DIV/0!</v>
      </c>
      <c r="I54" s="58" t="s">
        <v>10</v>
      </c>
      <c r="J54" s="14"/>
      <c r="K54" s="14"/>
      <c r="L54" s="14"/>
      <c r="M54" s="14"/>
      <c r="N54" s="14"/>
    </row>
    <row r="55" spans="2:14" ht="15" thickBot="1" x14ac:dyDescent="0.3">
      <c r="B55" s="202"/>
      <c r="C55" s="43"/>
      <c r="D55" s="44"/>
      <c r="E55" s="59"/>
      <c r="F55" s="46"/>
      <c r="G55" s="47"/>
      <c r="H55" s="48"/>
      <c r="I55" s="14"/>
      <c r="J55" s="14"/>
      <c r="K55" s="14"/>
      <c r="L55" s="14"/>
      <c r="M55" s="14"/>
      <c r="N55" s="14"/>
    </row>
    <row r="56" spans="2:14" ht="18.75" thickTop="1" x14ac:dyDescent="0.25">
      <c r="B56" s="198" t="s">
        <v>15</v>
      </c>
      <c r="C56" s="49"/>
      <c r="D56" s="4"/>
      <c r="E56" s="5"/>
      <c r="F56" s="6"/>
      <c r="G56" s="7"/>
      <c r="H56" s="50"/>
      <c r="I56" s="14"/>
      <c r="J56" s="14"/>
      <c r="K56" s="14"/>
      <c r="L56" s="14"/>
      <c r="M56" s="14"/>
      <c r="N56" s="14"/>
    </row>
    <row r="57" spans="2:14" x14ac:dyDescent="0.25">
      <c r="B57" s="199" t="s">
        <v>1</v>
      </c>
      <c r="C57" s="9" t="s">
        <v>2</v>
      </c>
      <c r="D57" s="10" t="s">
        <v>3</v>
      </c>
      <c r="E57" s="11" t="s">
        <v>4</v>
      </c>
      <c r="F57" s="12" t="s">
        <v>5</v>
      </c>
      <c r="G57" s="7" t="s">
        <v>12</v>
      </c>
      <c r="H57" s="13" t="s">
        <v>7</v>
      </c>
      <c r="I57" s="14"/>
      <c r="J57" s="14"/>
      <c r="K57" s="14"/>
      <c r="L57" s="14"/>
      <c r="M57" s="14"/>
      <c r="N57" s="14"/>
    </row>
    <row r="58" spans="2:14" s="14" customFormat="1" x14ac:dyDescent="0.25">
      <c r="B58" s="195">
        <v>1141</v>
      </c>
      <c r="C58" s="15" t="s">
        <v>82</v>
      </c>
      <c r="D58" s="16" t="s">
        <v>155</v>
      </c>
      <c r="E58" s="17">
        <v>42376</v>
      </c>
      <c r="F58" s="125">
        <v>2770</v>
      </c>
      <c r="G58" s="7">
        <v>120</v>
      </c>
      <c r="H58" s="19">
        <f t="shared" ref="H58:H61" si="4">F58-G58</f>
        <v>2650</v>
      </c>
    </row>
    <row r="59" spans="2:14" s="14" customFormat="1" x14ac:dyDescent="0.25">
      <c r="B59" s="182">
        <v>4461</v>
      </c>
      <c r="C59" s="15" t="s">
        <v>82</v>
      </c>
      <c r="D59" s="30" t="s">
        <v>88</v>
      </c>
      <c r="E59" s="31">
        <v>42377</v>
      </c>
      <c r="F59" s="6">
        <v>1199.31</v>
      </c>
      <c r="G59" s="7"/>
      <c r="H59" s="19">
        <f t="shared" si="4"/>
        <v>1199.31</v>
      </c>
    </row>
    <row r="60" spans="2:14" s="14" customFormat="1" x14ac:dyDescent="0.25">
      <c r="B60" s="185">
        <v>4464</v>
      </c>
      <c r="C60" s="21" t="s">
        <v>102</v>
      </c>
      <c r="D60" s="21" t="s">
        <v>107</v>
      </c>
      <c r="E60" s="28">
        <v>42380</v>
      </c>
      <c r="F60" s="6">
        <v>3973.64</v>
      </c>
      <c r="G60" s="7"/>
      <c r="H60" s="19">
        <f t="shared" si="4"/>
        <v>3973.64</v>
      </c>
    </row>
    <row r="61" spans="2:14" s="14" customFormat="1" x14ac:dyDescent="0.25">
      <c r="B61" s="195">
        <v>1146</v>
      </c>
      <c r="C61" s="15" t="s">
        <v>102</v>
      </c>
      <c r="D61" s="16" t="s">
        <v>104</v>
      </c>
      <c r="E61" s="17">
        <v>42381</v>
      </c>
      <c r="F61" s="51">
        <v>3040</v>
      </c>
      <c r="G61" s="7">
        <v>100</v>
      </c>
      <c r="H61" s="19">
        <f t="shared" si="4"/>
        <v>2940</v>
      </c>
      <c r="J61" s="1"/>
      <c r="K61" s="1"/>
      <c r="L61" s="1"/>
      <c r="M61" s="1"/>
      <c r="N61" s="1"/>
    </row>
    <row r="62" spans="2:14" s="14" customFormat="1" x14ac:dyDescent="0.25">
      <c r="B62" s="185">
        <v>4470</v>
      </c>
      <c r="C62" s="21" t="s">
        <v>102</v>
      </c>
      <c r="D62" s="20" t="s">
        <v>97</v>
      </c>
      <c r="E62" s="28">
        <v>42382</v>
      </c>
      <c r="F62" s="125">
        <v>799.54</v>
      </c>
      <c r="G62" s="7"/>
      <c r="H62" s="19">
        <f t="shared" ref="H62:H67" si="5">F62-G62</f>
        <v>799.54</v>
      </c>
      <c r="J62" s="1"/>
      <c r="K62" s="1"/>
      <c r="L62" s="1"/>
      <c r="M62" s="1"/>
      <c r="N62" s="1"/>
    </row>
    <row r="63" spans="2:14" s="14" customFormat="1" x14ac:dyDescent="0.25">
      <c r="B63" s="185">
        <v>4471</v>
      </c>
      <c r="C63" s="21" t="s">
        <v>102</v>
      </c>
      <c r="D63" s="20" t="s">
        <v>108</v>
      </c>
      <c r="E63" s="28">
        <v>42382</v>
      </c>
      <c r="F63" s="125">
        <v>429.77</v>
      </c>
      <c r="G63" s="7">
        <v>30</v>
      </c>
      <c r="H63" s="19">
        <f t="shared" si="5"/>
        <v>399.77</v>
      </c>
      <c r="J63" s="1"/>
      <c r="K63" s="1"/>
      <c r="L63" s="1"/>
      <c r="M63" s="1"/>
      <c r="N63" s="1"/>
    </row>
    <row r="64" spans="2:14" s="14" customFormat="1" x14ac:dyDescent="0.25">
      <c r="B64" s="185">
        <v>1151</v>
      </c>
      <c r="C64" s="21" t="s">
        <v>102</v>
      </c>
      <c r="D64" s="21" t="s">
        <v>122</v>
      </c>
      <c r="E64" s="28">
        <v>42384</v>
      </c>
      <c r="F64" s="6">
        <v>80</v>
      </c>
      <c r="G64" s="7"/>
      <c r="H64" s="19">
        <f t="shared" si="5"/>
        <v>80</v>
      </c>
      <c r="J64" s="1"/>
      <c r="K64" s="1"/>
      <c r="L64" s="1"/>
      <c r="M64" s="1"/>
      <c r="N64" s="1"/>
    </row>
    <row r="65" spans="2:14" s="14" customFormat="1" x14ac:dyDescent="0.25">
      <c r="B65" s="185">
        <v>4474</v>
      </c>
      <c r="C65" s="21" t="s">
        <v>102</v>
      </c>
      <c r="D65" s="20" t="s">
        <v>109</v>
      </c>
      <c r="E65" s="28">
        <v>42384</v>
      </c>
      <c r="F65" s="125">
        <v>421.47</v>
      </c>
      <c r="G65" s="7">
        <v>21.7</v>
      </c>
      <c r="H65" s="19">
        <f t="shared" si="5"/>
        <v>399.77000000000004</v>
      </c>
      <c r="J65" s="1"/>
      <c r="K65" s="1"/>
      <c r="L65" s="1"/>
      <c r="M65" s="1"/>
      <c r="N65" s="1"/>
    </row>
    <row r="66" spans="2:14" s="14" customFormat="1" x14ac:dyDescent="0.25">
      <c r="B66" s="185">
        <v>4475</v>
      </c>
      <c r="C66" s="21" t="s">
        <v>102</v>
      </c>
      <c r="D66" s="20" t="s">
        <v>97</v>
      </c>
      <c r="E66" s="28">
        <v>42384</v>
      </c>
      <c r="F66" s="125">
        <v>399.77</v>
      </c>
      <c r="G66" s="7"/>
      <c r="H66" s="19">
        <f t="shared" si="5"/>
        <v>399.77</v>
      </c>
      <c r="J66" s="1"/>
      <c r="K66" s="1"/>
      <c r="L66" s="1"/>
      <c r="M66" s="1"/>
      <c r="N66" s="1"/>
    </row>
    <row r="67" spans="2:14" s="14" customFormat="1" x14ac:dyDescent="0.25">
      <c r="B67" s="185">
        <v>4476</v>
      </c>
      <c r="C67" s="21" t="s">
        <v>102</v>
      </c>
      <c r="D67" s="20" t="s">
        <v>110</v>
      </c>
      <c r="E67" s="28">
        <v>42384</v>
      </c>
      <c r="F67" s="125">
        <v>2818.69</v>
      </c>
      <c r="G67" s="7"/>
      <c r="H67" s="19">
        <f t="shared" si="5"/>
        <v>2818.69</v>
      </c>
      <c r="J67" s="1"/>
      <c r="K67" s="1"/>
      <c r="L67" s="1"/>
      <c r="M67" s="1"/>
      <c r="N67" s="1"/>
    </row>
    <row r="68" spans="2:14" s="14" customFormat="1" x14ac:dyDescent="0.25">
      <c r="B68" s="185">
        <v>4479</v>
      </c>
      <c r="C68" s="21" t="s">
        <v>102</v>
      </c>
      <c r="D68" s="20" t="s">
        <v>129</v>
      </c>
      <c r="E68" s="28">
        <v>42387</v>
      </c>
      <c r="F68" s="6">
        <v>799.54</v>
      </c>
      <c r="G68" s="7"/>
      <c r="H68" s="19">
        <f t="shared" ref="H68:H73" si="6">F68-G68</f>
        <v>799.54</v>
      </c>
      <c r="J68" s="1"/>
      <c r="K68" s="1"/>
      <c r="L68" s="1"/>
      <c r="M68" s="1"/>
      <c r="N68" s="1"/>
    </row>
    <row r="69" spans="2:14" s="14" customFormat="1" x14ac:dyDescent="0.25">
      <c r="B69" s="185">
        <v>4489</v>
      </c>
      <c r="C69" s="21" t="s">
        <v>102</v>
      </c>
      <c r="D69" s="20" t="s">
        <v>131</v>
      </c>
      <c r="E69" s="28">
        <v>42391</v>
      </c>
      <c r="F69" s="125">
        <v>50</v>
      </c>
      <c r="G69" s="7"/>
      <c r="H69" s="19">
        <f t="shared" si="6"/>
        <v>50</v>
      </c>
      <c r="J69" s="1"/>
      <c r="K69" s="1"/>
      <c r="L69" s="1"/>
      <c r="M69" s="1"/>
      <c r="N69" s="1"/>
    </row>
    <row r="70" spans="2:14" s="14" customFormat="1" x14ac:dyDescent="0.25">
      <c r="B70" s="185">
        <v>4490</v>
      </c>
      <c r="C70" s="21" t="s">
        <v>102</v>
      </c>
      <c r="D70" s="20" t="s">
        <v>132</v>
      </c>
      <c r="E70" s="28">
        <v>42391</v>
      </c>
      <c r="F70" s="125">
        <v>1781.55</v>
      </c>
      <c r="G70" s="7">
        <f>54.03+42.09</f>
        <v>96.12</v>
      </c>
      <c r="H70" s="19">
        <f t="shared" si="6"/>
        <v>1685.4299999999998</v>
      </c>
      <c r="J70" s="1"/>
      <c r="K70" s="1"/>
      <c r="L70" s="1"/>
      <c r="M70" s="1"/>
      <c r="N70" s="1"/>
    </row>
    <row r="71" spans="2:14" s="14" customFormat="1" x14ac:dyDescent="0.25">
      <c r="B71" s="185">
        <v>4491</v>
      </c>
      <c r="C71" s="21" t="s">
        <v>102</v>
      </c>
      <c r="D71" s="20" t="s">
        <v>133</v>
      </c>
      <c r="E71" s="28">
        <v>42391</v>
      </c>
      <c r="F71" s="125">
        <v>2488.2199999999998</v>
      </c>
      <c r="G71" s="7"/>
      <c r="H71" s="19">
        <f t="shared" si="6"/>
        <v>2488.2199999999998</v>
      </c>
      <c r="J71" s="1"/>
      <c r="K71" s="1"/>
      <c r="L71" s="1"/>
      <c r="M71" s="1"/>
      <c r="N71" s="1"/>
    </row>
    <row r="72" spans="2:14" s="14" customFormat="1" x14ac:dyDescent="0.25">
      <c r="B72" s="185">
        <v>72</v>
      </c>
      <c r="C72" s="21" t="s">
        <v>102</v>
      </c>
      <c r="D72" s="20" t="s">
        <v>153</v>
      </c>
      <c r="E72" s="28">
        <v>42395</v>
      </c>
      <c r="F72" s="6">
        <v>48</v>
      </c>
      <c r="G72" s="7"/>
      <c r="H72" s="19">
        <f t="shared" si="6"/>
        <v>48</v>
      </c>
      <c r="J72" s="1"/>
      <c r="K72" s="1"/>
      <c r="L72" s="1"/>
      <c r="M72" s="1"/>
      <c r="N72" s="1"/>
    </row>
    <row r="73" spans="2:14" s="14" customFormat="1" x14ac:dyDescent="0.25">
      <c r="B73" s="185">
        <v>1179</v>
      </c>
      <c r="C73" s="21" t="s">
        <v>102</v>
      </c>
      <c r="D73" s="20" t="s">
        <v>107</v>
      </c>
      <c r="E73" s="28">
        <v>42396</v>
      </c>
      <c r="F73" s="6">
        <v>2250</v>
      </c>
      <c r="G73" s="7"/>
      <c r="H73" s="19">
        <f t="shared" si="6"/>
        <v>2250</v>
      </c>
      <c r="J73" s="1"/>
      <c r="K73" s="1"/>
      <c r="L73" s="1"/>
      <c r="M73" s="1"/>
      <c r="N73" s="1"/>
    </row>
    <row r="74" spans="2:14" s="14" customFormat="1" x14ac:dyDescent="0.25">
      <c r="B74" s="185">
        <v>1182</v>
      </c>
      <c r="C74" s="21" t="s">
        <v>102</v>
      </c>
      <c r="D74" s="20" t="s">
        <v>143</v>
      </c>
      <c r="E74" s="28">
        <v>42397</v>
      </c>
      <c r="F74" s="125">
        <v>124.19</v>
      </c>
      <c r="G74" s="7"/>
      <c r="H74" s="19">
        <f>F74-G74</f>
        <v>124.19</v>
      </c>
      <c r="J74" s="1"/>
      <c r="K74" s="1"/>
      <c r="L74" s="1"/>
      <c r="M74" s="1"/>
      <c r="N74" s="1"/>
    </row>
    <row r="75" spans="2:14" s="14" customFormat="1" x14ac:dyDescent="0.25">
      <c r="B75" s="185">
        <v>1183</v>
      </c>
      <c r="C75" s="21" t="s">
        <v>102</v>
      </c>
      <c r="D75" s="20" t="s">
        <v>144</v>
      </c>
      <c r="E75" s="28">
        <v>42397</v>
      </c>
      <c r="F75" s="6">
        <v>267.3</v>
      </c>
      <c r="G75" s="7"/>
      <c r="H75" s="19">
        <f>F75-G75</f>
        <v>267.3</v>
      </c>
      <c r="J75" s="1"/>
      <c r="K75" s="1"/>
      <c r="L75" s="1"/>
      <c r="M75" s="1"/>
      <c r="N75" s="1"/>
    </row>
    <row r="76" spans="2:14" s="14" customFormat="1" x14ac:dyDescent="0.25">
      <c r="B76" s="185">
        <v>4498</v>
      </c>
      <c r="C76" s="21" t="s">
        <v>102</v>
      </c>
      <c r="D76" s="20" t="s">
        <v>137</v>
      </c>
      <c r="E76" s="28">
        <v>42397</v>
      </c>
      <c r="F76" s="125">
        <v>399.77</v>
      </c>
      <c r="G76" s="7"/>
      <c r="H76" s="19">
        <f>F76-G76</f>
        <v>399.77</v>
      </c>
      <c r="J76" s="1"/>
      <c r="K76" s="1"/>
      <c r="L76" s="1"/>
      <c r="M76" s="1"/>
      <c r="N76" s="1"/>
    </row>
    <row r="77" spans="2:14" ht="15" thickBot="1" x14ac:dyDescent="0.3">
      <c r="B77" s="185">
        <v>4500</v>
      </c>
      <c r="C77" s="21" t="s">
        <v>102</v>
      </c>
      <c r="D77" s="20" t="s">
        <v>138</v>
      </c>
      <c r="E77" s="28">
        <v>42398</v>
      </c>
      <c r="F77" s="125">
        <v>799.54</v>
      </c>
      <c r="G77" s="7"/>
      <c r="H77" s="19">
        <f>F77-G77</f>
        <v>799.54</v>
      </c>
    </row>
    <row r="78" spans="2:14" ht="15" thickBot="1" x14ac:dyDescent="0.3">
      <c r="B78" s="201"/>
      <c r="C78" s="3"/>
      <c r="D78" s="4"/>
      <c r="E78" s="61"/>
      <c r="F78" s="62">
        <f>SUM(F58:F77)</f>
        <v>24940.300000000003</v>
      </c>
      <c r="G78" s="36">
        <f>SUM(G58:G77)</f>
        <v>367.82</v>
      </c>
      <c r="H78" s="63">
        <f>SUM(H58:H77)</f>
        <v>24572.480000000003</v>
      </c>
    </row>
    <row r="79" spans="2:14" x14ac:dyDescent="0.25">
      <c r="B79" s="204"/>
      <c r="C79" s="3"/>
      <c r="D79" s="65"/>
      <c r="E79" s="38" t="s">
        <v>8</v>
      </c>
      <c r="F79" s="39">
        <f>TOTAL!C10</f>
        <v>9870</v>
      </c>
      <c r="G79" s="40" t="s">
        <v>9</v>
      </c>
      <c r="H79" s="41">
        <f>H78/F79%</f>
        <v>248.96129685916924</v>
      </c>
      <c r="I79" s="58" t="s">
        <v>10</v>
      </c>
      <c r="J79" s="54"/>
    </row>
    <row r="80" spans="2:14" ht="15" thickBot="1" x14ac:dyDescent="0.3">
      <c r="B80" s="202"/>
      <c r="C80" s="43"/>
      <c r="D80" s="44"/>
      <c r="E80" s="45"/>
      <c r="F80" s="67"/>
      <c r="G80" s="47"/>
      <c r="H80" s="48"/>
      <c r="I80" s="14"/>
    </row>
    <row r="81" spans="2:14" ht="18.75" thickTop="1" x14ac:dyDescent="0.25">
      <c r="B81" s="198" t="s">
        <v>49</v>
      </c>
      <c r="C81" s="49"/>
      <c r="D81" s="4"/>
      <c r="E81" s="5"/>
      <c r="F81" s="6"/>
      <c r="G81" s="7"/>
      <c r="H81" s="50"/>
      <c r="I81" s="14"/>
    </row>
    <row r="82" spans="2:14" x14ac:dyDescent="0.25">
      <c r="B82" s="199" t="s">
        <v>1</v>
      </c>
      <c r="C82" s="9" t="s">
        <v>2</v>
      </c>
      <c r="D82" s="10" t="s">
        <v>3</v>
      </c>
      <c r="E82" s="11" t="s">
        <v>4</v>
      </c>
      <c r="F82" s="12" t="s">
        <v>5</v>
      </c>
      <c r="G82" s="7" t="s">
        <v>12</v>
      </c>
      <c r="H82" s="13" t="s">
        <v>7</v>
      </c>
      <c r="I82" s="14"/>
    </row>
    <row r="83" spans="2:14" s="14" customFormat="1" x14ac:dyDescent="0.25">
      <c r="B83" s="195">
        <v>1040</v>
      </c>
      <c r="C83" s="15" t="s">
        <v>86</v>
      </c>
      <c r="D83" s="16" t="s">
        <v>87</v>
      </c>
      <c r="E83" s="17">
        <v>42376</v>
      </c>
      <c r="F83" s="125">
        <v>730</v>
      </c>
      <c r="G83" s="7"/>
      <c r="H83" s="19">
        <f t="shared" ref="H83:H119" si="7">F83-G83</f>
        <v>730</v>
      </c>
      <c r="J83" s="1"/>
      <c r="K83" s="1"/>
      <c r="L83" s="1"/>
      <c r="M83" s="1"/>
      <c r="N83" s="1"/>
    </row>
    <row r="84" spans="2:14" s="14" customFormat="1" x14ac:dyDescent="0.25">
      <c r="B84" s="195">
        <v>1041</v>
      </c>
      <c r="C84" s="15" t="s">
        <v>86</v>
      </c>
      <c r="D84" s="16" t="s">
        <v>88</v>
      </c>
      <c r="E84" s="17">
        <v>42377</v>
      </c>
      <c r="F84" s="51">
        <v>390</v>
      </c>
      <c r="G84" s="7"/>
      <c r="H84" s="19">
        <f t="shared" si="7"/>
        <v>390</v>
      </c>
    </row>
    <row r="85" spans="2:14" s="14" customFormat="1" x14ac:dyDescent="0.25">
      <c r="B85" s="185">
        <v>1042</v>
      </c>
      <c r="C85" s="21" t="s">
        <v>86</v>
      </c>
      <c r="D85" s="20" t="s">
        <v>91</v>
      </c>
      <c r="E85" s="28">
        <v>42381</v>
      </c>
      <c r="F85" s="125">
        <v>690</v>
      </c>
      <c r="G85" s="7"/>
      <c r="H85" s="19">
        <f t="shared" si="7"/>
        <v>690</v>
      </c>
    </row>
    <row r="86" spans="2:14" s="14" customFormat="1" x14ac:dyDescent="0.25">
      <c r="B86" s="185">
        <v>1043</v>
      </c>
      <c r="C86" s="21" t="s">
        <v>86</v>
      </c>
      <c r="D86" s="20" t="s">
        <v>92</v>
      </c>
      <c r="E86" s="28">
        <v>42381</v>
      </c>
      <c r="F86" s="125">
        <v>1380</v>
      </c>
      <c r="G86" s="7"/>
      <c r="H86" s="19">
        <f t="shared" si="7"/>
        <v>1380</v>
      </c>
      <c r="I86" s="1"/>
    </row>
    <row r="87" spans="2:14" s="14" customFormat="1" x14ac:dyDescent="0.25">
      <c r="B87" s="185">
        <v>1044</v>
      </c>
      <c r="C87" s="21" t="s">
        <v>84</v>
      </c>
      <c r="D87" s="20" t="s">
        <v>93</v>
      </c>
      <c r="E87" s="28">
        <v>42382</v>
      </c>
      <c r="F87" s="125">
        <v>290</v>
      </c>
      <c r="G87" s="7"/>
      <c r="H87" s="19">
        <f t="shared" si="7"/>
        <v>290</v>
      </c>
      <c r="I87" s="1"/>
    </row>
    <row r="88" spans="2:14" s="14" customFormat="1" x14ac:dyDescent="0.25">
      <c r="B88" s="185">
        <v>1045</v>
      </c>
      <c r="C88" s="21" t="s">
        <v>86</v>
      </c>
      <c r="D88" s="20" t="s">
        <v>94</v>
      </c>
      <c r="E88" s="28">
        <v>42382</v>
      </c>
      <c r="F88" s="125">
        <v>550</v>
      </c>
      <c r="G88" s="7"/>
      <c r="H88" s="19">
        <f t="shared" si="7"/>
        <v>550</v>
      </c>
      <c r="I88" s="1"/>
    </row>
    <row r="89" spans="2:14" x14ac:dyDescent="0.25">
      <c r="B89" s="185">
        <v>1046</v>
      </c>
      <c r="C89" s="21" t="s">
        <v>95</v>
      </c>
      <c r="D89" s="20" t="s">
        <v>96</v>
      </c>
      <c r="E89" s="28">
        <v>42382</v>
      </c>
      <c r="F89" s="125">
        <v>2190</v>
      </c>
      <c r="G89" s="7"/>
      <c r="H89" s="19">
        <f t="shared" si="7"/>
        <v>2190</v>
      </c>
      <c r="J89" s="14"/>
      <c r="K89" s="14"/>
      <c r="L89" s="14"/>
      <c r="M89" s="14"/>
      <c r="N89" s="14"/>
    </row>
    <row r="90" spans="2:14" x14ac:dyDescent="0.25">
      <c r="B90" s="185">
        <v>1047</v>
      </c>
      <c r="C90" s="21" t="s">
        <v>86</v>
      </c>
      <c r="D90" s="20" t="s">
        <v>97</v>
      </c>
      <c r="E90" s="28">
        <v>42382</v>
      </c>
      <c r="F90" s="125">
        <v>430</v>
      </c>
      <c r="G90" s="7"/>
      <c r="H90" s="19">
        <f t="shared" si="7"/>
        <v>430</v>
      </c>
      <c r="J90" s="14"/>
      <c r="K90" s="14"/>
      <c r="L90" s="14"/>
      <c r="M90" s="14"/>
      <c r="N90" s="14"/>
    </row>
    <row r="91" spans="2:14" x14ac:dyDescent="0.25">
      <c r="B91" s="185">
        <v>1048</v>
      </c>
      <c r="C91" s="21" t="s">
        <v>86</v>
      </c>
      <c r="D91" s="20" t="s">
        <v>98</v>
      </c>
      <c r="E91" s="28">
        <v>42382</v>
      </c>
      <c r="F91" s="125">
        <v>430</v>
      </c>
      <c r="G91" s="7"/>
      <c r="H91" s="19">
        <f t="shared" si="7"/>
        <v>430</v>
      </c>
      <c r="J91" s="14"/>
      <c r="K91" s="14"/>
      <c r="L91" s="14"/>
      <c r="M91" s="14"/>
      <c r="N91" s="14"/>
    </row>
    <row r="92" spans="2:14" x14ac:dyDescent="0.25">
      <c r="B92" s="195" t="s">
        <v>83</v>
      </c>
      <c r="C92" s="15" t="s">
        <v>84</v>
      </c>
      <c r="D92" s="16" t="s">
        <v>85</v>
      </c>
      <c r="E92" s="17">
        <v>42382</v>
      </c>
      <c r="F92" s="51">
        <v>290</v>
      </c>
      <c r="G92" s="7"/>
      <c r="H92" s="19">
        <f t="shared" si="7"/>
        <v>290</v>
      </c>
      <c r="J92" s="14"/>
      <c r="K92" s="14"/>
      <c r="L92" s="14"/>
      <c r="M92" s="14"/>
      <c r="N92" s="14"/>
    </row>
    <row r="93" spans="2:14" x14ac:dyDescent="0.25">
      <c r="B93" s="185" t="s">
        <v>83</v>
      </c>
      <c r="C93" s="21" t="s">
        <v>84</v>
      </c>
      <c r="D93" s="20" t="s">
        <v>89</v>
      </c>
      <c r="E93" s="28">
        <v>42382</v>
      </c>
      <c r="F93" s="125">
        <v>290</v>
      </c>
      <c r="G93" s="7"/>
      <c r="H93" s="19">
        <f t="shared" si="7"/>
        <v>290</v>
      </c>
      <c r="J93" s="14"/>
      <c r="K93" s="14"/>
      <c r="L93" s="14"/>
      <c r="M93" s="14"/>
      <c r="N93" s="14"/>
    </row>
    <row r="94" spans="2:14" x14ac:dyDescent="0.25">
      <c r="B94" s="185" t="s">
        <v>83</v>
      </c>
      <c r="C94" s="21" t="s">
        <v>84</v>
      </c>
      <c r="D94" s="20" t="s">
        <v>90</v>
      </c>
      <c r="E94" s="28">
        <v>42382</v>
      </c>
      <c r="F94" s="125">
        <v>290</v>
      </c>
      <c r="G94" s="7"/>
      <c r="H94" s="19">
        <f t="shared" si="7"/>
        <v>290</v>
      </c>
      <c r="J94" s="14"/>
      <c r="K94" s="14"/>
      <c r="L94" s="14"/>
      <c r="M94" s="14"/>
      <c r="N94" s="14"/>
    </row>
    <row r="95" spans="2:14" x14ac:dyDescent="0.25">
      <c r="B95" s="185">
        <v>1049</v>
      </c>
      <c r="C95" s="21" t="s">
        <v>86</v>
      </c>
      <c r="D95" s="20" t="s">
        <v>99</v>
      </c>
      <c r="E95" s="28">
        <v>42383</v>
      </c>
      <c r="F95" s="6">
        <v>340</v>
      </c>
      <c r="G95" s="7"/>
      <c r="H95" s="19">
        <f t="shared" si="7"/>
        <v>340</v>
      </c>
      <c r="J95" s="14"/>
      <c r="K95" s="14"/>
      <c r="L95" s="14"/>
      <c r="M95" s="14"/>
      <c r="N95" s="14"/>
    </row>
    <row r="96" spans="2:14" x14ac:dyDescent="0.25">
      <c r="B96" s="185">
        <v>1050</v>
      </c>
      <c r="C96" s="21" t="s">
        <v>95</v>
      </c>
      <c r="D96" s="20" t="s">
        <v>100</v>
      </c>
      <c r="E96" s="28">
        <v>42383</v>
      </c>
      <c r="F96" s="125">
        <v>730</v>
      </c>
      <c r="G96" s="7"/>
      <c r="H96" s="19">
        <f t="shared" si="7"/>
        <v>730</v>
      </c>
    </row>
    <row r="97" spans="2:8" x14ac:dyDescent="0.25">
      <c r="B97" s="185">
        <v>1051</v>
      </c>
      <c r="C97" s="21" t="s">
        <v>86</v>
      </c>
      <c r="D97" s="20" t="s">
        <v>101</v>
      </c>
      <c r="E97" s="28">
        <v>42384</v>
      </c>
      <c r="F97" s="125">
        <v>550</v>
      </c>
      <c r="G97" s="7"/>
      <c r="H97" s="19">
        <f t="shared" si="7"/>
        <v>550</v>
      </c>
    </row>
    <row r="98" spans="2:8" x14ac:dyDescent="0.25">
      <c r="B98" s="185">
        <v>1052</v>
      </c>
      <c r="C98" s="21" t="s">
        <v>86</v>
      </c>
      <c r="D98" s="20" t="s">
        <v>104</v>
      </c>
      <c r="E98" s="28">
        <v>42384</v>
      </c>
      <c r="F98" s="125">
        <v>430</v>
      </c>
      <c r="G98" s="7"/>
      <c r="H98" s="19">
        <f t="shared" si="7"/>
        <v>430</v>
      </c>
    </row>
    <row r="99" spans="2:8" x14ac:dyDescent="0.25">
      <c r="B99" s="185">
        <v>1053</v>
      </c>
      <c r="C99" s="21" t="s">
        <v>86</v>
      </c>
      <c r="D99" s="20" t="s">
        <v>104</v>
      </c>
      <c r="E99" s="28">
        <v>42384</v>
      </c>
      <c r="F99" s="125">
        <v>430</v>
      </c>
      <c r="G99" s="7"/>
      <c r="H99" s="19">
        <f t="shared" si="7"/>
        <v>430</v>
      </c>
    </row>
    <row r="100" spans="2:8" x14ac:dyDescent="0.25">
      <c r="B100" s="185">
        <v>1054</v>
      </c>
      <c r="C100" s="21" t="s">
        <v>86</v>
      </c>
      <c r="D100" s="20" t="s">
        <v>104</v>
      </c>
      <c r="E100" s="28">
        <v>42384</v>
      </c>
      <c r="F100" s="125">
        <v>430</v>
      </c>
      <c r="G100" s="7"/>
      <c r="H100" s="19">
        <f t="shared" si="7"/>
        <v>430</v>
      </c>
    </row>
    <row r="101" spans="2:8" x14ac:dyDescent="0.25">
      <c r="B101" s="185">
        <v>1055</v>
      </c>
      <c r="C101" s="21" t="s">
        <v>86</v>
      </c>
      <c r="D101" s="20" t="s">
        <v>104</v>
      </c>
      <c r="E101" s="28">
        <v>42384</v>
      </c>
      <c r="F101" s="125">
        <v>430</v>
      </c>
      <c r="G101" s="7"/>
      <c r="H101" s="19">
        <f t="shared" si="7"/>
        <v>430</v>
      </c>
    </row>
    <row r="102" spans="2:8" x14ac:dyDescent="0.25">
      <c r="B102" s="185" t="s">
        <v>83</v>
      </c>
      <c r="C102" s="21" t="s">
        <v>84</v>
      </c>
      <c r="D102" s="20" t="s">
        <v>112</v>
      </c>
      <c r="E102" s="28">
        <v>42384</v>
      </c>
      <c r="F102" s="125">
        <v>290</v>
      </c>
      <c r="G102" s="7"/>
      <c r="H102" s="19">
        <f t="shared" si="7"/>
        <v>290</v>
      </c>
    </row>
    <row r="103" spans="2:8" x14ac:dyDescent="0.25">
      <c r="B103" s="185">
        <v>1056</v>
      </c>
      <c r="C103" s="21" t="s">
        <v>86</v>
      </c>
      <c r="D103" s="20" t="s">
        <v>113</v>
      </c>
      <c r="E103" s="28">
        <v>42387</v>
      </c>
      <c r="F103" s="125">
        <v>900</v>
      </c>
      <c r="G103" s="7"/>
      <c r="H103" s="19">
        <f t="shared" si="7"/>
        <v>900</v>
      </c>
    </row>
    <row r="104" spans="2:8" x14ac:dyDescent="0.25">
      <c r="B104" s="185">
        <v>1058</v>
      </c>
      <c r="C104" s="21" t="s">
        <v>86</v>
      </c>
      <c r="D104" s="20" t="s">
        <v>114</v>
      </c>
      <c r="E104" s="28">
        <v>42387</v>
      </c>
      <c r="F104" s="125">
        <v>4796</v>
      </c>
      <c r="G104" s="7"/>
      <c r="H104" s="19">
        <f t="shared" si="7"/>
        <v>4796</v>
      </c>
    </row>
    <row r="105" spans="2:8" x14ac:dyDescent="0.25">
      <c r="B105" s="185" t="s">
        <v>83</v>
      </c>
      <c r="C105" s="21" t="s">
        <v>86</v>
      </c>
      <c r="D105" s="20" t="s">
        <v>111</v>
      </c>
      <c r="E105" s="28">
        <v>42387</v>
      </c>
      <c r="F105" s="125">
        <v>550</v>
      </c>
      <c r="G105" s="7"/>
      <c r="H105" s="19">
        <f t="shared" si="7"/>
        <v>550</v>
      </c>
    </row>
    <row r="106" spans="2:8" x14ac:dyDescent="0.25">
      <c r="B106" s="185" t="s">
        <v>83</v>
      </c>
      <c r="C106" s="21" t="s">
        <v>84</v>
      </c>
      <c r="D106" s="20" t="s">
        <v>96</v>
      </c>
      <c r="E106" s="28">
        <v>42387</v>
      </c>
      <c r="F106" s="125">
        <v>290</v>
      </c>
      <c r="G106" s="7"/>
      <c r="H106" s="19">
        <f t="shared" si="7"/>
        <v>290</v>
      </c>
    </row>
    <row r="107" spans="2:8" x14ac:dyDescent="0.25">
      <c r="B107" s="185">
        <v>1060</v>
      </c>
      <c r="C107" s="21" t="s">
        <v>86</v>
      </c>
      <c r="D107" s="20" t="s">
        <v>115</v>
      </c>
      <c r="E107" s="28">
        <v>42394</v>
      </c>
      <c r="F107" s="125">
        <v>550</v>
      </c>
      <c r="G107" s="7"/>
      <c r="H107" s="19">
        <f t="shared" si="7"/>
        <v>550</v>
      </c>
    </row>
    <row r="108" spans="2:8" x14ac:dyDescent="0.25">
      <c r="B108" s="185">
        <v>1061</v>
      </c>
      <c r="C108" s="21" t="s">
        <v>86</v>
      </c>
      <c r="D108" s="20" t="s">
        <v>116</v>
      </c>
      <c r="E108" s="28">
        <v>42394</v>
      </c>
      <c r="F108" s="125">
        <v>550</v>
      </c>
      <c r="G108" s="7"/>
      <c r="H108" s="19">
        <f t="shared" si="7"/>
        <v>550</v>
      </c>
    </row>
    <row r="109" spans="2:8" x14ac:dyDescent="0.25">
      <c r="B109" s="185">
        <v>1062</v>
      </c>
      <c r="C109" s="21" t="s">
        <v>86</v>
      </c>
      <c r="D109" s="20" t="s">
        <v>117</v>
      </c>
      <c r="E109" s="28">
        <v>42394</v>
      </c>
      <c r="F109" s="125">
        <v>1290</v>
      </c>
      <c r="G109" s="7"/>
      <c r="H109" s="19">
        <f t="shared" si="7"/>
        <v>1290</v>
      </c>
    </row>
    <row r="110" spans="2:8" x14ac:dyDescent="0.25">
      <c r="B110" s="185">
        <v>1063</v>
      </c>
      <c r="C110" s="21" t="s">
        <v>86</v>
      </c>
      <c r="D110" s="20" t="s">
        <v>118</v>
      </c>
      <c r="E110" s="28">
        <v>42394</v>
      </c>
      <c r="F110" s="125">
        <v>290</v>
      </c>
      <c r="G110" s="7"/>
      <c r="H110" s="19">
        <f t="shared" si="7"/>
        <v>290</v>
      </c>
    </row>
    <row r="111" spans="2:8" x14ac:dyDescent="0.25">
      <c r="B111" s="185">
        <v>1064</v>
      </c>
      <c r="C111" s="21" t="s">
        <v>86</v>
      </c>
      <c r="D111" s="20" t="s">
        <v>119</v>
      </c>
      <c r="E111" s="28">
        <v>42394</v>
      </c>
      <c r="F111" s="125">
        <v>463</v>
      </c>
      <c r="G111" s="7"/>
      <c r="H111" s="19">
        <f t="shared" si="7"/>
        <v>463</v>
      </c>
    </row>
    <row r="112" spans="2:8" x14ac:dyDescent="0.25">
      <c r="B112" s="185">
        <v>1065</v>
      </c>
      <c r="C112" s="21" t="s">
        <v>86</v>
      </c>
      <c r="D112" s="20" t="s">
        <v>120</v>
      </c>
      <c r="E112" s="28">
        <v>42394</v>
      </c>
      <c r="F112" s="125">
        <v>290</v>
      </c>
      <c r="G112" s="7"/>
      <c r="H112" s="19">
        <f t="shared" si="7"/>
        <v>290</v>
      </c>
    </row>
    <row r="113" spans="2:10" ht="13.5" customHeight="1" x14ac:dyDescent="0.25">
      <c r="B113" s="185">
        <v>1066</v>
      </c>
      <c r="C113" s="21" t="s">
        <v>86</v>
      </c>
      <c r="D113" s="20" t="s">
        <v>121</v>
      </c>
      <c r="E113" s="28">
        <v>42394</v>
      </c>
      <c r="F113" s="125">
        <v>280</v>
      </c>
      <c r="G113" s="7"/>
      <c r="H113" s="19">
        <f t="shared" si="7"/>
        <v>280</v>
      </c>
    </row>
    <row r="114" spans="2:10" x14ac:dyDescent="0.25">
      <c r="B114" s="185">
        <v>72</v>
      </c>
      <c r="C114" s="21" t="s">
        <v>86</v>
      </c>
      <c r="D114" s="20" t="s">
        <v>153</v>
      </c>
      <c r="E114" s="28">
        <v>42395</v>
      </c>
      <c r="F114" s="6">
        <v>1290</v>
      </c>
      <c r="G114" s="7"/>
      <c r="H114" s="19">
        <f t="shared" si="7"/>
        <v>1290</v>
      </c>
    </row>
    <row r="115" spans="2:10" x14ac:dyDescent="0.25">
      <c r="B115" s="185">
        <v>1067</v>
      </c>
      <c r="C115" s="21" t="s">
        <v>86</v>
      </c>
      <c r="D115" s="20" t="s">
        <v>146</v>
      </c>
      <c r="E115" s="28">
        <v>42395</v>
      </c>
      <c r="F115" s="6">
        <v>750</v>
      </c>
      <c r="G115" s="7"/>
      <c r="H115" s="19">
        <f t="shared" si="7"/>
        <v>750</v>
      </c>
    </row>
    <row r="116" spans="2:10" x14ac:dyDescent="0.25">
      <c r="B116" s="185">
        <v>1068</v>
      </c>
      <c r="C116" s="21" t="s">
        <v>86</v>
      </c>
      <c r="D116" s="20" t="s">
        <v>147</v>
      </c>
      <c r="E116" s="28">
        <v>42395</v>
      </c>
      <c r="F116" s="6">
        <v>430</v>
      </c>
      <c r="G116" s="7"/>
      <c r="H116" s="19">
        <f t="shared" si="7"/>
        <v>430</v>
      </c>
    </row>
    <row r="117" spans="2:10" x14ac:dyDescent="0.25">
      <c r="B117" s="185" t="s">
        <v>83</v>
      </c>
      <c r="C117" s="21" t="s">
        <v>84</v>
      </c>
      <c r="D117" s="20" t="s">
        <v>135</v>
      </c>
      <c r="E117" s="28">
        <v>42396</v>
      </c>
      <c r="F117" s="6">
        <v>440</v>
      </c>
      <c r="G117" s="7"/>
      <c r="H117" s="19">
        <f t="shared" si="7"/>
        <v>440</v>
      </c>
    </row>
    <row r="118" spans="2:10" x14ac:dyDescent="0.25">
      <c r="B118" s="185">
        <v>1069</v>
      </c>
      <c r="C118" s="21" t="s">
        <v>86</v>
      </c>
      <c r="D118" s="20" t="s">
        <v>148</v>
      </c>
      <c r="E118" s="28">
        <v>42397</v>
      </c>
      <c r="F118" s="6">
        <v>430</v>
      </c>
      <c r="G118" s="7"/>
      <c r="H118" s="19">
        <f t="shared" si="7"/>
        <v>430</v>
      </c>
    </row>
    <row r="119" spans="2:10" ht="15" thickBot="1" x14ac:dyDescent="0.3">
      <c r="B119" s="185">
        <v>1070</v>
      </c>
      <c r="C119" s="21" t="s">
        <v>86</v>
      </c>
      <c r="D119" s="20" t="s">
        <v>147</v>
      </c>
      <c r="E119" s="28">
        <v>42398</v>
      </c>
      <c r="F119" s="6">
        <v>430</v>
      </c>
      <c r="G119" s="7"/>
      <c r="H119" s="19">
        <f t="shared" si="7"/>
        <v>430</v>
      </c>
    </row>
    <row r="120" spans="2:10" ht="15" thickBot="1" x14ac:dyDescent="0.3">
      <c r="E120" s="70"/>
      <c r="F120" s="62">
        <f>SUM(F83:F119)</f>
        <v>25599</v>
      </c>
      <c r="G120" s="36"/>
      <c r="H120" s="63">
        <f>SUM(H83:H119)</f>
        <v>25599</v>
      </c>
    </row>
    <row r="121" spans="2:10" x14ac:dyDescent="0.25">
      <c r="E121" s="38" t="s">
        <v>8</v>
      </c>
      <c r="F121" s="39">
        <f>TOTAL!C11</f>
        <v>18600</v>
      </c>
      <c r="G121" s="40" t="s">
        <v>16</v>
      </c>
      <c r="H121" s="71">
        <f>H120/F121%</f>
        <v>137.62903225806451</v>
      </c>
      <c r="I121" s="58" t="s">
        <v>10</v>
      </c>
      <c r="J121" s="54"/>
    </row>
    <row r="122" spans="2:10" ht="15" thickBot="1" x14ac:dyDescent="0.3">
      <c r="B122" s="206"/>
      <c r="C122" s="79"/>
      <c r="D122" s="80"/>
      <c r="E122" s="81"/>
      <c r="F122" s="82"/>
      <c r="G122" s="7"/>
      <c r="H122" s="74"/>
      <c r="I122" s="58"/>
      <c r="J122" s="54"/>
    </row>
    <row r="123" spans="2:10" ht="18.75" thickTop="1" x14ac:dyDescent="0.25">
      <c r="B123" s="207" t="s">
        <v>150</v>
      </c>
      <c r="C123" s="76"/>
      <c r="D123" s="83"/>
      <c r="E123" s="77"/>
      <c r="F123" s="84"/>
      <c r="G123" s="78"/>
      <c r="H123" s="50"/>
      <c r="I123" s="58"/>
      <c r="J123" s="54"/>
    </row>
    <row r="124" spans="2:10" x14ac:dyDescent="0.25">
      <c r="B124" s="199" t="s">
        <v>1</v>
      </c>
      <c r="C124" s="9" t="s">
        <v>2</v>
      </c>
      <c r="D124" s="10" t="s">
        <v>3</v>
      </c>
      <c r="E124" s="220" t="s">
        <v>4</v>
      </c>
      <c r="F124" s="12" t="s">
        <v>5</v>
      </c>
      <c r="G124" s="7" t="s">
        <v>12</v>
      </c>
      <c r="H124" s="13" t="s">
        <v>7</v>
      </c>
      <c r="I124" s="58"/>
      <c r="J124" s="54"/>
    </row>
    <row r="125" spans="2:10" x14ac:dyDescent="0.25">
      <c r="B125" s="182">
        <v>1057</v>
      </c>
      <c r="C125" s="29" t="s">
        <v>151</v>
      </c>
      <c r="D125" s="30" t="s">
        <v>152</v>
      </c>
      <c r="E125" s="31">
        <v>42387</v>
      </c>
      <c r="F125" s="6">
        <v>7414.54</v>
      </c>
      <c r="G125" s="7"/>
      <c r="H125" s="19">
        <f t="shared" ref="H125:H128" si="8">F125-G125</f>
        <v>7414.54</v>
      </c>
      <c r="I125" s="58"/>
      <c r="J125" s="54"/>
    </row>
    <row r="126" spans="2:10" x14ac:dyDescent="0.25">
      <c r="B126" s="182"/>
      <c r="C126" s="29"/>
      <c r="D126" s="30"/>
      <c r="E126" s="31"/>
      <c r="F126" s="6"/>
      <c r="G126" s="7"/>
      <c r="H126" s="19">
        <f t="shared" si="8"/>
        <v>0</v>
      </c>
      <c r="I126" s="58"/>
      <c r="J126" s="54"/>
    </row>
    <row r="127" spans="2:10" x14ac:dyDescent="0.25">
      <c r="B127" s="182"/>
      <c r="C127" s="29"/>
      <c r="D127" s="30"/>
      <c r="E127" s="31"/>
      <c r="F127" s="6"/>
      <c r="G127" s="7"/>
      <c r="H127" s="19">
        <f t="shared" si="8"/>
        <v>0</v>
      </c>
      <c r="I127" s="58"/>
      <c r="J127" s="54"/>
    </row>
    <row r="128" spans="2:10" ht="15" thickBot="1" x14ac:dyDescent="0.3">
      <c r="B128" s="182"/>
      <c r="C128" s="29"/>
      <c r="D128" s="30"/>
      <c r="E128" s="31"/>
      <c r="F128" s="6"/>
      <c r="G128" s="7"/>
      <c r="H128" s="19">
        <f t="shared" si="8"/>
        <v>0</v>
      </c>
      <c r="I128" s="58"/>
      <c r="J128" s="54"/>
    </row>
    <row r="129" spans="2:14" ht="15" thickBot="1" x14ac:dyDescent="0.3">
      <c r="B129" s="182"/>
      <c r="C129" s="29"/>
      <c r="D129" s="30"/>
      <c r="E129" s="31"/>
      <c r="F129" s="35"/>
      <c r="G129" s="36"/>
      <c r="H129" s="37">
        <f>SUM(H125:H128)</f>
        <v>7414.54</v>
      </c>
      <c r="I129" s="58"/>
      <c r="J129" s="54"/>
    </row>
    <row r="130" spans="2:14" x14ac:dyDescent="0.25">
      <c r="E130" s="38"/>
      <c r="F130" s="39"/>
      <c r="G130" s="40"/>
      <c r="H130" s="71"/>
      <c r="I130" s="58"/>
      <c r="J130" s="54"/>
    </row>
    <row r="131" spans="2:14" ht="15" thickBot="1" x14ac:dyDescent="0.3">
      <c r="B131" s="206"/>
      <c r="C131" s="79"/>
      <c r="D131" s="80"/>
      <c r="E131" s="81"/>
      <c r="F131" s="82"/>
      <c r="G131" s="7"/>
      <c r="H131" s="74"/>
    </row>
    <row r="132" spans="2:14" ht="18.75" thickTop="1" x14ac:dyDescent="0.25">
      <c r="B132" s="207" t="s">
        <v>44</v>
      </c>
      <c r="C132" s="76"/>
      <c r="D132" s="83"/>
      <c r="E132" s="77"/>
      <c r="F132" s="84"/>
      <c r="G132" s="78"/>
      <c r="H132" s="50"/>
    </row>
    <row r="133" spans="2:14" x14ac:dyDescent="0.25">
      <c r="B133" s="199" t="s">
        <v>1</v>
      </c>
      <c r="C133" s="9" t="s">
        <v>2</v>
      </c>
      <c r="D133" s="10" t="s">
        <v>3</v>
      </c>
      <c r="E133" s="11" t="s">
        <v>4</v>
      </c>
      <c r="F133" s="12" t="s">
        <v>5</v>
      </c>
      <c r="G133" s="7" t="s">
        <v>12</v>
      </c>
      <c r="H133" s="13" t="s">
        <v>7</v>
      </c>
    </row>
    <row r="134" spans="2:14" s="14" customFormat="1" x14ac:dyDescent="0.25">
      <c r="B134" s="185">
        <v>1140</v>
      </c>
      <c r="C134" s="21" t="s">
        <v>102</v>
      </c>
      <c r="D134" s="20" t="s">
        <v>154</v>
      </c>
      <c r="E134" s="28">
        <v>42376</v>
      </c>
      <c r="F134" s="6">
        <v>180</v>
      </c>
      <c r="G134" s="7"/>
      <c r="H134" s="19">
        <f t="shared" ref="H134:H142" si="9">F134-G134</f>
        <v>180</v>
      </c>
      <c r="I134" s="1"/>
      <c r="J134" s="1"/>
      <c r="K134" s="1"/>
      <c r="L134" s="1"/>
      <c r="M134" s="1"/>
      <c r="N134" s="1"/>
    </row>
    <row r="135" spans="2:14" s="14" customFormat="1" x14ac:dyDescent="0.25">
      <c r="B135" s="185">
        <v>1142</v>
      </c>
      <c r="C135" s="21" t="s">
        <v>102</v>
      </c>
      <c r="D135" s="20" t="s">
        <v>156</v>
      </c>
      <c r="E135" s="28">
        <v>42377</v>
      </c>
      <c r="F135" s="6">
        <v>135</v>
      </c>
      <c r="G135" s="7"/>
      <c r="H135" s="19">
        <f t="shared" si="9"/>
        <v>135</v>
      </c>
      <c r="I135" s="1"/>
      <c r="J135" s="68"/>
    </row>
    <row r="136" spans="2:14" s="14" customFormat="1" x14ac:dyDescent="0.25">
      <c r="B136" s="185">
        <v>1152</v>
      </c>
      <c r="C136" s="21" t="s">
        <v>102</v>
      </c>
      <c r="D136" s="20" t="s">
        <v>123</v>
      </c>
      <c r="E136" s="28">
        <v>42388</v>
      </c>
      <c r="F136" s="6">
        <v>434</v>
      </c>
      <c r="G136" s="7">
        <v>34</v>
      </c>
      <c r="H136" s="19">
        <f t="shared" ref="H136:H141" si="10">F136-G136</f>
        <v>400</v>
      </c>
      <c r="I136" s="1"/>
    </row>
    <row r="137" spans="2:14" s="14" customFormat="1" x14ac:dyDescent="0.25">
      <c r="B137" s="185">
        <v>1153</v>
      </c>
      <c r="C137" s="21" t="s">
        <v>102</v>
      </c>
      <c r="D137" s="20" t="s">
        <v>124</v>
      </c>
      <c r="E137" s="28">
        <v>42388</v>
      </c>
      <c r="F137" s="6">
        <v>822</v>
      </c>
      <c r="G137" s="7">
        <v>22</v>
      </c>
      <c r="H137" s="19">
        <f t="shared" si="10"/>
        <v>800</v>
      </c>
      <c r="I137" s="1"/>
    </row>
    <row r="138" spans="2:14" s="14" customFormat="1" x14ac:dyDescent="0.25">
      <c r="B138" s="185">
        <v>1157</v>
      </c>
      <c r="C138" s="21" t="s">
        <v>102</v>
      </c>
      <c r="D138" s="20" t="s">
        <v>126</v>
      </c>
      <c r="E138" s="28">
        <v>42389</v>
      </c>
      <c r="F138" s="6">
        <v>829</v>
      </c>
      <c r="G138" s="7">
        <v>29</v>
      </c>
      <c r="H138" s="19">
        <f t="shared" si="10"/>
        <v>800</v>
      </c>
      <c r="I138" s="1"/>
    </row>
    <row r="139" spans="2:14" s="14" customFormat="1" x14ac:dyDescent="0.25">
      <c r="B139" s="185">
        <v>1160</v>
      </c>
      <c r="C139" s="21" t="s">
        <v>102</v>
      </c>
      <c r="D139" s="20" t="s">
        <v>157</v>
      </c>
      <c r="E139" s="28">
        <v>42391</v>
      </c>
      <c r="F139" s="6">
        <v>430</v>
      </c>
      <c r="G139" s="7">
        <v>30</v>
      </c>
      <c r="H139" s="19">
        <f t="shared" si="10"/>
        <v>400</v>
      </c>
      <c r="I139" s="1"/>
    </row>
    <row r="140" spans="2:14" s="14" customFormat="1" x14ac:dyDescent="0.25">
      <c r="B140" s="185">
        <v>1161</v>
      </c>
      <c r="C140" s="21" t="s">
        <v>102</v>
      </c>
      <c r="D140" s="20" t="s">
        <v>128</v>
      </c>
      <c r="E140" s="28">
        <v>42391</v>
      </c>
      <c r="F140" s="6">
        <v>425</v>
      </c>
      <c r="G140" s="7">
        <v>25</v>
      </c>
      <c r="H140" s="19">
        <f t="shared" si="10"/>
        <v>400</v>
      </c>
      <c r="I140" s="1"/>
    </row>
    <row r="141" spans="2:14" s="14" customFormat="1" x14ac:dyDescent="0.25">
      <c r="B141" s="185">
        <v>1184</v>
      </c>
      <c r="C141" s="21" t="s">
        <v>102</v>
      </c>
      <c r="D141" s="20" t="s">
        <v>145</v>
      </c>
      <c r="E141" s="28">
        <v>42397</v>
      </c>
      <c r="F141" s="6">
        <v>475</v>
      </c>
      <c r="G141" s="7"/>
      <c r="H141" s="19">
        <f t="shared" si="10"/>
        <v>475</v>
      </c>
      <c r="I141" s="1"/>
    </row>
    <row r="142" spans="2:14" ht="15" thickBot="1" x14ac:dyDescent="0.3">
      <c r="B142" s="185"/>
      <c r="C142" s="21"/>
      <c r="D142" s="20"/>
      <c r="E142" s="28"/>
      <c r="F142" s="18"/>
      <c r="G142" s="7"/>
      <c r="H142" s="19">
        <f t="shared" si="9"/>
        <v>0</v>
      </c>
      <c r="I142" s="101">
        <f>SUM(H136,H120,H83,H58,H38,H29,H20)</f>
        <v>32609.52</v>
      </c>
      <c r="J142" s="54"/>
    </row>
    <row r="143" spans="2:14" ht="15" thickBot="1" x14ac:dyDescent="0.3">
      <c r="B143" s="208"/>
      <c r="C143" s="85"/>
      <c r="D143" s="14"/>
      <c r="E143" s="86"/>
      <c r="F143" s="62">
        <f>SUM(F134:F142)</f>
        <v>3730</v>
      </c>
      <c r="G143" s="36">
        <f>SUM(G134:G142)</f>
        <v>140</v>
      </c>
      <c r="H143" s="63">
        <f>SUM(H134:H142)</f>
        <v>3590</v>
      </c>
      <c r="I143" s="14"/>
      <c r="J143" s="54"/>
    </row>
    <row r="144" spans="2:14" x14ac:dyDescent="0.25">
      <c r="E144" s="38" t="s">
        <v>8</v>
      </c>
      <c r="F144" s="39">
        <f>TOTAL!C12</f>
        <v>660</v>
      </c>
      <c r="G144" s="40" t="s">
        <v>16</v>
      </c>
      <c r="H144" s="71">
        <f>H143/F144%</f>
        <v>543.93939393939399</v>
      </c>
      <c r="I144" s="58" t="s">
        <v>10</v>
      </c>
      <c r="J144" s="54"/>
    </row>
    <row r="145" spans="1:14" ht="15" thickBot="1" x14ac:dyDescent="0.3">
      <c r="B145" s="201"/>
      <c r="C145" s="3"/>
      <c r="D145" s="87"/>
      <c r="E145" s="88"/>
      <c r="F145" s="89"/>
      <c r="G145" s="90"/>
      <c r="H145" s="8"/>
      <c r="I145" s="14"/>
      <c r="J145" s="54"/>
    </row>
    <row r="146" spans="1:14" ht="15" thickBot="1" x14ac:dyDescent="0.3">
      <c r="D146" s="285" t="s">
        <v>163</v>
      </c>
      <c r="E146" s="285"/>
      <c r="F146" s="285"/>
      <c r="G146" s="285"/>
      <c r="H146" s="92">
        <f>SUM(SUM(H3:H4)+SUM(H38)+SUM(H58:H59)+SUM(H83:H84)+SUM(H134:H135))</f>
        <v>17861.830000000002</v>
      </c>
      <c r="I146" s="14"/>
      <c r="J146" s="54"/>
    </row>
    <row r="147" spans="1:14" ht="15" thickBot="1" x14ac:dyDescent="0.3">
      <c r="D147" s="286" t="s">
        <v>164</v>
      </c>
      <c r="E147" s="286"/>
      <c r="F147" s="286"/>
      <c r="G147" s="286"/>
      <c r="H147" s="93">
        <f>SUM(SUM(H5)+SUM(H39:H42)+SUM(H60:H67)+SUM(H85:H102))</f>
        <v>37958.01</v>
      </c>
      <c r="I147" s="14"/>
      <c r="J147" s="54"/>
    </row>
    <row r="148" spans="1:14" ht="15" thickBot="1" x14ac:dyDescent="0.3">
      <c r="D148" s="287" t="s">
        <v>165</v>
      </c>
      <c r="E148" s="287"/>
      <c r="F148" s="287"/>
      <c r="G148" s="287"/>
      <c r="H148" s="94">
        <f>SUM(SUM(H6:H8)+SUM(H29:H30)+SUM(H43)+SUM(H68:H71)+SUM(H103:H106)+SUM(H125)+SUM(H136:H140))</f>
        <v>107221.56</v>
      </c>
      <c r="I148" s="14"/>
      <c r="J148" s="54"/>
    </row>
    <row r="149" spans="1:14" ht="15" thickBot="1" x14ac:dyDescent="0.3">
      <c r="D149" s="283" t="s">
        <v>166</v>
      </c>
      <c r="E149" s="283"/>
      <c r="F149" s="283"/>
      <c r="G149" s="283"/>
      <c r="H149" s="95">
        <f>SUM(SUM(H9:H13)+SUM(H44:H51)+SUM(H72:H77)+SUM(H107:H119)+SUM(H141))</f>
        <v>116623.87</v>
      </c>
      <c r="I149" s="14"/>
      <c r="J149" s="54"/>
    </row>
    <row r="150" spans="1:14" ht="15" thickBot="1" x14ac:dyDescent="0.3">
      <c r="D150" s="96"/>
      <c r="E150" s="97"/>
      <c r="F150" s="98"/>
      <c r="G150" s="99"/>
      <c r="H150" s="100">
        <f>SUM(H146:H149)</f>
        <v>279665.27</v>
      </c>
      <c r="I150" s="101">
        <f>SUM(H15,H24,H33,H53,H78,H120,H129,H143)</f>
        <v>279665.26999999996</v>
      </c>
      <c r="J150" s="54"/>
    </row>
    <row r="151" spans="1:14" x14ac:dyDescent="0.25">
      <c r="B151" s="180"/>
      <c r="C151" s="1"/>
      <c r="E151" s="70"/>
      <c r="J151" s="54"/>
    </row>
    <row r="152" spans="1:14" x14ac:dyDescent="0.25">
      <c r="J152" s="54"/>
    </row>
    <row r="153" spans="1:14" x14ac:dyDescent="0.25">
      <c r="J153" s="54"/>
    </row>
    <row r="154" spans="1:14" x14ac:dyDescent="0.25">
      <c r="J154" s="54"/>
    </row>
    <row r="155" spans="1:14" x14ac:dyDescent="0.25">
      <c r="J155" s="54"/>
    </row>
    <row r="156" spans="1:14" s="104" customFormat="1" x14ac:dyDescent="0.25">
      <c r="A156" s="1"/>
      <c r="B156" s="205"/>
      <c r="C156" s="69"/>
      <c r="D156" s="1"/>
      <c r="E156" s="70"/>
      <c r="F156" s="73"/>
      <c r="G156" s="103"/>
      <c r="I156" s="1"/>
      <c r="J156" s="54"/>
      <c r="K156" s="1"/>
      <c r="L156" s="1"/>
      <c r="M156" s="1"/>
      <c r="N156" s="1"/>
    </row>
    <row r="157" spans="1:14" x14ac:dyDescent="0.25">
      <c r="J157" s="54"/>
    </row>
    <row r="158" spans="1:14" x14ac:dyDescent="0.25">
      <c r="J158" s="54"/>
    </row>
    <row r="159" spans="1:14" x14ac:dyDescent="0.25">
      <c r="J159" s="54"/>
    </row>
    <row r="160" spans="1:14" x14ac:dyDescent="0.25">
      <c r="J160" s="54"/>
    </row>
    <row r="161" spans="1:14" x14ac:dyDescent="0.25">
      <c r="J161" s="54"/>
    </row>
    <row r="162" spans="1:14" x14ac:dyDescent="0.25">
      <c r="J162" s="54"/>
    </row>
    <row r="163" spans="1:14" s="104" customFormat="1" x14ac:dyDescent="0.25">
      <c r="A163" s="1"/>
      <c r="B163" s="205"/>
      <c r="C163" s="69"/>
      <c r="D163" s="1"/>
      <c r="E163" s="70"/>
      <c r="F163" s="73"/>
      <c r="G163" s="103"/>
      <c r="I163" s="1"/>
      <c r="J163" s="1"/>
      <c r="K163" s="1"/>
      <c r="L163" s="1"/>
      <c r="M163" s="1"/>
      <c r="N163" s="1"/>
    </row>
    <row r="169" spans="1:14" x14ac:dyDescent="0.25">
      <c r="J169" s="14"/>
    </row>
    <row r="173" spans="1:14" x14ac:dyDescent="0.25">
      <c r="K173" s="14"/>
      <c r="L173" s="14"/>
      <c r="M173" s="14"/>
      <c r="N173" s="14"/>
    </row>
    <row r="174" spans="1:14" x14ac:dyDescent="0.25">
      <c r="J174" s="54"/>
      <c r="K174" s="14"/>
      <c r="L174" s="14"/>
      <c r="M174" s="14"/>
      <c r="N174" s="14"/>
    </row>
    <row r="175" spans="1:14" x14ac:dyDescent="0.25">
      <c r="K175" s="14"/>
      <c r="L175" s="14"/>
      <c r="M175" s="14"/>
      <c r="N175" s="14"/>
    </row>
    <row r="176" spans="1:14" x14ac:dyDescent="0.25">
      <c r="J176" s="54"/>
      <c r="K176" s="14"/>
      <c r="L176" s="14"/>
      <c r="M176" s="14"/>
      <c r="N176" s="14"/>
    </row>
    <row r="177" spans="10:14" x14ac:dyDescent="0.25">
      <c r="J177" s="54"/>
      <c r="K177" s="14"/>
      <c r="L177" s="14"/>
      <c r="M177" s="14"/>
      <c r="N177" s="14"/>
    </row>
    <row r="178" spans="10:14" x14ac:dyDescent="0.25">
      <c r="J178" s="54"/>
      <c r="K178" s="14"/>
      <c r="L178" s="14"/>
      <c r="M178" s="14"/>
      <c r="N178" s="14"/>
    </row>
    <row r="179" spans="10:14" x14ac:dyDescent="0.25">
      <c r="K179" s="14"/>
      <c r="L179" s="14"/>
      <c r="M179" s="14"/>
      <c r="N179" s="14"/>
    </row>
    <row r="180" spans="10:14" x14ac:dyDescent="0.25">
      <c r="K180" s="14"/>
      <c r="L180" s="14"/>
      <c r="M180" s="14"/>
      <c r="N180" s="14"/>
    </row>
    <row r="181" spans="10:14" x14ac:dyDescent="0.25">
      <c r="K181" s="14"/>
      <c r="L181" s="14"/>
      <c r="M181" s="14"/>
      <c r="N181" s="14"/>
    </row>
    <row r="182" spans="10:14" x14ac:dyDescent="0.25">
      <c r="K182" s="14"/>
      <c r="L182" s="14"/>
      <c r="M182" s="14"/>
      <c r="N182" s="14"/>
    </row>
    <row r="197" spans="11:14" x14ac:dyDescent="0.25">
      <c r="K197" s="104"/>
      <c r="L197" s="104"/>
      <c r="M197" s="104"/>
      <c r="N197" s="104"/>
    </row>
    <row r="204" spans="11:14" x14ac:dyDescent="0.25">
      <c r="K204" s="104"/>
      <c r="L204" s="104"/>
      <c r="M204" s="104"/>
      <c r="N204" s="104"/>
    </row>
  </sheetData>
  <sortState ref="B135:G142">
    <sortCondition ref="E135:E142"/>
    <sortCondition ref="B135:B142"/>
  </sortState>
  <mergeCells count="5">
    <mergeCell ref="D149:G149"/>
    <mergeCell ref="J1:N1"/>
    <mergeCell ref="D146:G146"/>
    <mergeCell ref="D147:G147"/>
    <mergeCell ref="D148:G148"/>
  </mergeCells>
  <phoneticPr fontId="38" type="noConversion"/>
  <pageMargins left="0.75" right="0.75" top="1" bottom="1" header="0.49212598499999999" footer="0.49212598499999999"/>
  <pageSetup paperSize="9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5"/>
  <sheetViews>
    <sheetView showGridLines="0" topLeftCell="A4" zoomScale="85" workbookViewId="0">
      <selection activeCell="G15" sqref="G15"/>
    </sheetView>
  </sheetViews>
  <sheetFormatPr defaultRowHeight="14.25" x14ac:dyDescent="0.25"/>
  <cols>
    <col min="1" max="1" width="9.140625" style="1" customWidth="1"/>
    <col min="2" max="2" width="11.5703125" style="205" customWidth="1"/>
    <col min="3" max="3" width="22" style="69" customWidth="1"/>
    <col min="4" max="4" width="60.28515625" style="1" customWidth="1"/>
    <col min="5" max="5" width="18.7109375" style="72" customWidth="1"/>
    <col min="6" max="6" width="16.28515625" style="73" customWidth="1"/>
    <col min="7" max="7" width="16.5703125" style="103" customWidth="1"/>
    <col min="8" max="8" width="23.42578125" style="104" customWidth="1"/>
    <col min="9" max="9" width="34" style="1" customWidth="1"/>
    <col min="10" max="14" width="15.7109375" style="1" customWidth="1"/>
    <col min="15" max="16384" width="9.140625" style="1"/>
  </cols>
  <sheetData>
    <row r="1" spans="1:14" ht="18" x14ac:dyDescent="0.25">
      <c r="B1" s="198" t="s">
        <v>0</v>
      </c>
      <c r="C1" s="3"/>
      <c r="D1" s="4"/>
      <c r="E1" s="5"/>
      <c r="F1" s="6"/>
      <c r="G1" s="7"/>
      <c r="H1" s="8"/>
      <c r="J1" s="284" t="s">
        <v>43</v>
      </c>
      <c r="K1" s="284"/>
      <c r="L1" s="284"/>
      <c r="M1" s="284"/>
      <c r="N1" s="284"/>
    </row>
    <row r="2" spans="1:14" x14ac:dyDescent="0.25">
      <c r="B2" s="199" t="s">
        <v>1</v>
      </c>
      <c r="C2" s="9" t="s">
        <v>2</v>
      </c>
      <c r="D2" s="10" t="s">
        <v>3</v>
      </c>
      <c r="E2" s="11" t="s">
        <v>4</v>
      </c>
      <c r="F2" s="12" t="s">
        <v>5</v>
      </c>
      <c r="G2" s="7" t="s">
        <v>6</v>
      </c>
      <c r="H2" s="13" t="s">
        <v>7</v>
      </c>
      <c r="I2" s="11" t="s">
        <v>42</v>
      </c>
      <c r="J2" s="11" t="s">
        <v>50</v>
      </c>
      <c r="K2" s="11" t="s">
        <v>53</v>
      </c>
      <c r="L2" s="11" t="s">
        <v>51</v>
      </c>
      <c r="M2" s="11" t="s">
        <v>52</v>
      </c>
      <c r="N2" s="11" t="s">
        <v>54</v>
      </c>
    </row>
    <row r="3" spans="1:14" s="14" customFormat="1" x14ac:dyDescent="0.25">
      <c r="B3" s="194">
        <v>1529</v>
      </c>
      <c r="C3" s="185" t="s">
        <v>535</v>
      </c>
      <c r="D3" s="185" t="s">
        <v>864</v>
      </c>
      <c r="E3" s="171">
        <v>42654</v>
      </c>
      <c r="F3" s="174">
        <v>7900</v>
      </c>
      <c r="G3" s="175"/>
      <c r="H3" s="19">
        <f t="shared" ref="H3:H25" si="0">F3-G3</f>
        <v>7900</v>
      </c>
      <c r="I3" s="190" t="s">
        <v>929</v>
      </c>
      <c r="J3" s="189"/>
      <c r="K3" s="189"/>
      <c r="L3" s="189"/>
      <c r="M3" s="189"/>
      <c r="N3" s="189"/>
    </row>
    <row r="4" spans="1:14" s="14" customFormat="1" x14ac:dyDescent="0.25">
      <c r="A4" s="20"/>
      <c r="B4" s="194">
        <v>5039</v>
      </c>
      <c r="C4" s="185" t="s">
        <v>535</v>
      </c>
      <c r="D4" s="185" t="s">
        <v>864</v>
      </c>
      <c r="E4" s="171">
        <v>42653</v>
      </c>
      <c r="F4" s="172">
        <v>26100</v>
      </c>
      <c r="G4" s="173"/>
      <c r="H4" s="19">
        <f t="shared" si="0"/>
        <v>26100</v>
      </c>
      <c r="I4" s="190" t="s">
        <v>930</v>
      </c>
      <c r="J4" s="189"/>
      <c r="K4" s="189"/>
      <c r="L4" s="189"/>
      <c r="M4" s="189"/>
      <c r="N4" s="189"/>
    </row>
    <row r="5" spans="1:14" s="14" customFormat="1" x14ac:dyDescent="0.25">
      <c r="A5" s="20"/>
      <c r="B5" s="194">
        <v>5041</v>
      </c>
      <c r="C5" s="185" t="s">
        <v>535</v>
      </c>
      <c r="D5" s="185" t="s">
        <v>868</v>
      </c>
      <c r="E5" s="171">
        <v>42654</v>
      </c>
      <c r="F5" s="174">
        <v>23000</v>
      </c>
      <c r="G5" s="264">
        <v>100</v>
      </c>
      <c r="H5" s="19">
        <f t="shared" si="0"/>
        <v>22900</v>
      </c>
      <c r="I5" s="190" t="s">
        <v>927</v>
      </c>
      <c r="J5" s="189"/>
      <c r="K5" s="189"/>
      <c r="L5" s="189"/>
      <c r="M5" s="189"/>
      <c r="N5" s="189">
        <v>450</v>
      </c>
    </row>
    <row r="6" spans="1:14" x14ac:dyDescent="0.25">
      <c r="A6" s="20"/>
      <c r="B6" s="185">
        <v>5047</v>
      </c>
      <c r="C6" s="185" t="s">
        <v>535</v>
      </c>
      <c r="D6" s="186" t="s">
        <v>869</v>
      </c>
      <c r="E6" s="176">
        <v>42654</v>
      </c>
      <c r="F6" s="177">
        <v>18900</v>
      </c>
      <c r="G6" s="264"/>
      <c r="H6" s="19">
        <f t="shared" si="0"/>
        <v>18900</v>
      </c>
      <c r="I6" s="190" t="s">
        <v>920</v>
      </c>
      <c r="J6" s="189"/>
      <c r="K6" s="189"/>
      <c r="L6" s="189"/>
      <c r="M6" s="189"/>
      <c r="N6" s="189"/>
    </row>
    <row r="7" spans="1:14" x14ac:dyDescent="0.25">
      <c r="A7" s="20"/>
      <c r="B7" s="182">
        <v>5055</v>
      </c>
      <c r="C7" s="182" t="s">
        <v>535</v>
      </c>
      <c r="D7" s="183" t="s">
        <v>877</v>
      </c>
      <c r="E7" s="178">
        <v>42661</v>
      </c>
      <c r="F7" s="177">
        <v>30000</v>
      </c>
      <c r="G7" s="264"/>
      <c r="H7" s="19">
        <f t="shared" si="0"/>
        <v>30000</v>
      </c>
      <c r="I7" s="190" t="s">
        <v>926</v>
      </c>
      <c r="J7" s="189"/>
      <c r="K7" s="189"/>
      <c r="L7" s="189"/>
      <c r="M7" s="189"/>
      <c r="N7" s="189"/>
    </row>
    <row r="8" spans="1:14" x14ac:dyDescent="0.25">
      <c r="A8" s="20"/>
      <c r="B8" s="182">
        <v>5062</v>
      </c>
      <c r="C8" s="182" t="s">
        <v>535</v>
      </c>
      <c r="D8" s="183" t="s">
        <v>879</v>
      </c>
      <c r="E8" s="178">
        <v>42663</v>
      </c>
      <c r="F8" s="179">
        <v>19990</v>
      </c>
      <c r="G8" s="175"/>
      <c r="H8" s="19">
        <f t="shared" si="0"/>
        <v>19990</v>
      </c>
      <c r="I8" s="190" t="s">
        <v>627</v>
      </c>
      <c r="J8" s="189"/>
      <c r="K8" s="189"/>
      <c r="L8" s="189"/>
      <c r="M8" s="189"/>
      <c r="N8" s="189">
        <v>330</v>
      </c>
    </row>
    <row r="9" spans="1:14" x14ac:dyDescent="0.25">
      <c r="A9" s="20"/>
      <c r="B9" s="194">
        <v>1550</v>
      </c>
      <c r="C9" s="185" t="s">
        <v>535</v>
      </c>
      <c r="D9" s="185" t="s">
        <v>885</v>
      </c>
      <c r="E9" s="171">
        <v>42671</v>
      </c>
      <c r="F9" s="174">
        <v>8900</v>
      </c>
      <c r="G9" s="175"/>
      <c r="H9" s="19">
        <f t="shared" si="0"/>
        <v>8900</v>
      </c>
      <c r="I9" s="190"/>
      <c r="J9" s="189"/>
      <c r="K9" s="189"/>
      <c r="L9" s="189"/>
      <c r="M9" s="189"/>
      <c r="N9" s="189"/>
    </row>
    <row r="10" spans="1:14" x14ac:dyDescent="0.25">
      <c r="A10" s="20"/>
      <c r="B10" s="182">
        <v>5071</v>
      </c>
      <c r="C10" s="182" t="s">
        <v>535</v>
      </c>
      <c r="D10" s="183" t="s">
        <v>890</v>
      </c>
      <c r="E10" s="176">
        <v>42669</v>
      </c>
      <c r="F10" s="177">
        <v>20900</v>
      </c>
      <c r="G10" s="175"/>
      <c r="H10" s="19">
        <f t="shared" si="0"/>
        <v>20900</v>
      </c>
      <c r="I10" s="190" t="s">
        <v>921</v>
      </c>
      <c r="J10" s="189"/>
      <c r="K10" s="189"/>
      <c r="L10" s="189"/>
      <c r="M10" s="189"/>
      <c r="N10" s="189">
        <v>450</v>
      </c>
    </row>
    <row r="11" spans="1:14" x14ac:dyDescent="0.25">
      <c r="A11" s="20"/>
      <c r="B11" s="185">
        <v>5072</v>
      </c>
      <c r="C11" s="185" t="s">
        <v>535</v>
      </c>
      <c r="D11" s="186" t="s">
        <v>891</v>
      </c>
      <c r="E11" s="176">
        <v>42670</v>
      </c>
      <c r="F11" s="177">
        <v>26500</v>
      </c>
      <c r="G11" s="175"/>
      <c r="H11" s="19">
        <f t="shared" si="0"/>
        <v>26500</v>
      </c>
      <c r="I11" s="192"/>
      <c r="J11" s="189"/>
      <c r="K11" s="189"/>
      <c r="L11" s="189"/>
      <c r="M11" s="189"/>
      <c r="N11" s="189"/>
    </row>
    <row r="12" spans="1:14" x14ac:dyDescent="0.25">
      <c r="A12" s="20"/>
      <c r="B12" s="185">
        <v>5073</v>
      </c>
      <c r="C12" s="185" t="s">
        <v>535</v>
      </c>
      <c r="D12" s="186" t="s">
        <v>892</v>
      </c>
      <c r="E12" s="176">
        <v>42670</v>
      </c>
      <c r="F12" s="177">
        <v>9900</v>
      </c>
      <c r="G12" s="175"/>
      <c r="H12" s="19">
        <f t="shared" si="0"/>
        <v>9900</v>
      </c>
      <c r="I12" s="192"/>
      <c r="J12" s="189"/>
      <c r="K12" s="189"/>
      <c r="L12" s="189"/>
      <c r="M12" s="189"/>
      <c r="N12" s="189"/>
    </row>
    <row r="13" spans="1:14" x14ac:dyDescent="0.25">
      <c r="A13" s="20"/>
      <c r="B13" s="185">
        <v>5076</v>
      </c>
      <c r="C13" s="185" t="s">
        <v>535</v>
      </c>
      <c r="D13" s="186" t="s">
        <v>869</v>
      </c>
      <c r="E13" s="176">
        <v>42671</v>
      </c>
      <c r="F13" s="177">
        <v>18900</v>
      </c>
      <c r="G13" s="264"/>
      <c r="H13" s="19">
        <f t="shared" si="0"/>
        <v>18900</v>
      </c>
      <c r="I13" s="192"/>
      <c r="J13" s="189"/>
      <c r="K13" s="189"/>
      <c r="L13" s="189"/>
      <c r="M13" s="189"/>
      <c r="N13" s="189"/>
    </row>
    <row r="14" spans="1:14" x14ac:dyDescent="0.25">
      <c r="A14" s="20"/>
      <c r="B14" s="185">
        <v>5080</v>
      </c>
      <c r="C14" s="185" t="s">
        <v>535</v>
      </c>
      <c r="D14" s="186" t="s">
        <v>885</v>
      </c>
      <c r="E14" s="176">
        <v>42671</v>
      </c>
      <c r="F14" s="177">
        <v>31000</v>
      </c>
      <c r="G14" s="175"/>
      <c r="H14" s="19">
        <f t="shared" si="0"/>
        <v>31000</v>
      </c>
      <c r="I14" s="192"/>
      <c r="J14" s="189"/>
      <c r="K14" s="189"/>
      <c r="L14" s="189"/>
      <c r="M14" s="189"/>
      <c r="N14" s="189"/>
    </row>
    <row r="15" spans="1:14" x14ac:dyDescent="0.25">
      <c r="B15" s="185">
        <v>5081</v>
      </c>
      <c r="C15" s="185" t="s">
        <v>535</v>
      </c>
      <c r="D15" s="186" t="s">
        <v>893</v>
      </c>
      <c r="E15" s="176">
        <v>42674</v>
      </c>
      <c r="F15" s="177">
        <v>37800</v>
      </c>
      <c r="G15" s="175"/>
      <c r="H15" s="19">
        <f t="shared" si="0"/>
        <v>37800</v>
      </c>
      <c r="I15" s="193"/>
      <c r="J15" s="189"/>
      <c r="K15" s="189"/>
      <c r="L15" s="189"/>
      <c r="M15" s="189"/>
      <c r="N15" s="189"/>
    </row>
    <row r="16" spans="1:14" x14ac:dyDescent="0.25">
      <c r="B16" s="185">
        <v>1553</v>
      </c>
      <c r="C16" s="185" t="s">
        <v>535</v>
      </c>
      <c r="D16" s="186" t="s">
        <v>392</v>
      </c>
      <c r="E16" s="176">
        <v>42674</v>
      </c>
      <c r="F16" s="177">
        <v>21000</v>
      </c>
      <c r="G16" s="175"/>
      <c r="H16" s="19">
        <f t="shared" si="0"/>
        <v>21000</v>
      </c>
      <c r="I16" s="193" t="s">
        <v>924</v>
      </c>
      <c r="J16" s="189"/>
      <c r="K16" s="189"/>
      <c r="L16" s="189"/>
      <c r="M16" s="189"/>
      <c r="N16" s="189"/>
    </row>
    <row r="17" spans="2:14" x14ac:dyDescent="0.25">
      <c r="B17" s="185">
        <v>5082</v>
      </c>
      <c r="C17" s="185" t="s">
        <v>535</v>
      </c>
      <c r="D17" s="186" t="s">
        <v>903</v>
      </c>
      <c r="E17" s="176">
        <v>42674</v>
      </c>
      <c r="F17" s="177">
        <v>107160</v>
      </c>
      <c r="G17" s="264"/>
      <c r="H17" s="19">
        <f t="shared" si="0"/>
        <v>107160</v>
      </c>
      <c r="I17" s="193"/>
      <c r="J17" s="189"/>
      <c r="K17" s="189"/>
      <c r="L17" s="189"/>
      <c r="M17" s="189"/>
      <c r="N17" s="189"/>
    </row>
    <row r="18" spans="2:14" x14ac:dyDescent="0.25">
      <c r="B18" s="185">
        <v>5084</v>
      </c>
      <c r="C18" s="185" t="s">
        <v>535</v>
      </c>
      <c r="D18" s="186" t="s">
        <v>392</v>
      </c>
      <c r="E18" s="176">
        <v>42674</v>
      </c>
      <c r="F18" s="177">
        <v>31000</v>
      </c>
      <c r="G18" s="175"/>
      <c r="H18" s="19">
        <f t="shared" si="0"/>
        <v>31000</v>
      </c>
      <c r="I18" s="193" t="s">
        <v>937</v>
      </c>
      <c r="J18" s="189"/>
      <c r="K18" s="189"/>
      <c r="L18" s="189"/>
      <c r="M18" s="189"/>
      <c r="N18" s="189"/>
    </row>
    <row r="19" spans="2:14" x14ac:dyDescent="0.25">
      <c r="B19" s="185"/>
      <c r="C19" s="185"/>
      <c r="D19" s="186"/>
      <c r="E19" s="176"/>
      <c r="F19" s="177"/>
      <c r="G19" s="175"/>
      <c r="H19" s="19">
        <f t="shared" si="0"/>
        <v>0</v>
      </c>
      <c r="I19" s="193"/>
      <c r="J19" s="189"/>
      <c r="K19" s="189"/>
      <c r="L19" s="189"/>
      <c r="M19" s="189"/>
      <c r="N19" s="189"/>
    </row>
    <row r="20" spans="2:14" x14ac:dyDescent="0.25">
      <c r="B20" s="185"/>
      <c r="C20" s="185"/>
      <c r="D20" s="186"/>
      <c r="E20" s="176"/>
      <c r="F20" s="177"/>
      <c r="G20" s="175"/>
      <c r="H20" s="19">
        <f t="shared" si="0"/>
        <v>0</v>
      </c>
      <c r="I20" s="193"/>
      <c r="J20" s="189"/>
      <c r="K20" s="189"/>
      <c r="L20" s="189"/>
      <c r="M20" s="189"/>
      <c r="N20" s="189"/>
    </row>
    <row r="21" spans="2:14" x14ac:dyDescent="0.25">
      <c r="B21" s="185"/>
      <c r="C21" s="185"/>
      <c r="D21" s="186"/>
      <c r="E21" s="176"/>
      <c r="F21" s="177"/>
      <c r="G21" s="175"/>
      <c r="H21" s="19">
        <f t="shared" si="0"/>
        <v>0</v>
      </c>
      <c r="I21" s="193"/>
      <c r="J21" s="189"/>
      <c r="K21" s="189"/>
      <c r="L21" s="189"/>
      <c r="M21" s="189"/>
      <c r="N21" s="189"/>
    </row>
    <row r="22" spans="2:14" x14ac:dyDescent="0.25">
      <c r="B22" s="185"/>
      <c r="C22" s="185"/>
      <c r="D22" s="186"/>
      <c r="E22" s="176"/>
      <c r="F22" s="177"/>
      <c r="G22" s="175"/>
      <c r="H22" s="19">
        <f t="shared" si="0"/>
        <v>0</v>
      </c>
      <c r="I22" s="193"/>
      <c r="J22" s="189"/>
      <c r="K22" s="189"/>
      <c r="L22" s="189"/>
      <c r="M22" s="189"/>
      <c r="N22" s="189"/>
    </row>
    <row r="23" spans="2:14" x14ac:dyDescent="0.25">
      <c r="B23" s="185"/>
      <c r="C23" s="185"/>
      <c r="D23" s="186"/>
      <c r="E23" s="176"/>
      <c r="F23" s="177"/>
      <c r="G23" s="175"/>
      <c r="H23" s="19">
        <f t="shared" si="0"/>
        <v>0</v>
      </c>
      <c r="I23" s="193"/>
      <c r="J23" s="189"/>
      <c r="K23" s="189"/>
      <c r="L23" s="189"/>
      <c r="M23" s="189"/>
      <c r="N23" s="189"/>
    </row>
    <row r="24" spans="2:14" x14ac:dyDescent="0.25">
      <c r="B24" s="185"/>
      <c r="C24" s="185"/>
      <c r="D24" s="186"/>
      <c r="E24" s="176"/>
      <c r="F24" s="177"/>
      <c r="G24" s="175"/>
      <c r="H24" s="19">
        <f t="shared" si="0"/>
        <v>0</v>
      </c>
      <c r="I24" s="193"/>
      <c r="J24" s="189"/>
      <c r="K24" s="189"/>
      <c r="L24" s="189"/>
      <c r="M24" s="189"/>
      <c r="N24" s="189"/>
    </row>
    <row r="25" spans="2:14" ht="15" thickBot="1" x14ac:dyDescent="0.3">
      <c r="B25" s="185"/>
      <c r="C25" s="141"/>
      <c r="D25" s="153"/>
      <c r="E25" s="28" t="s">
        <v>55</v>
      </c>
      <c r="F25" s="6"/>
      <c r="G25" s="7"/>
      <c r="H25" s="19">
        <f t="shared" si="0"/>
        <v>0</v>
      </c>
      <c r="I25" s="66"/>
      <c r="J25" s="133"/>
      <c r="K25" s="134"/>
      <c r="L25" s="134"/>
      <c r="M25" s="134"/>
      <c r="N25" s="134"/>
    </row>
    <row r="26" spans="2:14" ht="15" thickBot="1" x14ac:dyDescent="0.3">
      <c r="B26" s="200"/>
      <c r="C26" s="160"/>
      <c r="D26" s="161"/>
      <c r="E26" s="34"/>
      <c r="F26" s="35">
        <f>SUM(F3:F25)</f>
        <v>438950</v>
      </c>
      <c r="G26" s="36">
        <f>SUM(G3:G25)</f>
        <v>100</v>
      </c>
      <c r="H26" s="37">
        <f>SUM(H3:H25)</f>
        <v>438850</v>
      </c>
      <c r="I26" s="66"/>
      <c r="J26" s="131">
        <f>SUM(J3:J25)</f>
        <v>0</v>
      </c>
      <c r="K26" s="131">
        <f>SUM(K3:K25)</f>
        <v>0</v>
      </c>
      <c r="L26" s="131">
        <f>SUM(L3:L25)</f>
        <v>0</v>
      </c>
      <c r="M26" s="131">
        <f>SUM(M3:M25)</f>
        <v>0</v>
      </c>
      <c r="N26" s="131">
        <f>SUM(N3:N25)</f>
        <v>1230</v>
      </c>
    </row>
    <row r="27" spans="2:14" x14ac:dyDescent="0.25">
      <c r="B27" s="201"/>
      <c r="C27" s="162"/>
      <c r="D27" s="163"/>
      <c r="E27" s="38" t="s">
        <v>8</v>
      </c>
      <c r="F27" s="39">
        <f>TOTAL!L8</f>
        <v>650000</v>
      </c>
      <c r="G27" s="40" t="s">
        <v>9</v>
      </c>
      <c r="H27" s="41">
        <f>H26/F27%</f>
        <v>67.515384615384619</v>
      </c>
      <c r="I27" s="58" t="s">
        <v>10</v>
      </c>
    </row>
    <row r="28" spans="2:14" ht="15" thickBot="1" x14ac:dyDescent="0.3">
      <c r="B28" s="202"/>
      <c r="C28" s="164"/>
      <c r="D28" s="165"/>
      <c r="E28" s="45"/>
      <c r="F28" s="46"/>
      <c r="G28" s="47"/>
      <c r="H28" s="48"/>
      <c r="I28" s="169"/>
      <c r="J28" s="170"/>
      <c r="K28" s="170"/>
      <c r="L28" s="170"/>
      <c r="M28" s="170"/>
      <c r="N28" s="170"/>
    </row>
    <row r="29" spans="2:14" ht="18.75" thickTop="1" x14ac:dyDescent="0.25">
      <c r="B29" s="198" t="s">
        <v>11</v>
      </c>
      <c r="C29" s="166"/>
      <c r="D29" s="163"/>
      <c r="E29" s="5"/>
      <c r="F29" s="6"/>
      <c r="G29" s="7"/>
      <c r="H29" s="50"/>
      <c r="I29" s="169"/>
      <c r="J29" s="170"/>
      <c r="K29" s="170"/>
      <c r="L29" s="170"/>
      <c r="M29" s="170"/>
      <c r="N29" s="170"/>
    </row>
    <row r="30" spans="2:14" x14ac:dyDescent="0.25">
      <c r="B30" s="199" t="s">
        <v>1</v>
      </c>
      <c r="C30" s="167" t="s">
        <v>2</v>
      </c>
      <c r="D30" s="168" t="s">
        <v>3</v>
      </c>
      <c r="E30" s="11" t="s">
        <v>4</v>
      </c>
      <c r="F30" s="12" t="s">
        <v>5</v>
      </c>
      <c r="G30" s="7" t="s">
        <v>12</v>
      </c>
      <c r="H30" s="13" t="s">
        <v>7</v>
      </c>
      <c r="I30" s="169"/>
      <c r="J30" s="169"/>
      <c r="K30" s="169"/>
      <c r="L30" s="169"/>
      <c r="M30" s="169"/>
      <c r="N30" s="169"/>
    </row>
    <row r="31" spans="2:14" s="14" customFormat="1" x14ac:dyDescent="0.25">
      <c r="B31" s="182"/>
      <c r="C31" s="156"/>
      <c r="D31" s="157"/>
      <c r="E31" s="31"/>
      <c r="F31" s="6"/>
      <c r="G31" s="52"/>
      <c r="H31" s="19">
        <f t="shared" ref="H31:H38" si="1">F31-G31</f>
        <v>0</v>
      </c>
      <c r="I31" s="155"/>
      <c r="J31" s="146"/>
      <c r="K31" s="146"/>
      <c r="L31" s="146"/>
      <c r="M31" s="146"/>
      <c r="N31" s="146"/>
    </row>
    <row r="32" spans="2:14" s="14" customFormat="1" x14ac:dyDescent="0.25">
      <c r="B32" s="182"/>
      <c r="C32" s="156"/>
      <c r="D32" s="157"/>
      <c r="E32" s="178"/>
      <c r="F32" s="177"/>
      <c r="G32" s="175"/>
      <c r="H32" s="19">
        <f t="shared" si="1"/>
        <v>0</v>
      </c>
      <c r="I32" s="155"/>
      <c r="J32" s="146"/>
      <c r="K32" s="146"/>
      <c r="L32" s="146"/>
      <c r="M32" s="146"/>
      <c r="N32" s="146"/>
    </row>
    <row r="33" spans="2:14" s="14" customFormat="1" x14ac:dyDescent="0.25">
      <c r="B33" s="182"/>
      <c r="C33" s="156"/>
      <c r="D33" s="157"/>
      <c r="E33" s="31"/>
      <c r="F33" s="6"/>
      <c r="G33" s="7"/>
      <c r="H33" s="19">
        <f t="shared" si="1"/>
        <v>0</v>
      </c>
      <c r="I33" s="169"/>
      <c r="J33" s="169"/>
      <c r="K33" s="169"/>
      <c r="L33" s="169"/>
      <c r="M33" s="169"/>
      <c r="N33" s="169"/>
    </row>
    <row r="34" spans="2:14" s="14" customFormat="1" x14ac:dyDescent="0.25">
      <c r="B34" s="182"/>
      <c r="C34" s="156"/>
      <c r="D34" s="157"/>
      <c r="E34" s="31"/>
      <c r="F34" s="6"/>
      <c r="G34" s="7"/>
      <c r="H34" s="19">
        <f t="shared" si="1"/>
        <v>0</v>
      </c>
      <c r="I34" s="180"/>
      <c r="J34" s="181"/>
      <c r="K34" s="181"/>
      <c r="L34" s="181"/>
      <c r="M34" s="181"/>
      <c r="N34" s="181"/>
    </row>
    <row r="35" spans="2:14" s="14" customFormat="1" x14ac:dyDescent="0.25">
      <c r="B35" s="182"/>
      <c r="C35" s="156"/>
      <c r="D35" s="157"/>
      <c r="E35" s="31"/>
      <c r="F35" s="6"/>
      <c r="G35" s="7"/>
      <c r="H35" s="19">
        <f t="shared" si="1"/>
        <v>0</v>
      </c>
      <c r="I35" s="170"/>
      <c r="J35" s="169"/>
      <c r="K35" s="169"/>
      <c r="L35" s="169"/>
      <c r="M35" s="169"/>
      <c r="N35" s="169"/>
    </row>
    <row r="36" spans="2:14" s="14" customFormat="1" x14ac:dyDescent="0.25">
      <c r="B36" s="182"/>
      <c r="C36" s="156"/>
      <c r="D36" s="157"/>
      <c r="E36" s="31"/>
      <c r="F36" s="6"/>
      <c r="G36" s="7"/>
      <c r="H36" s="19">
        <f t="shared" si="1"/>
        <v>0</v>
      </c>
      <c r="I36" s="170"/>
      <c r="J36" s="169"/>
      <c r="K36" s="169"/>
      <c r="L36" s="169"/>
      <c r="M36" s="169"/>
      <c r="N36" s="169"/>
    </row>
    <row r="37" spans="2:14" x14ac:dyDescent="0.25">
      <c r="B37" s="182"/>
      <c r="C37" s="156"/>
      <c r="D37" s="157"/>
      <c r="E37" s="31"/>
      <c r="F37" s="6"/>
      <c r="G37" s="7"/>
      <c r="H37" s="19">
        <f t="shared" si="1"/>
        <v>0</v>
      </c>
      <c r="I37" s="170"/>
      <c r="J37" s="170"/>
      <c r="K37" s="170"/>
      <c r="L37" s="170"/>
      <c r="M37" s="170"/>
      <c r="N37" s="170"/>
    </row>
    <row r="38" spans="2:14" ht="15" thickBot="1" x14ac:dyDescent="0.3">
      <c r="B38" s="182"/>
      <c r="C38" s="156"/>
      <c r="D38" s="157"/>
      <c r="E38" s="31"/>
      <c r="F38" s="6"/>
      <c r="G38" s="7"/>
      <c r="H38" s="19">
        <f t="shared" si="1"/>
        <v>0</v>
      </c>
      <c r="I38" s="170"/>
      <c r="J38" s="170"/>
      <c r="K38" s="170"/>
      <c r="L38" s="170"/>
      <c r="M38" s="170"/>
      <c r="N38" s="170"/>
    </row>
    <row r="39" spans="2:14" ht="15" thickBot="1" x14ac:dyDescent="0.3">
      <c r="B39" s="182"/>
      <c r="C39" s="156"/>
      <c r="D39" s="157"/>
      <c r="E39" s="31"/>
      <c r="F39" s="35">
        <f>SUM(F31:F38)</f>
        <v>0</v>
      </c>
      <c r="G39" s="36"/>
      <c r="H39" s="37">
        <f>SUM(H31:H38)</f>
        <v>0</v>
      </c>
      <c r="I39" s="170"/>
      <c r="J39" s="170"/>
      <c r="K39" s="170"/>
      <c r="L39" s="170"/>
      <c r="M39" s="170"/>
      <c r="N39" s="170"/>
    </row>
    <row r="40" spans="2:14" x14ac:dyDescent="0.25">
      <c r="B40" s="182"/>
      <c r="C40" s="156"/>
      <c r="D40" s="157"/>
      <c r="E40" s="31"/>
      <c r="F40" s="51"/>
      <c r="G40" s="52"/>
      <c r="H40" s="53"/>
      <c r="I40" s="170"/>
      <c r="J40" s="170"/>
      <c r="K40" s="170"/>
      <c r="L40" s="170"/>
      <c r="M40" s="170"/>
      <c r="N40" s="170"/>
    </row>
    <row r="41" spans="2:14" ht="15" thickBot="1" x14ac:dyDescent="0.3">
      <c r="B41" s="202"/>
      <c r="C41" s="164"/>
      <c r="D41" s="165"/>
      <c r="E41" s="45"/>
      <c r="F41" s="46"/>
      <c r="G41" s="47"/>
      <c r="H41" s="48"/>
      <c r="I41" s="169"/>
      <c r="J41" s="170"/>
      <c r="K41" s="170"/>
      <c r="L41" s="170"/>
      <c r="M41" s="170"/>
      <c r="N41" s="170"/>
    </row>
    <row r="42" spans="2:14" ht="18.75" thickTop="1" x14ac:dyDescent="0.25">
      <c r="B42" s="198" t="s">
        <v>13</v>
      </c>
      <c r="C42" s="166"/>
      <c r="D42" s="163"/>
      <c r="E42" s="5"/>
      <c r="F42" s="6"/>
      <c r="G42" s="7"/>
      <c r="H42" s="50"/>
      <c r="I42" s="169"/>
      <c r="J42" s="170"/>
      <c r="K42" s="170"/>
      <c r="L42" s="170"/>
      <c r="M42" s="170"/>
      <c r="N42" s="170"/>
    </row>
    <row r="43" spans="2:14" x14ac:dyDescent="0.25">
      <c r="B43" s="199" t="s">
        <v>1</v>
      </c>
      <c r="C43" s="167" t="s">
        <v>2</v>
      </c>
      <c r="D43" s="168" t="s">
        <v>3</v>
      </c>
      <c r="E43" s="11" t="s">
        <v>4</v>
      </c>
      <c r="F43" s="12" t="s">
        <v>5</v>
      </c>
      <c r="G43" s="7" t="s">
        <v>12</v>
      </c>
      <c r="H43" s="13" t="s">
        <v>7</v>
      </c>
      <c r="I43" s="169"/>
      <c r="J43" s="170"/>
      <c r="K43" s="170"/>
      <c r="L43" s="170"/>
      <c r="M43" s="170"/>
      <c r="N43" s="170"/>
    </row>
    <row r="44" spans="2:14" s="14" customFormat="1" x14ac:dyDescent="0.25">
      <c r="B44" s="194">
        <v>5041</v>
      </c>
      <c r="C44" s="185" t="s">
        <v>535</v>
      </c>
      <c r="D44" s="185" t="s">
        <v>868</v>
      </c>
      <c r="E44" s="171">
        <v>42654</v>
      </c>
      <c r="F44" s="6">
        <v>1100</v>
      </c>
      <c r="G44" s="7"/>
      <c r="H44" s="19">
        <f t="shared" ref="H44:H49" si="2">F44-G44</f>
        <v>1100</v>
      </c>
      <c r="I44" s="180"/>
      <c r="J44" s="181"/>
      <c r="K44" s="181"/>
      <c r="L44" s="181"/>
      <c r="M44" s="181"/>
      <c r="N44" s="181"/>
    </row>
    <row r="45" spans="2:14" s="14" customFormat="1" x14ac:dyDescent="0.25">
      <c r="B45" s="185"/>
      <c r="C45" s="185"/>
      <c r="D45" s="186"/>
      <c r="E45" s="176"/>
      <c r="F45" s="6"/>
      <c r="G45" s="7"/>
      <c r="H45" s="19">
        <f t="shared" si="2"/>
        <v>0</v>
      </c>
      <c r="I45" s="180"/>
      <c r="J45" s="181"/>
      <c r="K45" s="181"/>
      <c r="L45" s="181"/>
      <c r="M45" s="181"/>
      <c r="N45" s="181"/>
    </row>
    <row r="46" spans="2:14" s="14" customFormat="1" x14ac:dyDescent="0.25">
      <c r="B46" s="194"/>
      <c r="C46" s="141"/>
      <c r="D46" s="141"/>
      <c r="E46" s="23"/>
      <c r="F46" s="6"/>
      <c r="G46" s="52"/>
      <c r="H46" s="19">
        <f t="shared" si="2"/>
        <v>0</v>
      </c>
      <c r="I46" s="180"/>
      <c r="J46" s="181"/>
      <c r="K46" s="181"/>
      <c r="L46" s="181"/>
      <c r="M46" s="181"/>
      <c r="N46" s="181"/>
    </row>
    <row r="47" spans="2:14" s="14" customFormat="1" x14ac:dyDescent="0.25">
      <c r="B47" s="182"/>
      <c r="C47" s="156"/>
      <c r="D47" s="157"/>
      <c r="E47" s="178"/>
      <c r="F47" s="177"/>
      <c r="G47" s="175"/>
      <c r="H47" s="19">
        <f t="shared" si="2"/>
        <v>0</v>
      </c>
      <c r="I47" s="180"/>
      <c r="J47" s="181"/>
      <c r="K47" s="181"/>
      <c r="L47" s="181"/>
      <c r="M47" s="181"/>
      <c r="N47" s="181"/>
    </row>
    <row r="48" spans="2:14" s="14" customFormat="1" x14ac:dyDescent="0.25">
      <c r="B48" s="182"/>
      <c r="C48" s="156"/>
      <c r="D48" s="157"/>
      <c r="E48" s="178"/>
      <c r="F48" s="177"/>
      <c r="G48" s="175"/>
      <c r="H48" s="19">
        <f t="shared" si="2"/>
        <v>0</v>
      </c>
      <c r="I48" s="180"/>
      <c r="J48" s="181"/>
      <c r="K48" s="181"/>
      <c r="L48" s="181"/>
      <c r="M48" s="181"/>
      <c r="N48" s="181"/>
    </row>
    <row r="49" spans="2:14" ht="15" thickBot="1" x14ac:dyDescent="0.3">
      <c r="B49" s="182"/>
      <c r="C49" s="29"/>
      <c r="D49" s="30"/>
      <c r="E49" s="31"/>
      <c r="F49" s="6"/>
      <c r="G49" s="7"/>
      <c r="H49" s="19">
        <f t="shared" si="2"/>
        <v>0</v>
      </c>
    </row>
    <row r="50" spans="2:14" ht="15" thickBot="1" x14ac:dyDescent="0.3">
      <c r="B50" s="203"/>
      <c r="C50" s="55"/>
      <c r="D50" s="56"/>
      <c r="E50" s="57"/>
      <c r="F50" s="35">
        <f>SUM(F44:F49)</f>
        <v>1100</v>
      </c>
      <c r="G50" s="36">
        <f>SUM(G44:G49)</f>
        <v>0</v>
      </c>
      <c r="H50" s="37">
        <f>SUM(H44:H49)</f>
        <v>1100</v>
      </c>
    </row>
    <row r="51" spans="2:14" x14ac:dyDescent="0.25">
      <c r="B51" s="203"/>
      <c r="C51" s="55"/>
      <c r="D51" s="56"/>
      <c r="E51" s="38"/>
      <c r="F51" s="39"/>
      <c r="G51" s="40"/>
      <c r="H51" s="41"/>
    </row>
    <row r="52" spans="2:14" ht="15" thickBot="1" x14ac:dyDescent="0.3">
      <c r="B52" s="202"/>
      <c r="C52" s="43"/>
      <c r="D52" s="44"/>
      <c r="E52" s="59"/>
      <c r="F52" s="46"/>
      <c r="G52" s="47"/>
      <c r="H52" s="48"/>
      <c r="I52" s="14"/>
    </row>
    <row r="53" spans="2:14" ht="18.75" thickTop="1" x14ac:dyDescent="0.25">
      <c r="B53" s="198" t="s">
        <v>14</v>
      </c>
      <c r="C53" s="49"/>
      <c r="D53" s="4"/>
      <c r="E53" s="5"/>
      <c r="F53" s="6"/>
      <c r="G53" s="7"/>
      <c r="H53" s="50"/>
      <c r="I53" s="14"/>
    </row>
    <row r="54" spans="2:14" x14ac:dyDescent="0.25">
      <c r="B54" s="199" t="s">
        <v>1</v>
      </c>
      <c r="C54" s="9" t="s">
        <v>2</v>
      </c>
      <c r="D54" s="10" t="s">
        <v>3</v>
      </c>
      <c r="E54" s="11" t="s">
        <v>4</v>
      </c>
      <c r="F54" s="12" t="s">
        <v>5</v>
      </c>
      <c r="G54" s="7" t="s">
        <v>12</v>
      </c>
      <c r="H54" s="13" t="s">
        <v>7</v>
      </c>
      <c r="I54" s="14"/>
    </row>
    <row r="55" spans="2:14" s="14" customFormat="1" x14ac:dyDescent="0.25">
      <c r="B55" s="185">
        <v>1521</v>
      </c>
      <c r="C55" s="21" t="s">
        <v>102</v>
      </c>
      <c r="D55" s="20" t="s">
        <v>211</v>
      </c>
      <c r="E55" s="28">
        <v>42647</v>
      </c>
      <c r="F55" s="177">
        <v>1016.07</v>
      </c>
      <c r="G55" s="7"/>
      <c r="H55" s="19">
        <f t="shared" ref="H55:H66" si="3">F55-G55</f>
        <v>1016.07</v>
      </c>
      <c r="J55" s="1"/>
      <c r="K55" s="1"/>
      <c r="L55" s="1"/>
      <c r="M55" s="1"/>
      <c r="N55" s="1"/>
    </row>
    <row r="56" spans="2:14" s="14" customFormat="1" x14ac:dyDescent="0.25">
      <c r="B56" s="182">
        <v>5058</v>
      </c>
      <c r="C56" s="29" t="s">
        <v>102</v>
      </c>
      <c r="D56" s="30" t="s">
        <v>214</v>
      </c>
      <c r="E56" s="31">
        <v>42663</v>
      </c>
      <c r="F56" s="177">
        <v>926.91</v>
      </c>
      <c r="G56" s="7"/>
      <c r="H56" s="19">
        <f t="shared" si="3"/>
        <v>926.91</v>
      </c>
      <c r="J56" s="1"/>
      <c r="K56" s="1"/>
      <c r="L56" s="1"/>
      <c r="M56" s="1"/>
      <c r="N56" s="1"/>
    </row>
    <row r="57" spans="2:14" s="14" customFormat="1" x14ac:dyDescent="0.25">
      <c r="B57" s="195">
        <v>1542</v>
      </c>
      <c r="C57" s="15" t="s">
        <v>102</v>
      </c>
      <c r="D57" s="15" t="s">
        <v>491</v>
      </c>
      <c r="E57" s="17">
        <v>42670</v>
      </c>
      <c r="F57" s="179">
        <v>30</v>
      </c>
      <c r="G57" s="60"/>
      <c r="H57" s="19">
        <f t="shared" si="3"/>
        <v>30</v>
      </c>
    </row>
    <row r="58" spans="2:14" s="14" customFormat="1" x14ac:dyDescent="0.25">
      <c r="B58" s="194">
        <v>1543</v>
      </c>
      <c r="C58" s="141" t="s">
        <v>102</v>
      </c>
      <c r="D58" s="141" t="s">
        <v>258</v>
      </c>
      <c r="E58" s="23">
        <v>42670</v>
      </c>
      <c r="F58" s="174">
        <v>3025.58</v>
      </c>
      <c r="G58" s="7"/>
      <c r="H58" s="19">
        <f t="shared" si="3"/>
        <v>3025.58</v>
      </c>
    </row>
    <row r="59" spans="2:14" s="14" customFormat="1" x14ac:dyDescent="0.25">
      <c r="B59" s="194">
        <v>1544</v>
      </c>
      <c r="C59" s="141" t="s">
        <v>102</v>
      </c>
      <c r="D59" s="141" t="s">
        <v>227</v>
      </c>
      <c r="E59" s="23">
        <v>42670</v>
      </c>
      <c r="F59" s="174">
        <v>225.36</v>
      </c>
      <c r="G59" s="7"/>
      <c r="H59" s="19">
        <f t="shared" si="3"/>
        <v>225.36</v>
      </c>
    </row>
    <row r="60" spans="2:14" s="14" customFormat="1" x14ac:dyDescent="0.25">
      <c r="B60" s="194"/>
      <c r="C60" s="141"/>
      <c r="D60" s="16"/>
      <c r="E60" s="17"/>
      <c r="F60" s="179"/>
      <c r="G60" s="7"/>
      <c r="H60" s="19">
        <f t="shared" si="3"/>
        <v>0</v>
      </c>
    </row>
    <row r="61" spans="2:14" s="14" customFormat="1" x14ac:dyDescent="0.25">
      <c r="B61" s="195"/>
      <c r="C61" s="15"/>
      <c r="D61" s="16"/>
      <c r="E61" s="17"/>
      <c r="F61" s="177"/>
      <c r="G61" s="7"/>
      <c r="H61" s="19">
        <f t="shared" si="3"/>
        <v>0</v>
      </c>
    </row>
    <row r="62" spans="2:14" s="14" customFormat="1" x14ac:dyDescent="0.25">
      <c r="B62" s="195"/>
      <c r="C62" s="15"/>
      <c r="D62" s="16"/>
      <c r="E62" s="17"/>
      <c r="F62" s="179"/>
      <c r="G62" s="7"/>
      <c r="H62" s="19">
        <f t="shared" si="3"/>
        <v>0</v>
      </c>
    </row>
    <row r="63" spans="2:14" s="14" customFormat="1" x14ac:dyDescent="0.25">
      <c r="B63" s="195"/>
      <c r="C63" s="15"/>
      <c r="D63" s="16"/>
      <c r="E63" s="17"/>
      <c r="F63" s="179"/>
      <c r="G63" s="7"/>
      <c r="H63" s="19">
        <f t="shared" si="3"/>
        <v>0</v>
      </c>
    </row>
    <row r="64" spans="2:14" s="14" customFormat="1" x14ac:dyDescent="0.25">
      <c r="B64" s="194"/>
      <c r="C64" s="141"/>
      <c r="D64" s="141"/>
      <c r="E64" s="23"/>
      <c r="F64" s="174"/>
      <c r="G64" s="7"/>
      <c r="H64" s="19">
        <f t="shared" si="3"/>
        <v>0</v>
      </c>
      <c r="I64" s="1"/>
    </row>
    <row r="65" spans="2:14" s="14" customFormat="1" x14ac:dyDescent="0.25">
      <c r="B65" s="195"/>
      <c r="C65" s="15"/>
      <c r="D65" s="16"/>
      <c r="E65" s="17"/>
      <c r="F65" s="18"/>
      <c r="G65" s="7"/>
      <c r="H65" s="19">
        <f t="shared" si="3"/>
        <v>0</v>
      </c>
      <c r="I65" s="1"/>
    </row>
    <row r="66" spans="2:14" ht="15" thickBot="1" x14ac:dyDescent="0.3">
      <c r="B66" s="185"/>
      <c r="C66" s="21"/>
      <c r="D66" s="21"/>
      <c r="E66" s="28"/>
      <c r="F66" s="6"/>
      <c r="G66" s="7"/>
      <c r="H66" s="19">
        <f t="shared" si="3"/>
        <v>0</v>
      </c>
    </row>
    <row r="67" spans="2:14" ht="15" thickBot="1" x14ac:dyDescent="0.3">
      <c r="B67" s="201"/>
      <c r="C67" s="3"/>
      <c r="D67" s="4"/>
      <c r="E67" s="61"/>
      <c r="F67" s="62">
        <f>SUM(F55:F66)</f>
        <v>5223.9199999999992</v>
      </c>
      <c r="G67" s="36">
        <f>SUM(G55:G66)</f>
        <v>0</v>
      </c>
      <c r="H67" s="63">
        <f>SUM(H55:H66)</f>
        <v>5223.9199999999992</v>
      </c>
    </row>
    <row r="68" spans="2:14" x14ac:dyDescent="0.25">
      <c r="B68" s="204"/>
      <c r="C68" s="3"/>
      <c r="D68" s="65"/>
      <c r="E68" s="38" t="s">
        <v>8</v>
      </c>
      <c r="F68" s="39">
        <f>TOTAL!L9</f>
        <v>0</v>
      </c>
      <c r="G68" s="40" t="s">
        <v>9</v>
      </c>
      <c r="H68" s="41" t="e">
        <f>H67/F68%</f>
        <v>#DIV/0!</v>
      </c>
      <c r="I68" s="58" t="s">
        <v>10</v>
      </c>
    </row>
    <row r="69" spans="2:14" ht="15" thickBot="1" x14ac:dyDescent="0.3">
      <c r="B69" s="202"/>
      <c r="C69" s="43"/>
      <c r="D69" s="44"/>
      <c r="E69" s="59"/>
      <c r="F69" s="46"/>
      <c r="G69" s="47"/>
      <c r="H69" s="48"/>
      <c r="I69" s="14"/>
      <c r="J69" s="54"/>
    </row>
    <row r="70" spans="2:14" ht="18.75" thickTop="1" x14ac:dyDescent="0.25">
      <c r="B70" s="198" t="s">
        <v>15</v>
      </c>
      <c r="C70" s="49"/>
      <c r="D70" s="4"/>
      <c r="E70" s="5"/>
      <c r="F70" s="6"/>
      <c r="G70" s="7"/>
      <c r="H70" s="50"/>
      <c r="I70" s="14"/>
    </row>
    <row r="71" spans="2:14" x14ac:dyDescent="0.25">
      <c r="B71" s="199" t="s">
        <v>1</v>
      </c>
      <c r="C71" s="9" t="s">
        <v>2</v>
      </c>
      <c r="D71" s="10" t="s">
        <v>3</v>
      </c>
      <c r="E71" s="11" t="s">
        <v>4</v>
      </c>
      <c r="F71" s="12" t="s">
        <v>5</v>
      </c>
      <c r="G71" s="7" t="s">
        <v>12</v>
      </c>
      <c r="H71" s="13" t="s">
        <v>7</v>
      </c>
      <c r="I71" s="14"/>
    </row>
    <row r="72" spans="2:14" s="14" customFormat="1" x14ac:dyDescent="0.25">
      <c r="B72" s="185">
        <v>1525</v>
      </c>
      <c r="C72" s="21" t="s">
        <v>102</v>
      </c>
      <c r="D72" s="20" t="s">
        <v>493</v>
      </c>
      <c r="E72" s="28">
        <v>42649</v>
      </c>
      <c r="F72" s="177">
        <v>360</v>
      </c>
      <c r="G72" s="7"/>
      <c r="H72" s="19">
        <f t="shared" ref="H72:H98" si="4">F72-G72</f>
        <v>360</v>
      </c>
      <c r="J72" s="1"/>
      <c r="K72" s="1"/>
      <c r="L72" s="1"/>
      <c r="M72" s="1"/>
      <c r="N72" s="1"/>
    </row>
    <row r="73" spans="2:14" s="14" customFormat="1" x14ac:dyDescent="0.25">
      <c r="B73" s="182">
        <v>5025</v>
      </c>
      <c r="C73" s="29" t="s">
        <v>102</v>
      </c>
      <c r="D73" s="30" t="s">
        <v>861</v>
      </c>
      <c r="E73" s="31">
        <v>42647</v>
      </c>
      <c r="F73" s="177">
        <v>821.54</v>
      </c>
      <c r="G73" s="52">
        <v>22.01</v>
      </c>
      <c r="H73" s="19">
        <f t="shared" si="4"/>
        <v>799.53</v>
      </c>
      <c r="J73" s="1"/>
      <c r="K73" s="1"/>
      <c r="L73" s="1"/>
      <c r="M73" s="1"/>
      <c r="N73" s="1"/>
    </row>
    <row r="74" spans="2:14" s="14" customFormat="1" x14ac:dyDescent="0.25">
      <c r="B74" s="195">
        <v>5028</v>
      </c>
      <c r="C74" s="15" t="s">
        <v>102</v>
      </c>
      <c r="D74" s="15" t="s">
        <v>858</v>
      </c>
      <c r="E74" s="17">
        <v>42648</v>
      </c>
      <c r="F74" s="179">
        <v>1671.98</v>
      </c>
      <c r="G74" s="152">
        <v>72.900000000000006</v>
      </c>
      <c r="H74" s="19">
        <f t="shared" si="4"/>
        <v>1599.08</v>
      </c>
    </row>
    <row r="75" spans="2:14" s="14" customFormat="1" x14ac:dyDescent="0.25">
      <c r="B75" s="194">
        <v>5029</v>
      </c>
      <c r="C75" s="141" t="s">
        <v>102</v>
      </c>
      <c r="D75" s="141" t="s">
        <v>862</v>
      </c>
      <c r="E75" s="23">
        <v>42648</v>
      </c>
      <c r="F75" s="174">
        <v>3058</v>
      </c>
      <c r="G75" s="52">
        <v>78</v>
      </c>
      <c r="H75" s="19">
        <f t="shared" si="4"/>
        <v>2980</v>
      </c>
    </row>
    <row r="76" spans="2:14" s="14" customFormat="1" x14ac:dyDescent="0.25">
      <c r="B76" s="194">
        <v>5045</v>
      </c>
      <c r="C76" s="141" t="s">
        <v>102</v>
      </c>
      <c r="D76" s="141" t="s">
        <v>859</v>
      </c>
      <c r="E76" s="23">
        <v>42654</v>
      </c>
      <c r="F76" s="174">
        <v>829.44</v>
      </c>
      <c r="G76" s="52">
        <v>29.9</v>
      </c>
      <c r="H76" s="19">
        <f t="shared" si="4"/>
        <v>799.54000000000008</v>
      </c>
    </row>
    <row r="77" spans="2:14" s="14" customFormat="1" x14ac:dyDescent="0.25">
      <c r="B77" s="194">
        <v>5046</v>
      </c>
      <c r="C77" s="141" t="s">
        <v>102</v>
      </c>
      <c r="D77" s="16" t="s">
        <v>764</v>
      </c>
      <c r="E77" s="17">
        <v>42654</v>
      </c>
      <c r="F77" s="179">
        <v>799.53</v>
      </c>
      <c r="G77" s="7"/>
      <c r="H77" s="19">
        <f t="shared" si="4"/>
        <v>799.53</v>
      </c>
    </row>
    <row r="78" spans="2:14" s="14" customFormat="1" x14ac:dyDescent="0.25">
      <c r="B78" s="185">
        <v>5048</v>
      </c>
      <c r="C78" s="141" t="s">
        <v>102</v>
      </c>
      <c r="D78" s="153" t="s">
        <v>694</v>
      </c>
      <c r="E78" s="154">
        <v>42656</v>
      </c>
      <c r="F78" s="177">
        <v>1760</v>
      </c>
      <c r="G78" s="7">
        <v>160</v>
      </c>
      <c r="H78" s="19">
        <f t="shared" si="4"/>
        <v>1600</v>
      </c>
    </row>
    <row r="79" spans="2:14" s="14" customFormat="1" x14ac:dyDescent="0.25">
      <c r="B79" s="195">
        <v>5050</v>
      </c>
      <c r="C79" s="15" t="s">
        <v>102</v>
      </c>
      <c r="D79" s="16" t="s">
        <v>870</v>
      </c>
      <c r="E79" s="17">
        <v>42657</v>
      </c>
      <c r="F79" s="18">
        <v>1837.9</v>
      </c>
      <c r="G79" s="7">
        <v>82.9</v>
      </c>
      <c r="H79" s="19">
        <f t="shared" si="4"/>
        <v>1755</v>
      </c>
    </row>
    <row r="80" spans="2:14" s="14" customFormat="1" x14ac:dyDescent="0.25">
      <c r="B80" s="195">
        <v>1538</v>
      </c>
      <c r="C80" s="15" t="s">
        <v>102</v>
      </c>
      <c r="D80" s="16" t="s">
        <v>871</v>
      </c>
      <c r="E80" s="17">
        <v>42664</v>
      </c>
      <c r="F80" s="18">
        <v>7800</v>
      </c>
      <c r="G80" s="7"/>
      <c r="H80" s="19">
        <f t="shared" si="4"/>
        <v>7800</v>
      </c>
    </row>
    <row r="81" spans="2:14" s="14" customFormat="1" x14ac:dyDescent="0.25">
      <c r="B81" s="195">
        <v>5053</v>
      </c>
      <c r="C81" s="15" t="s">
        <v>102</v>
      </c>
      <c r="D81" s="16" t="s">
        <v>875</v>
      </c>
      <c r="E81" s="17">
        <v>42660</v>
      </c>
      <c r="F81" s="18">
        <v>520</v>
      </c>
      <c r="G81" s="7"/>
      <c r="H81" s="19">
        <f t="shared" si="4"/>
        <v>520</v>
      </c>
      <c r="I81" s="1"/>
    </row>
    <row r="82" spans="2:14" s="14" customFormat="1" x14ac:dyDescent="0.25">
      <c r="B82" s="195">
        <v>5054</v>
      </c>
      <c r="C82" s="15" t="s">
        <v>102</v>
      </c>
      <c r="D82" s="16" t="s">
        <v>876</v>
      </c>
      <c r="E82" s="17">
        <v>42660</v>
      </c>
      <c r="F82" s="18">
        <v>5072.8999999999996</v>
      </c>
      <c r="G82" s="7">
        <v>82.9</v>
      </c>
      <c r="H82" s="19">
        <f t="shared" si="4"/>
        <v>4990</v>
      </c>
      <c r="I82" s="1"/>
    </row>
    <row r="83" spans="2:14" s="14" customFormat="1" x14ac:dyDescent="0.25">
      <c r="B83" s="185">
        <v>5057</v>
      </c>
      <c r="C83" s="21" t="s">
        <v>102</v>
      </c>
      <c r="D83" s="21" t="s">
        <v>152</v>
      </c>
      <c r="E83" s="28">
        <v>42662</v>
      </c>
      <c r="F83" s="6">
        <v>455.5</v>
      </c>
      <c r="G83" s="7">
        <f>39.5+25.78</f>
        <v>65.28</v>
      </c>
      <c r="H83" s="19">
        <f t="shared" si="4"/>
        <v>390.22</v>
      </c>
      <c r="I83" s="1"/>
    </row>
    <row r="84" spans="2:14" x14ac:dyDescent="0.25">
      <c r="B84" s="185">
        <v>5060</v>
      </c>
      <c r="C84" s="21" t="s">
        <v>102</v>
      </c>
      <c r="D84" s="21" t="s">
        <v>878</v>
      </c>
      <c r="E84" s="28">
        <v>42663</v>
      </c>
      <c r="F84" s="6">
        <v>990</v>
      </c>
      <c r="G84" s="7">
        <v>45</v>
      </c>
      <c r="H84" s="19">
        <f t="shared" si="4"/>
        <v>945</v>
      </c>
      <c r="J84" s="14"/>
      <c r="K84" s="14"/>
      <c r="L84" s="14"/>
      <c r="M84" s="14"/>
      <c r="N84" s="14"/>
    </row>
    <row r="85" spans="2:14" x14ac:dyDescent="0.25">
      <c r="B85" s="185">
        <v>5063</v>
      </c>
      <c r="C85" s="21" t="s">
        <v>102</v>
      </c>
      <c r="D85" s="21" t="s">
        <v>216</v>
      </c>
      <c r="E85" s="28">
        <v>42664</v>
      </c>
      <c r="F85" s="6">
        <v>2082.02</v>
      </c>
      <c r="G85" s="264"/>
      <c r="H85" s="19">
        <f t="shared" si="4"/>
        <v>2082.02</v>
      </c>
      <c r="J85" s="14"/>
      <c r="K85" s="14"/>
      <c r="L85" s="14"/>
      <c r="M85" s="14"/>
      <c r="N85" s="14"/>
    </row>
    <row r="86" spans="2:14" x14ac:dyDescent="0.25">
      <c r="B86" s="185">
        <v>5068</v>
      </c>
      <c r="C86" s="21" t="s">
        <v>102</v>
      </c>
      <c r="D86" s="21" t="s">
        <v>862</v>
      </c>
      <c r="E86" s="28">
        <v>42664</v>
      </c>
      <c r="F86" s="6">
        <v>1490</v>
      </c>
      <c r="G86" s="264"/>
      <c r="H86" s="19">
        <f t="shared" si="4"/>
        <v>1490</v>
      </c>
      <c r="J86" s="14"/>
      <c r="K86" s="14"/>
      <c r="L86" s="14"/>
      <c r="M86" s="14"/>
      <c r="N86" s="14"/>
    </row>
    <row r="87" spans="2:14" x14ac:dyDescent="0.25">
      <c r="B87" s="185" t="s">
        <v>83</v>
      </c>
      <c r="C87" s="21" t="s">
        <v>102</v>
      </c>
      <c r="D87" s="21" t="s">
        <v>880</v>
      </c>
      <c r="E87" s="28">
        <v>42668</v>
      </c>
      <c r="F87" s="6">
        <v>1200</v>
      </c>
      <c r="G87" s="7">
        <v>25</v>
      </c>
      <c r="H87" s="19">
        <f t="shared" si="4"/>
        <v>1175</v>
      </c>
      <c r="J87" s="14"/>
      <c r="K87" s="14"/>
      <c r="L87" s="14"/>
      <c r="M87" s="14"/>
      <c r="N87" s="14"/>
    </row>
    <row r="88" spans="2:14" x14ac:dyDescent="0.25">
      <c r="B88" s="185" t="s">
        <v>83</v>
      </c>
      <c r="C88" s="21" t="s">
        <v>102</v>
      </c>
      <c r="D88" s="21" t="s">
        <v>881</v>
      </c>
      <c r="E88" s="28">
        <v>42668</v>
      </c>
      <c r="F88" s="6">
        <v>77.400000000000006</v>
      </c>
      <c r="G88" s="7">
        <v>24</v>
      </c>
      <c r="H88" s="19">
        <f t="shared" si="4"/>
        <v>53.400000000000006</v>
      </c>
      <c r="J88" s="14"/>
      <c r="K88" s="14"/>
      <c r="L88" s="14"/>
      <c r="M88" s="14"/>
      <c r="N88" s="14"/>
    </row>
    <row r="89" spans="2:14" x14ac:dyDescent="0.25">
      <c r="B89" s="185" t="s">
        <v>83</v>
      </c>
      <c r="C89" s="21" t="s">
        <v>102</v>
      </c>
      <c r="D89" s="21" t="s">
        <v>882</v>
      </c>
      <c r="E89" s="28">
        <v>42671</v>
      </c>
      <c r="F89" s="6">
        <v>450</v>
      </c>
      <c r="G89" s="7"/>
      <c r="H89" s="19">
        <f t="shared" si="4"/>
        <v>450</v>
      </c>
      <c r="J89" s="14"/>
      <c r="K89" s="14"/>
      <c r="L89" s="14"/>
      <c r="M89" s="14"/>
      <c r="N89" s="14"/>
    </row>
    <row r="90" spans="2:14" x14ac:dyDescent="0.25">
      <c r="B90" s="185">
        <v>1549</v>
      </c>
      <c r="C90" s="21" t="s">
        <v>102</v>
      </c>
      <c r="D90" s="21" t="s">
        <v>884</v>
      </c>
      <c r="E90" s="28">
        <v>42671</v>
      </c>
      <c r="F90" s="6">
        <v>586.62</v>
      </c>
      <c r="G90" s="7">
        <v>35</v>
      </c>
      <c r="H90" s="19">
        <f t="shared" si="4"/>
        <v>551.62</v>
      </c>
      <c r="J90" s="14"/>
      <c r="K90" s="14"/>
      <c r="L90" s="14"/>
      <c r="M90" s="14"/>
      <c r="N90" s="14"/>
    </row>
    <row r="91" spans="2:14" x14ac:dyDescent="0.25">
      <c r="B91" s="185">
        <v>1551</v>
      </c>
      <c r="C91" s="21" t="s">
        <v>102</v>
      </c>
      <c r="D91" s="21" t="s">
        <v>895</v>
      </c>
      <c r="E91" s="28">
        <v>42674</v>
      </c>
      <c r="F91" s="6">
        <v>176.5</v>
      </c>
      <c r="G91" s="7">
        <v>66.8</v>
      </c>
      <c r="H91" s="19">
        <f t="shared" si="4"/>
        <v>109.7</v>
      </c>
      <c r="J91" s="14"/>
      <c r="K91" s="14"/>
      <c r="L91" s="14"/>
      <c r="M91" s="14"/>
      <c r="N91" s="14"/>
    </row>
    <row r="92" spans="2:14" x14ac:dyDescent="0.25">
      <c r="B92" s="185">
        <v>1552</v>
      </c>
      <c r="C92" s="21" t="s">
        <v>102</v>
      </c>
      <c r="D92" s="21" t="s">
        <v>896</v>
      </c>
      <c r="E92" s="28">
        <v>42674</v>
      </c>
      <c r="F92" s="6">
        <v>1737.76</v>
      </c>
      <c r="G92" s="7">
        <v>82.9</v>
      </c>
      <c r="H92" s="19">
        <f t="shared" si="4"/>
        <v>1654.86</v>
      </c>
      <c r="J92" s="14"/>
      <c r="K92" s="14"/>
      <c r="L92" s="14"/>
      <c r="M92" s="14"/>
      <c r="N92" s="14"/>
    </row>
    <row r="93" spans="2:14" x14ac:dyDescent="0.25">
      <c r="B93" s="185">
        <v>5083</v>
      </c>
      <c r="C93" s="21" t="s">
        <v>102</v>
      </c>
      <c r="D93" s="21" t="s">
        <v>904</v>
      </c>
      <c r="E93" s="28">
        <v>42674</v>
      </c>
      <c r="F93" s="6">
        <v>305.48</v>
      </c>
      <c r="G93" s="7">
        <v>67</v>
      </c>
      <c r="H93" s="19">
        <f t="shared" si="4"/>
        <v>238.48000000000002</v>
      </c>
      <c r="J93" s="14"/>
      <c r="K93" s="14"/>
      <c r="L93" s="14"/>
      <c r="M93" s="14"/>
      <c r="N93" s="14"/>
    </row>
    <row r="94" spans="2:14" x14ac:dyDescent="0.25">
      <c r="B94" s="185">
        <v>1554</v>
      </c>
      <c r="C94" s="21" t="s">
        <v>102</v>
      </c>
      <c r="D94" s="21" t="s">
        <v>905</v>
      </c>
      <c r="E94" s="28">
        <v>42674</v>
      </c>
      <c r="F94" s="6">
        <v>1690</v>
      </c>
      <c r="G94" s="7"/>
      <c r="H94" s="19">
        <f t="shared" si="4"/>
        <v>1690</v>
      </c>
      <c r="J94" s="14"/>
      <c r="K94" s="14"/>
      <c r="L94" s="14"/>
      <c r="M94" s="14"/>
      <c r="N94" s="14"/>
    </row>
    <row r="95" spans="2:14" x14ac:dyDescent="0.25">
      <c r="B95" s="185">
        <v>1555</v>
      </c>
      <c r="C95" s="21" t="s">
        <v>102</v>
      </c>
      <c r="D95" s="21" t="s">
        <v>884</v>
      </c>
      <c r="E95" s="28">
        <v>42674</v>
      </c>
      <c r="F95" s="6">
        <v>10499.21</v>
      </c>
      <c r="G95" s="7">
        <v>69.900000000000006</v>
      </c>
      <c r="H95" s="19">
        <f t="shared" si="4"/>
        <v>10429.31</v>
      </c>
      <c r="J95" s="14"/>
      <c r="K95" s="14"/>
      <c r="L95" s="14"/>
      <c r="M95" s="14"/>
      <c r="N95" s="14"/>
    </row>
    <row r="96" spans="2:14" x14ac:dyDescent="0.25">
      <c r="B96" s="185">
        <v>5085</v>
      </c>
      <c r="C96" s="21" t="s">
        <v>102</v>
      </c>
      <c r="D96" s="21" t="s">
        <v>906</v>
      </c>
      <c r="E96" s="28">
        <v>42674</v>
      </c>
      <c r="F96" s="6">
        <v>532.6</v>
      </c>
      <c r="G96" s="7">
        <v>92.6</v>
      </c>
      <c r="H96" s="19">
        <f t="shared" si="4"/>
        <v>440</v>
      </c>
      <c r="J96" s="14"/>
      <c r="K96" s="14"/>
      <c r="L96" s="14"/>
      <c r="M96" s="14"/>
      <c r="N96" s="14"/>
    </row>
    <row r="97" spans="2:14" x14ac:dyDescent="0.25">
      <c r="B97" s="185"/>
      <c r="C97" s="21"/>
      <c r="D97" s="21"/>
      <c r="E97" s="28"/>
      <c r="F97" s="6"/>
      <c r="G97" s="7"/>
      <c r="H97" s="19">
        <f t="shared" si="4"/>
        <v>0</v>
      </c>
      <c r="I97" s="58"/>
    </row>
    <row r="98" spans="2:14" ht="15" thickBot="1" x14ac:dyDescent="0.3">
      <c r="B98" s="185"/>
      <c r="C98" s="21"/>
      <c r="D98" s="20"/>
      <c r="E98" s="28"/>
      <c r="F98" s="6"/>
      <c r="G98" s="7"/>
      <c r="H98" s="19">
        <f t="shared" si="4"/>
        <v>0</v>
      </c>
    </row>
    <row r="99" spans="2:14" ht="15" thickBot="1" x14ac:dyDescent="0.3">
      <c r="B99" s="201"/>
      <c r="C99" s="3"/>
      <c r="D99" s="4"/>
      <c r="E99" s="61"/>
      <c r="F99" s="62">
        <f>SUM(F72:F98)</f>
        <v>46804.380000000005</v>
      </c>
      <c r="G99" s="36">
        <f>SUM(G72:G98)</f>
        <v>1102.0899999999999</v>
      </c>
      <c r="H99" s="63">
        <f>SUM(H72:H98)</f>
        <v>45702.29</v>
      </c>
    </row>
    <row r="100" spans="2:14" x14ac:dyDescent="0.25">
      <c r="B100" s="204"/>
      <c r="C100" s="3"/>
      <c r="D100" s="65"/>
      <c r="E100" s="38" t="s">
        <v>8</v>
      </c>
      <c r="F100" s="39">
        <f>TOTAL!L10</f>
        <v>55000</v>
      </c>
      <c r="G100" s="40" t="s">
        <v>9</v>
      </c>
      <c r="H100" s="41">
        <f>H99/F100%</f>
        <v>83.095072727272722</v>
      </c>
      <c r="I100" s="58" t="s">
        <v>10</v>
      </c>
    </row>
    <row r="101" spans="2:14" ht="15" thickBot="1" x14ac:dyDescent="0.3">
      <c r="B101" s="202"/>
      <c r="C101" s="43"/>
      <c r="D101" s="44"/>
      <c r="E101" s="45"/>
      <c r="F101" s="67"/>
      <c r="G101" s="47"/>
      <c r="H101" s="48"/>
      <c r="I101" s="14"/>
      <c r="J101" s="54"/>
    </row>
    <row r="102" spans="2:14" ht="18.75" thickTop="1" x14ac:dyDescent="0.25">
      <c r="B102" s="198" t="s">
        <v>49</v>
      </c>
      <c r="C102" s="49"/>
      <c r="D102" s="4"/>
      <c r="E102" s="5"/>
      <c r="F102" s="6"/>
      <c r="G102" s="7"/>
      <c r="H102" s="50"/>
      <c r="I102" s="14"/>
    </row>
    <row r="103" spans="2:14" x14ac:dyDescent="0.25">
      <c r="B103" s="199" t="s">
        <v>1</v>
      </c>
      <c r="C103" s="9" t="s">
        <v>2</v>
      </c>
      <c r="D103" s="10" t="s">
        <v>3</v>
      </c>
      <c r="E103" s="11" t="s">
        <v>4</v>
      </c>
      <c r="F103" s="12" t="s">
        <v>5</v>
      </c>
      <c r="G103" s="7" t="s">
        <v>12</v>
      </c>
      <c r="H103" s="13" t="s">
        <v>7</v>
      </c>
      <c r="I103" s="14"/>
    </row>
    <row r="104" spans="2:14" s="14" customFormat="1" x14ac:dyDescent="0.25">
      <c r="B104" s="185">
        <v>408</v>
      </c>
      <c r="C104" s="21" t="s">
        <v>86</v>
      </c>
      <c r="D104" s="20" t="s">
        <v>857</v>
      </c>
      <c r="E104" s="28">
        <v>42649</v>
      </c>
      <c r="F104" s="177">
        <v>390</v>
      </c>
      <c r="G104" s="7"/>
      <c r="H104" s="19">
        <f t="shared" ref="H104:H168" si="5">F104-G104</f>
        <v>390</v>
      </c>
      <c r="J104" s="1"/>
      <c r="K104" s="1"/>
      <c r="L104" s="1"/>
      <c r="M104" s="1"/>
      <c r="N104" s="1"/>
    </row>
    <row r="105" spans="2:14" s="14" customFormat="1" x14ac:dyDescent="0.25">
      <c r="B105" s="185">
        <v>409</v>
      </c>
      <c r="C105" s="21" t="s">
        <v>86</v>
      </c>
      <c r="D105" s="20" t="s">
        <v>858</v>
      </c>
      <c r="E105" s="28">
        <v>42649</v>
      </c>
      <c r="F105" s="177">
        <v>590</v>
      </c>
      <c r="G105" s="7"/>
      <c r="H105" s="19">
        <f t="shared" si="5"/>
        <v>590</v>
      </c>
      <c r="J105" s="1"/>
      <c r="K105" s="1"/>
      <c r="L105" s="1"/>
      <c r="M105" s="1"/>
      <c r="N105" s="1"/>
    </row>
    <row r="106" spans="2:14" s="14" customFormat="1" x14ac:dyDescent="0.25">
      <c r="B106" s="185">
        <v>411</v>
      </c>
      <c r="C106" s="21" t="s">
        <v>86</v>
      </c>
      <c r="D106" s="20" t="s">
        <v>859</v>
      </c>
      <c r="E106" s="28">
        <v>42650</v>
      </c>
      <c r="F106" s="177">
        <v>590</v>
      </c>
      <c r="G106" s="7"/>
      <c r="H106" s="19">
        <f t="shared" si="5"/>
        <v>590</v>
      </c>
      <c r="J106" s="68"/>
    </row>
    <row r="107" spans="2:14" s="14" customFormat="1" x14ac:dyDescent="0.25">
      <c r="B107" s="195">
        <v>412</v>
      </c>
      <c r="C107" s="15" t="s">
        <v>86</v>
      </c>
      <c r="D107" s="16" t="s">
        <v>860</v>
      </c>
      <c r="E107" s="17">
        <v>42650</v>
      </c>
      <c r="F107" s="177">
        <v>690</v>
      </c>
      <c r="G107" s="7"/>
      <c r="H107" s="19">
        <f t="shared" si="5"/>
        <v>690</v>
      </c>
      <c r="I107" s="1"/>
    </row>
    <row r="108" spans="2:14" s="14" customFormat="1" x14ac:dyDescent="0.25">
      <c r="B108" s="195">
        <v>413</v>
      </c>
      <c r="C108" s="15" t="s">
        <v>86</v>
      </c>
      <c r="D108" s="16" t="s">
        <v>640</v>
      </c>
      <c r="E108" s="17">
        <v>42650</v>
      </c>
      <c r="F108" s="177">
        <v>590</v>
      </c>
      <c r="G108" s="7"/>
      <c r="H108" s="19">
        <f t="shared" si="5"/>
        <v>590</v>
      </c>
      <c r="I108" s="1"/>
    </row>
    <row r="109" spans="2:14" s="14" customFormat="1" x14ac:dyDescent="0.25">
      <c r="B109" s="195">
        <v>1127</v>
      </c>
      <c r="C109" s="15" t="s">
        <v>86</v>
      </c>
      <c r="D109" s="16" t="s">
        <v>865</v>
      </c>
      <c r="E109" s="17">
        <v>42654</v>
      </c>
      <c r="F109" s="179">
        <v>350</v>
      </c>
      <c r="G109" s="7"/>
      <c r="H109" s="19">
        <f t="shared" si="5"/>
        <v>350</v>
      </c>
      <c r="I109" s="1"/>
    </row>
    <row r="110" spans="2:14" x14ac:dyDescent="0.25">
      <c r="B110" s="195">
        <v>414</v>
      </c>
      <c r="C110" s="15" t="s">
        <v>86</v>
      </c>
      <c r="D110" s="16" t="s">
        <v>866</v>
      </c>
      <c r="E110" s="17">
        <v>42654</v>
      </c>
      <c r="F110" s="179">
        <v>490</v>
      </c>
      <c r="G110" s="7"/>
      <c r="H110" s="19">
        <f t="shared" si="5"/>
        <v>490</v>
      </c>
      <c r="J110" s="14"/>
      <c r="K110" s="14"/>
      <c r="L110" s="14"/>
      <c r="M110" s="14"/>
      <c r="N110" s="14"/>
    </row>
    <row r="111" spans="2:14" x14ac:dyDescent="0.25">
      <c r="B111" s="185">
        <v>415</v>
      </c>
      <c r="C111" s="21" t="s">
        <v>95</v>
      </c>
      <c r="D111" s="20" t="s">
        <v>669</v>
      </c>
      <c r="E111" s="28">
        <v>42654</v>
      </c>
      <c r="F111" s="177">
        <v>1240</v>
      </c>
      <c r="G111" s="7"/>
      <c r="H111" s="19">
        <f t="shared" si="5"/>
        <v>1240</v>
      </c>
      <c r="J111" s="14"/>
      <c r="K111" s="14"/>
      <c r="L111" s="14"/>
      <c r="M111" s="14"/>
      <c r="N111" s="14"/>
    </row>
    <row r="112" spans="2:14" x14ac:dyDescent="0.25">
      <c r="B112" s="185">
        <v>416</v>
      </c>
      <c r="C112" s="21" t="s">
        <v>95</v>
      </c>
      <c r="D112" s="20" t="s">
        <v>669</v>
      </c>
      <c r="E112" s="28">
        <v>42654</v>
      </c>
      <c r="F112" s="177">
        <v>1140</v>
      </c>
      <c r="G112" s="7"/>
      <c r="H112" s="19">
        <f t="shared" si="5"/>
        <v>1140</v>
      </c>
    </row>
    <row r="113" spans="2:10" x14ac:dyDescent="0.25">
      <c r="B113" s="185">
        <v>417</v>
      </c>
      <c r="C113" s="21" t="s">
        <v>86</v>
      </c>
      <c r="D113" s="20" t="s">
        <v>867</v>
      </c>
      <c r="E113" s="28">
        <v>42654</v>
      </c>
      <c r="F113" s="177">
        <v>969.9</v>
      </c>
      <c r="G113" s="7">
        <v>79.900000000000006</v>
      </c>
      <c r="H113" s="19">
        <f t="shared" si="5"/>
        <v>890</v>
      </c>
    </row>
    <row r="114" spans="2:10" x14ac:dyDescent="0.25">
      <c r="B114" s="185">
        <v>418</v>
      </c>
      <c r="C114" s="21" t="s">
        <v>86</v>
      </c>
      <c r="D114" s="20" t="s">
        <v>475</v>
      </c>
      <c r="E114" s="28">
        <v>42654</v>
      </c>
      <c r="F114" s="177">
        <v>1250</v>
      </c>
      <c r="G114" s="7"/>
      <c r="H114" s="19">
        <f t="shared" si="5"/>
        <v>1250</v>
      </c>
      <c r="J114" s="54"/>
    </row>
    <row r="115" spans="2:10" x14ac:dyDescent="0.25">
      <c r="B115" s="185">
        <v>419</v>
      </c>
      <c r="C115" s="21" t="s">
        <v>86</v>
      </c>
      <c r="D115" s="20" t="s">
        <v>392</v>
      </c>
      <c r="E115" s="28">
        <v>42654</v>
      </c>
      <c r="F115" s="177">
        <v>790</v>
      </c>
      <c r="G115" s="7"/>
      <c r="H115" s="19">
        <f t="shared" si="5"/>
        <v>790</v>
      </c>
      <c r="J115" s="54"/>
    </row>
    <row r="116" spans="2:10" x14ac:dyDescent="0.25">
      <c r="B116" s="185">
        <v>420</v>
      </c>
      <c r="C116" s="21" t="s">
        <v>86</v>
      </c>
      <c r="D116" s="20" t="s">
        <v>648</v>
      </c>
      <c r="E116" s="28">
        <v>42654</v>
      </c>
      <c r="F116" s="177">
        <v>590</v>
      </c>
      <c r="G116" s="7"/>
      <c r="H116" s="19">
        <f t="shared" si="5"/>
        <v>590</v>
      </c>
      <c r="J116" s="54"/>
    </row>
    <row r="117" spans="2:10" x14ac:dyDescent="0.25">
      <c r="B117" s="185">
        <v>421</v>
      </c>
      <c r="C117" s="21" t="s">
        <v>86</v>
      </c>
      <c r="D117" s="20" t="s">
        <v>392</v>
      </c>
      <c r="E117" s="28">
        <v>42654</v>
      </c>
      <c r="F117" s="177">
        <v>490</v>
      </c>
      <c r="G117" s="7"/>
      <c r="H117" s="19">
        <f t="shared" si="5"/>
        <v>490</v>
      </c>
      <c r="J117" s="54"/>
    </row>
    <row r="118" spans="2:10" x14ac:dyDescent="0.25">
      <c r="B118" s="185">
        <v>422</v>
      </c>
      <c r="C118" s="21" t="s">
        <v>86</v>
      </c>
      <c r="D118" s="20" t="s">
        <v>764</v>
      </c>
      <c r="E118" s="28">
        <v>42654</v>
      </c>
      <c r="F118" s="177">
        <v>590</v>
      </c>
      <c r="G118" s="7"/>
      <c r="H118" s="19">
        <f t="shared" si="5"/>
        <v>590</v>
      </c>
      <c r="J118" s="54"/>
    </row>
    <row r="119" spans="2:10" x14ac:dyDescent="0.25">
      <c r="B119" s="195">
        <v>423</v>
      </c>
      <c r="C119" s="15" t="s">
        <v>86</v>
      </c>
      <c r="D119" s="16" t="s">
        <v>152</v>
      </c>
      <c r="E119" s="17">
        <v>42657</v>
      </c>
      <c r="F119" s="179">
        <v>11233.32</v>
      </c>
      <c r="G119" s="7"/>
      <c r="H119" s="19">
        <f t="shared" si="5"/>
        <v>11233.32</v>
      </c>
      <c r="J119" s="54"/>
    </row>
    <row r="120" spans="2:10" x14ac:dyDescent="0.25">
      <c r="B120" s="185">
        <v>425</v>
      </c>
      <c r="C120" s="21" t="s">
        <v>95</v>
      </c>
      <c r="D120" s="20" t="s">
        <v>871</v>
      </c>
      <c r="E120" s="28">
        <v>42663</v>
      </c>
      <c r="F120" s="177">
        <v>1780</v>
      </c>
      <c r="G120" s="7"/>
      <c r="H120" s="19">
        <f t="shared" si="5"/>
        <v>1780</v>
      </c>
      <c r="J120" s="54"/>
    </row>
    <row r="121" spans="2:10" x14ac:dyDescent="0.25">
      <c r="B121" s="185">
        <v>427</v>
      </c>
      <c r="C121" s="21" t="s">
        <v>86</v>
      </c>
      <c r="D121" s="20" t="s">
        <v>872</v>
      </c>
      <c r="E121" s="28">
        <v>42663</v>
      </c>
      <c r="F121" s="6">
        <v>490</v>
      </c>
      <c r="G121" s="7"/>
      <c r="H121" s="19">
        <f t="shared" si="5"/>
        <v>490</v>
      </c>
      <c r="J121" s="54"/>
    </row>
    <row r="122" spans="2:10" x14ac:dyDescent="0.25">
      <c r="B122" s="185">
        <v>428</v>
      </c>
      <c r="C122" s="21" t="s">
        <v>84</v>
      </c>
      <c r="D122" s="20" t="s">
        <v>873</v>
      </c>
      <c r="E122" s="28">
        <v>42663</v>
      </c>
      <c r="F122" s="177">
        <v>290</v>
      </c>
      <c r="G122" s="7"/>
      <c r="H122" s="19">
        <f t="shared" si="5"/>
        <v>290</v>
      </c>
      <c r="J122" s="54"/>
    </row>
    <row r="123" spans="2:10" x14ac:dyDescent="0.25">
      <c r="B123" s="185">
        <v>429</v>
      </c>
      <c r="C123" s="21" t="s">
        <v>84</v>
      </c>
      <c r="D123" s="20" t="s">
        <v>874</v>
      </c>
      <c r="E123" s="28">
        <v>42663</v>
      </c>
      <c r="F123" s="177">
        <v>290</v>
      </c>
      <c r="G123" s="7"/>
      <c r="H123" s="19">
        <f t="shared" si="5"/>
        <v>290</v>
      </c>
      <c r="J123" s="54"/>
    </row>
    <row r="124" spans="2:10" x14ac:dyDescent="0.25">
      <c r="B124" s="185">
        <v>430</v>
      </c>
      <c r="C124" s="21" t="s">
        <v>95</v>
      </c>
      <c r="D124" s="20" t="s">
        <v>392</v>
      </c>
      <c r="E124" s="28">
        <v>42663</v>
      </c>
      <c r="F124" s="177">
        <v>590</v>
      </c>
      <c r="G124" s="7"/>
      <c r="H124" s="19">
        <f t="shared" si="5"/>
        <v>590</v>
      </c>
      <c r="J124" s="54"/>
    </row>
    <row r="125" spans="2:10" x14ac:dyDescent="0.25">
      <c r="B125" s="185">
        <v>431</v>
      </c>
      <c r="C125" s="21" t="s">
        <v>86</v>
      </c>
      <c r="D125" s="20" t="s">
        <v>583</v>
      </c>
      <c r="E125" s="28">
        <v>42664</v>
      </c>
      <c r="F125" s="177">
        <v>1490</v>
      </c>
      <c r="G125" s="7"/>
      <c r="H125" s="19">
        <f t="shared" si="5"/>
        <v>1490</v>
      </c>
      <c r="J125" s="54"/>
    </row>
    <row r="126" spans="2:10" x14ac:dyDescent="0.25">
      <c r="B126" s="185">
        <v>432</v>
      </c>
      <c r="C126" s="21" t="s">
        <v>86</v>
      </c>
      <c r="D126" s="20" t="s">
        <v>886</v>
      </c>
      <c r="E126" s="28">
        <v>42670</v>
      </c>
      <c r="F126" s="177">
        <v>490</v>
      </c>
      <c r="G126" s="7"/>
      <c r="H126" s="19">
        <f t="shared" si="5"/>
        <v>490</v>
      </c>
      <c r="J126" s="54"/>
    </row>
    <row r="127" spans="2:10" x14ac:dyDescent="0.25">
      <c r="B127" s="185">
        <v>433</v>
      </c>
      <c r="C127" s="21" t="s">
        <v>86</v>
      </c>
      <c r="D127" s="20" t="s">
        <v>887</v>
      </c>
      <c r="E127" s="28">
        <v>42670</v>
      </c>
      <c r="F127" s="177">
        <v>490</v>
      </c>
      <c r="G127" s="7"/>
      <c r="H127" s="19">
        <f t="shared" si="5"/>
        <v>490</v>
      </c>
      <c r="J127" s="54"/>
    </row>
    <row r="128" spans="2:10" x14ac:dyDescent="0.25">
      <c r="B128" s="195">
        <v>434</v>
      </c>
      <c r="C128" s="15" t="s">
        <v>95</v>
      </c>
      <c r="D128" s="16" t="s">
        <v>801</v>
      </c>
      <c r="E128" s="17">
        <v>42670</v>
      </c>
      <c r="F128" s="179">
        <v>990</v>
      </c>
      <c r="G128" s="7"/>
      <c r="H128" s="19">
        <f t="shared" si="5"/>
        <v>990</v>
      </c>
      <c r="J128" s="54"/>
    </row>
    <row r="129" spans="2:10" x14ac:dyDescent="0.25">
      <c r="B129" s="185">
        <v>435</v>
      </c>
      <c r="C129" s="21" t="s">
        <v>95</v>
      </c>
      <c r="D129" s="20" t="s">
        <v>392</v>
      </c>
      <c r="E129" s="28">
        <v>42670</v>
      </c>
      <c r="F129" s="177">
        <v>790</v>
      </c>
      <c r="G129" s="7"/>
      <c r="H129" s="19">
        <f t="shared" si="5"/>
        <v>790</v>
      </c>
      <c r="J129" s="54"/>
    </row>
    <row r="130" spans="2:10" x14ac:dyDescent="0.25">
      <c r="B130" s="185">
        <v>436</v>
      </c>
      <c r="C130" s="21" t="s">
        <v>95</v>
      </c>
      <c r="D130" s="20" t="s">
        <v>392</v>
      </c>
      <c r="E130" s="28">
        <v>42670</v>
      </c>
      <c r="F130" s="177">
        <v>590</v>
      </c>
      <c r="G130" s="7"/>
      <c r="H130" s="19">
        <f t="shared" si="5"/>
        <v>590</v>
      </c>
      <c r="J130" s="54"/>
    </row>
    <row r="131" spans="2:10" x14ac:dyDescent="0.25">
      <c r="B131" s="185">
        <v>437</v>
      </c>
      <c r="C131" s="21" t="s">
        <v>84</v>
      </c>
      <c r="D131" s="20" t="s">
        <v>888</v>
      </c>
      <c r="E131" s="28">
        <v>42671</v>
      </c>
      <c r="F131" s="6">
        <v>290</v>
      </c>
      <c r="G131" s="7"/>
      <c r="H131" s="19">
        <f t="shared" si="5"/>
        <v>290</v>
      </c>
      <c r="J131" s="54"/>
    </row>
    <row r="132" spans="2:10" x14ac:dyDescent="0.25">
      <c r="B132" s="185">
        <v>438</v>
      </c>
      <c r="C132" s="21" t="s">
        <v>86</v>
      </c>
      <c r="D132" s="20" t="s">
        <v>889</v>
      </c>
      <c r="E132" s="28">
        <v>42671</v>
      </c>
      <c r="F132" s="177">
        <v>990</v>
      </c>
      <c r="G132" s="7"/>
      <c r="H132" s="19">
        <f t="shared" si="5"/>
        <v>990</v>
      </c>
      <c r="J132" s="54"/>
    </row>
    <row r="133" spans="2:10" x14ac:dyDescent="0.25">
      <c r="B133" s="185">
        <v>439</v>
      </c>
      <c r="C133" s="21" t="s">
        <v>95</v>
      </c>
      <c r="D133" s="20" t="s">
        <v>667</v>
      </c>
      <c r="E133" s="28">
        <v>42671</v>
      </c>
      <c r="F133" s="177">
        <v>690</v>
      </c>
      <c r="G133" s="7"/>
      <c r="H133" s="19">
        <f t="shared" si="5"/>
        <v>690</v>
      </c>
      <c r="J133" s="54"/>
    </row>
    <row r="134" spans="2:10" x14ac:dyDescent="0.25">
      <c r="B134" s="185">
        <v>441</v>
      </c>
      <c r="C134" s="21" t="s">
        <v>86</v>
      </c>
      <c r="D134" s="20" t="s">
        <v>884</v>
      </c>
      <c r="E134" s="28">
        <v>42674</v>
      </c>
      <c r="F134" s="177">
        <v>790</v>
      </c>
      <c r="G134" s="7"/>
      <c r="H134" s="19">
        <f t="shared" si="5"/>
        <v>790</v>
      </c>
      <c r="J134" s="54"/>
    </row>
    <row r="135" spans="2:10" x14ac:dyDescent="0.25">
      <c r="B135" s="185" t="s">
        <v>83</v>
      </c>
      <c r="C135" s="21" t="s">
        <v>84</v>
      </c>
      <c r="D135" s="20" t="s">
        <v>894</v>
      </c>
      <c r="E135" s="28">
        <v>42674</v>
      </c>
      <c r="F135" s="177">
        <v>290</v>
      </c>
      <c r="G135" s="7"/>
      <c r="H135" s="19">
        <f t="shared" si="5"/>
        <v>290</v>
      </c>
      <c r="J135" s="54"/>
    </row>
    <row r="136" spans="2:10" x14ac:dyDescent="0.25">
      <c r="B136" s="185">
        <v>442</v>
      </c>
      <c r="C136" s="21" t="s">
        <v>86</v>
      </c>
      <c r="D136" s="20" t="s">
        <v>897</v>
      </c>
      <c r="E136" s="28">
        <v>42674</v>
      </c>
      <c r="F136" s="177">
        <v>890</v>
      </c>
      <c r="G136" s="7"/>
      <c r="H136" s="19">
        <f t="shared" si="5"/>
        <v>890</v>
      </c>
      <c r="J136" s="54"/>
    </row>
    <row r="137" spans="2:10" x14ac:dyDescent="0.25">
      <c r="B137" s="185">
        <v>443</v>
      </c>
      <c r="C137" s="21" t="s">
        <v>95</v>
      </c>
      <c r="D137" s="20" t="s">
        <v>898</v>
      </c>
      <c r="E137" s="28">
        <v>42674</v>
      </c>
      <c r="F137" s="177">
        <v>490</v>
      </c>
      <c r="G137" s="7"/>
      <c r="H137" s="19">
        <f t="shared" si="5"/>
        <v>490</v>
      </c>
      <c r="J137" s="54"/>
    </row>
    <row r="138" spans="2:10" x14ac:dyDescent="0.25">
      <c r="B138" s="185">
        <v>444</v>
      </c>
      <c r="C138" s="21" t="s">
        <v>86</v>
      </c>
      <c r="D138" s="20" t="s">
        <v>899</v>
      </c>
      <c r="E138" s="28">
        <v>42674</v>
      </c>
      <c r="F138" s="177">
        <v>490</v>
      </c>
      <c r="G138" s="7"/>
      <c r="H138" s="19">
        <f t="shared" si="5"/>
        <v>490</v>
      </c>
      <c r="J138" s="54"/>
    </row>
    <row r="139" spans="2:10" x14ac:dyDescent="0.25">
      <c r="B139" s="185">
        <v>445</v>
      </c>
      <c r="C139" s="21" t="s">
        <v>86</v>
      </c>
      <c r="D139" s="20" t="s">
        <v>900</v>
      </c>
      <c r="E139" s="28">
        <v>42674</v>
      </c>
      <c r="F139" s="177">
        <v>980</v>
      </c>
      <c r="G139" s="7"/>
      <c r="H139" s="19">
        <f t="shared" si="5"/>
        <v>980</v>
      </c>
      <c r="J139" s="54"/>
    </row>
    <row r="140" spans="2:10" x14ac:dyDescent="0.25">
      <c r="B140" s="185">
        <v>446</v>
      </c>
      <c r="C140" s="21" t="s">
        <v>86</v>
      </c>
      <c r="D140" s="20" t="s">
        <v>786</v>
      </c>
      <c r="E140" s="28">
        <v>42674</v>
      </c>
      <c r="F140" s="177">
        <v>490</v>
      </c>
      <c r="G140" s="7"/>
      <c r="H140" s="19">
        <f t="shared" si="5"/>
        <v>490</v>
      </c>
      <c r="J140" s="54"/>
    </row>
    <row r="141" spans="2:10" x14ac:dyDescent="0.25">
      <c r="B141" s="185">
        <v>447</v>
      </c>
      <c r="C141" s="21" t="s">
        <v>84</v>
      </c>
      <c r="D141" s="20" t="s">
        <v>901</v>
      </c>
      <c r="E141" s="28">
        <v>42674</v>
      </c>
      <c r="F141" s="177">
        <v>290</v>
      </c>
      <c r="G141" s="7"/>
      <c r="H141" s="19">
        <f t="shared" si="5"/>
        <v>290</v>
      </c>
      <c r="J141" s="54"/>
    </row>
    <row r="142" spans="2:10" x14ac:dyDescent="0.25">
      <c r="B142" s="185">
        <v>448</v>
      </c>
      <c r="C142" s="21" t="s">
        <v>84</v>
      </c>
      <c r="D142" s="20" t="s">
        <v>902</v>
      </c>
      <c r="E142" s="28">
        <v>42674</v>
      </c>
      <c r="F142" s="177">
        <v>290</v>
      </c>
      <c r="G142" s="7"/>
      <c r="H142" s="19">
        <f t="shared" si="5"/>
        <v>290</v>
      </c>
      <c r="J142" s="54"/>
    </row>
    <row r="143" spans="2:10" x14ac:dyDescent="0.25">
      <c r="B143" s="185"/>
      <c r="C143" s="21"/>
      <c r="D143" s="20"/>
      <c r="E143" s="28"/>
      <c r="F143" s="177"/>
      <c r="G143" s="7"/>
      <c r="H143" s="19">
        <f t="shared" si="5"/>
        <v>0</v>
      </c>
      <c r="J143" s="54"/>
    </row>
    <row r="144" spans="2:10" x14ac:dyDescent="0.25">
      <c r="B144" s="185"/>
      <c r="C144" s="21"/>
      <c r="D144" s="20"/>
      <c r="E144" s="28"/>
      <c r="F144" s="177"/>
      <c r="G144" s="7"/>
      <c r="H144" s="19">
        <f t="shared" si="5"/>
        <v>0</v>
      </c>
      <c r="J144" s="54"/>
    </row>
    <row r="145" spans="2:10" x14ac:dyDescent="0.25">
      <c r="B145" s="185"/>
      <c r="C145" s="21"/>
      <c r="D145" s="20"/>
      <c r="E145" s="28"/>
      <c r="F145" s="177"/>
      <c r="G145" s="7"/>
      <c r="H145" s="19">
        <f t="shared" si="5"/>
        <v>0</v>
      </c>
      <c r="J145" s="54"/>
    </row>
    <row r="146" spans="2:10" x14ac:dyDescent="0.25">
      <c r="B146" s="185"/>
      <c r="C146" s="21"/>
      <c r="D146" s="20"/>
      <c r="E146" s="28"/>
      <c r="F146" s="177"/>
      <c r="G146" s="7"/>
      <c r="H146" s="19">
        <f t="shared" si="5"/>
        <v>0</v>
      </c>
      <c r="J146" s="54"/>
    </row>
    <row r="147" spans="2:10" x14ac:dyDescent="0.25">
      <c r="B147" s="185"/>
      <c r="C147" s="21"/>
      <c r="D147" s="20"/>
      <c r="E147" s="28"/>
      <c r="F147" s="177"/>
      <c r="G147" s="7"/>
      <c r="H147" s="19">
        <f t="shared" si="5"/>
        <v>0</v>
      </c>
      <c r="J147" s="54"/>
    </row>
    <row r="148" spans="2:10" x14ac:dyDescent="0.25">
      <c r="B148" s="185"/>
      <c r="C148" s="21"/>
      <c r="D148" s="20"/>
      <c r="E148" s="28"/>
      <c r="F148" s="6"/>
      <c r="G148" s="7"/>
      <c r="H148" s="19">
        <f t="shared" si="5"/>
        <v>0</v>
      </c>
    </row>
    <row r="149" spans="2:10" x14ac:dyDescent="0.25">
      <c r="B149" s="185"/>
      <c r="C149" s="21"/>
      <c r="D149" s="20"/>
      <c r="E149" s="28"/>
      <c r="F149" s="6"/>
      <c r="G149" s="7"/>
      <c r="H149" s="19">
        <f t="shared" si="5"/>
        <v>0</v>
      </c>
    </row>
    <row r="150" spans="2:10" x14ac:dyDescent="0.25">
      <c r="B150" s="185"/>
      <c r="C150" s="21"/>
      <c r="D150" s="21"/>
      <c r="E150" s="28"/>
      <c r="F150" s="6"/>
      <c r="G150" s="7"/>
      <c r="H150" s="19">
        <f t="shared" si="5"/>
        <v>0</v>
      </c>
    </row>
    <row r="151" spans="2:10" x14ac:dyDescent="0.25">
      <c r="B151" s="185"/>
      <c r="C151" s="21"/>
      <c r="D151" s="20"/>
      <c r="E151" s="28"/>
      <c r="F151" s="6"/>
      <c r="G151" s="7"/>
      <c r="H151" s="19">
        <f t="shared" si="5"/>
        <v>0</v>
      </c>
    </row>
    <row r="152" spans="2:10" x14ac:dyDescent="0.25">
      <c r="B152" s="185"/>
      <c r="C152" s="21"/>
      <c r="D152" s="20"/>
      <c r="E152" s="28"/>
      <c r="F152" s="6"/>
      <c r="G152" s="7"/>
      <c r="H152" s="19">
        <f t="shared" si="5"/>
        <v>0</v>
      </c>
    </row>
    <row r="153" spans="2:10" x14ac:dyDescent="0.25">
      <c r="B153" s="185"/>
      <c r="C153" s="21"/>
      <c r="D153" s="20"/>
      <c r="E153" s="28"/>
      <c r="F153" s="6"/>
      <c r="G153" s="7"/>
      <c r="H153" s="19">
        <f t="shared" si="5"/>
        <v>0</v>
      </c>
    </row>
    <row r="154" spans="2:10" x14ac:dyDescent="0.25">
      <c r="B154" s="185"/>
      <c r="C154" s="21"/>
      <c r="D154" s="20"/>
      <c r="E154" s="28"/>
      <c r="F154" s="6"/>
      <c r="G154" s="7"/>
      <c r="H154" s="19">
        <f t="shared" si="5"/>
        <v>0</v>
      </c>
    </row>
    <row r="155" spans="2:10" x14ac:dyDescent="0.25">
      <c r="B155" s="185"/>
      <c r="C155" s="21"/>
      <c r="D155" s="20"/>
      <c r="E155" s="28"/>
      <c r="F155" s="6"/>
      <c r="G155" s="7"/>
      <c r="H155" s="19">
        <f t="shared" si="5"/>
        <v>0</v>
      </c>
    </row>
    <row r="156" spans="2:10" x14ac:dyDescent="0.25">
      <c r="B156" s="185"/>
      <c r="C156" s="21"/>
      <c r="D156" s="20"/>
      <c r="E156" s="28"/>
      <c r="F156" s="6"/>
      <c r="G156" s="7"/>
      <c r="H156" s="19">
        <f t="shared" si="5"/>
        <v>0</v>
      </c>
    </row>
    <row r="157" spans="2:10" x14ac:dyDescent="0.25">
      <c r="B157" s="185"/>
      <c r="C157" s="21"/>
      <c r="D157" s="20"/>
      <c r="E157" s="28"/>
      <c r="F157" s="6"/>
      <c r="G157" s="7"/>
      <c r="H157" s="19">
        <f t="shared" si="5"/>
        <v>0</v>
      </c>
    </row>
    <row r="158" spans="2:10" x14ac:dyDescent="0.25">
      <c r="B158" s="185"/>
      <c r="C158" s="21"/>
      <c r="D158" s="20"/>
      <c r="E158" s="28"/>
      <c r="F158" s="6"/>
      <c r="G158" s="7"/>
      <c r="H158" s="19">
        <f t="shared" si="5"/>
        <v>0</v>
      </c>
    </row>
    <row r="159" spans="2:10" x14ac:dyDescent="0.25">
      <c r="B159" s="185"/>
      <c r="C159" s="21"/>
      <c r="D159" s="20"/>
      <c r="E159" s="28"/>
      <c r="F159" s="6"/>
      <c r="G159" s="7"/>
      <c r="H159" s="19">
        <f t="shared" si="5"/>
        <v>0</v>
      </c>
    </row>
    <row r="160" spans="2:10" x14ac:dyDescent="0.25">
      <c r="B160" s="185"/>
      <c r="C160" s="21"/>
      <c r="D160" s="20"/>
      <c r="E160" s="28"/>
      <c r="F160" s="6"/>
      <c r="G160" s="7"/>
      <c r="H160" s="19">
        <f t="shared" si="5"/>
        <v>0</v>
      </c>
    </row>
    <row r="161" spans="2:9" x14ac:dyDescent="0.25">
      <c r="B161" s="185"/>
      <c r="C161" s="21"/>
      <c r="D161" s="20"/>
      <c r="E161" s="28"/>
      <c r="F161" s="6"/>
      <c r="G161" s="7"/>
      <c r="H161" s="19">
        <f t="shared" si="5"/>
        <v>0</v>
      </c>
    </row>
    <row r="162" spans="2:9" x14ac:dyDescent="0.25">
      <c r="B162" s="185"/>
      <c r="C162" s="21"/>
      <c r="D162" s="20"/>
      <c r="E162" s="28"/>
      <c r="F162" s="6"/>
      <c r="G162" s="7"/>
      <c r="H162" s="19">
        <f t="shared" si="5"/>
        <v>0</v>
      </c>
    </row>
    <row r="163" spans="2:9" x14ac:dyDescent="0.25">
      <c r="B163" s="185"/>
      <c r="C163" s="21"/>
      <c r="D163" s="20"/>
      <c r="E163" s="28"/>
      <c r="F163" s="6"/>
      <c r="G163" s="7"/>
      <c r="H163" s="19">
        <f t="shared" si="5"/>
        <v>0</v>
      </c>
    </row>
    <row r="164" spans="2:9" x14ac:dyDescent="0.25">
      <c r="B164" s="185"/>
      <c r="C164" s="21"/>
      <c r="D164" s="20"/>
      <c r="E164" s="28"/>
      <c r="F164" s="6"/>
      <c r="G164" s="7"/>
      <c r="H164" s="19">
        <f t="shared" si="5"/>
        <v>0</v>
      </c>
    </row>
    <row r="165" spans="2:9" x14ac:dyDescent="0.25">
      <c r="B165" s="185"/>
      <c r="C165" s="21"/>
      <c r="D165" s="20"/>
      <c r="E165" s="28"/>
      <c r="F165" s="6"/>
      <c r="G165" s="7"/>
      <c r="H165" s="19">
        <f t="shared" si="5"/>
        <v>0</v>
      </c>
    </row>
    <row r="166" spans="2:9" x14ac:dyDescent="0.25">
      <c r="B166" s="185"/>
      <c r="C166" s="21"/>
      <c r="D166" s="20"/>
      <c r="E166" s="28"/>
      <c r="F166" s="6"/>
      <c r="G166" s="7"/>
      <c r="H166" s="19">
        <f t="shared" si="5"/>
        <v>0</v>
      </c>
    </row>
    <row r="167" spans="2:9" x14ac:dyDescent="0.25">
      <c r="B167" s="185"/>
      <c r="C167" s="21"/>
      <c r="D167" s="20"/>
      <c r="E167" s="28"/>
      <c r="F167" s="6"/>
      <c r="G167" s="7"/>
      <c r="H167" s="19">
        <f t="shared" si="5"/>
        <v>0</v>
      </c>
    </row>
    <row r="168" spans="2:9" ht="15" thickBot="1" x14ac:dyDescent="0.3">
      <c r="B168" s="185"/>
      <c r="C168" s="21"/>
      <c r="D168" s="20"/>
      <c r="E168" s="28"/>
      <c r="F168" s="6"/>
      <c r="G168" s="7"/>
      <c r="H168" s="19">
        <f t="shared" si="5"/>
        <v>0</v>
      </c>
    </row>
    <row r="169" spans="2:9" ht="15" thickBot="1" x14ac:dyDescent="0.3">
      <c r="E169" s="70"/>
      <c r="F169" s="62">
        <f>SUM(F104:F168)</f>
        <v>37233.22</v>
      </c>
      <c r="G169" s="36"/>
      <c r="H169" s="63">
        <f>SUM(H104:H168)</f>
        <v>37153.32</v>
      </c>
    </row>
    <row r="170" spans="2:9" x14ac:dyDescent="0.25">
      <c r="E170" s="38" t="s">
        <v>8</v>
      </c>
      <c r="F170" s="39">
        <f>TOTAL!L11</f>
        <v>45000</v>
      </c>
      <c r="G170" s="40" t="s">
        <v>16</v>
      </c>
      <c r="H170" s="71">
        <f>H169/F170%</f>
        <v>82.562933333333334</v>
      </c>
      <c r="I170" s="58" t="s">
        <v>10</v>
      </c>
    </row>
    <row r="171" spans="2:9" x14ac:dyDescent="0.25">
      <c r="E171" s="38"/>
      <c r="F171" s="39"/>
      <c r="G171" s="40"/>
      <c r="H171" s="71"/>
      <c r="I171" s="58"/>
    </row>
    <row r="172" spans="2:9" x14ac:dyDescent="0.25">
      <c r="E172" s="38"/>
      <c r="F172" s="39"/>
      <c r="G172" s="40"/>
      <c r="H172" s="71"/>
      <c r="I172" s="58"/>
    </row>
    <row r="173" spans="2:9" ht="15" thickBot="1" x14ac:dyDescent="0.3">
      <c r="E173" s="38"/>
      <c r="F173" s="39"/>
      <c r="G173" s="40"/>
      <c r="H173" s="71"/>
      <c r="I173" s="58"/>
    </row>
    <row r="174" spans="2:9" ht="18.75" thickTop="1" x14ac:dyDescent="0.25">
      <c r="B174" s="207" t="s">
        <v>150</v>
      </c>
      <c r="C174" s="76"/>
      <c r="D174" s="83"/>
      <c r="E174" s="77"/>
      <c r="F174" s="77"/>
      <c r="G174" s="77"/>
      <c r="H174" s="77"/>
      <c r="I174" s="58"/>
    </row>
    <row r="175" spans="2:9" x14ac:dyDescent="0.25">
      <c r="B175" s="199" t="s">
        <v>1</v>
      </c>
      <c r="C175" s="9" t="s">
        <v>2</v>
      </c>
      <c r="D175" s="10" t="s">
        <v>3</v>
      </c>
      <c r="E175" s="263" t="s">
        <v>4</v>
      </c>
      <c r="F175" s="12" t="s">
        <v>5</v>
      </c>
      <c r="G175" s="7" t="s">
        <v>12</v>
      </c>
      <c r="H175" s="13" t="s">
        <v>7</v>
      </c>
      <c r="I175" s="58"/>
    </row>
    <row r="176" spans="2:9" x14ac:dyDescent="0.25">
      <c r="B176" s="182">
        <v>410</v>
      </c>
      <c r="C176" s="182" t="s">
        <v>151</v>
      </c>
      <c r="D176" s="183" t="s">
        <v>152</v>
      </c>
      <c r="E176" s="178">
        <v>42649</v>
      </c>
      <c r="F176" s="177">
        <v>36631.42</v>
      </c>
      <c r="G176" s="175"/>
      <c r="H176" s="19">
        <f t="shared" ref="H176:H179" si="6">F176-G176</f>
        <v>36631.42</v>
      </c>
      <c r="I176" s="58"/>
    </row>
    <row r="177" spans="2:14" x14ac:dyDescent="0.25">
      <c r="B177" s="182">
        <v>424</v>
      </c>
      <c r="C177" s="182" t="s">
        <v>151</v>
      </c>
      <c r="D177" s="183" t="s">
        <v>152</v>
      </c>
      <c r="E177" s="178">
        <v>42663</v>
      </c>
      <c r="F177" s="177">
        <v>31238.04</v>
      </c>
      <c r="G177" s="175"/>
      <c r="H177" s="19">
        <f t="shared" si="6"/>
        <v>31238.04</v>
      </c>
      <c r="I177" s="58"/>
    </row>
    <row r="178" spans="2:14" x14ac:dyDescent="0.25">
      <c r="B178" s="182"/>
      <c r="C178" s="29"/>
      <c r="D178" s="30"/>
      <c r="E178" s="31"/>
      <c r="F178" s="6"/>
      <c r="G178" s="7"/>
      <c r="H178" s="19">
        <f t="shared" si="6"/>
        <v>0</v>
      </c>
      <c r="I178" s="58"/>
    </row>
    <row r="179" spans="2:14" ht="15" thickBot="1" x14ac:dyDescent="0.3">
      <c r="B179" s="182"/>
      <c r="C179" s="29"/>
      <c r="D179" s="30"/>
      <c r="E179" s="31"/>
      <c r="F179" s="6"/>
      <c r="G179" s="7"/>
      <c r="H179" s="19">
        <f t="shared" si="6"/>
        <v>0</v>
      </c>
      <c r="I179" s="58"/>
    </row>
    <row r="180" spans="2:14" ht="15" thickBot="1" x14ac:dyDescent="0.3">
      <c r="B180" s="182"/>
      <c r="C180" s="29"/>
      <c r="D180" s="30"/>
      <c r="E180" s="31"/>
      <c r="F180" s="35"/>
      <c r="G180" s="36"/>
      <c r="H180" s="37">
        <f>SUM(H176:H179)</f>
        <v>67869.459999999992</v>
      </c>
      <c r="I180" s="58"/>
    </row>
    <row r="181" spans="2:14" x14ac:dyDescent="0.25">
      <c r="E181" s="38"/>
      <c r="F181" s="39"/>
      <c r="G181" s="40"/>
      <c r="H181" s="71"/>
      <c r="I181" s="58"/>
    </row>
    <row r="182" spans="2:14" ht="15" thickBot="1" x14ac:dyDescent="0.3">
      <c r="B182" s="206"/>
      <c r="C182" s="79"/>
      <c r="D182" s="80"/>
      <c r="E182" s="81"/>
      <c r="F182" s="82"/>
      <c r="G182" s="7"/>
      <c r="H182" s="74"/>
    </row>
    <row r="183" spans="2:14" ht="18.75" thickTop="1" x14ac:dyDescent="0.25">
      <c r="B183" s="207" t="s">
        <v>44</v>
      </c>
      <c r="C183" s="76"/>
      <c r="D183" s="83"/>
      <c r="E183" s="77"/>
      <c r="F183" s="84"/>
      <c r="G183" s="78"/>
      <c r="H183" s="50"/>
      <c r="J183" s="14"/>
    </row>
    <row r="184" spans="2:14" x14ac:dyDescent="0.25">
      <c r="B184" s="199" t="s">
        <v>1</v>
      </c>
      <c r="C184" s="9" t="s">
        <v>2</v>
      </c>
      <c r="D184" s="10" t="s">
        <v>3</v>
      </c>
      <c r="E184" s="11" t="s">
        <v>4</v>
      </c>
      <c r="F184" s="12" t="s">
        <v>5</v>
      </c>
      <c r="G184" s="7" t="s">
        <v>12</v>
      </c>
      <c r="H184" s="13" t="s">
        <v>7</v>
      </c>
    </row>
    <row r="185" spans="2:14" s="14" customFormat="1" x14ac:dyDescent="0.25">
      <c r="B185" s="195">
        <v>1522</v>
      </c>
      <c r="C185" s="15" t="s">
        <v>102</v>
      </c>
      <c r="D185" s="16" t="s">
        <v>856</v>
      </c>
      <c r="E185" s="17">
        <v>42648</v>
      </c>
      <c r="F185" s="179">
        <v>374</v>
      </c>
      <c r="G185" s="7">
        <v>24</v>
      </c>
      <c r="H185" s="19">
        <f t="shared" ref="H185:H192" si="7">F185-G185</f>
        <v>350</v>
      </c>
      <c r="I185" s="1"/>
      <c r="J185" s="1"/>
      <c r="K185" s="1"/>
      <c r="L185" s="1"/>
      <c r="M185" s="1"/>
      <c r="N185" s="1"/>
    </row>
    <row r="186" spans="2:14" s="14" customFormat="1" x14ac:dyDescent="0.25">
      <c r="B186" s="185" t="s">
        <v>83</v>
      </c>
      <c r="C186" s="21" t="s">
        <v>102</v>
      </c>
      <c r="D186" s="20" t="s">
        <v>863</v>
      </c>
      <c r="E186" s="28">
        <v>42650</v>
      </c>
      <c r="F186" s="177">
        <v>60</v>
      </c>
      <c r="G186" s="7"/>
      <c r="H186" s="19">
        <f t="shared" si="7"/>
        <v>60</v>
      </c>
      <c r="I186" s="1"/>
      <c r="J186" s="1"/>
      <c r="K186" s="1"/>
      <c r="L186" s="1"/>
      <c r="M186" s="1"/>
      <c r="N186" s="1"/>
    </row>
    <row r="187" spans="2:14" s="14" customFormat="1" x14ac:dyDescent="0.25">
      <c r="B187" s="185">
        <v>1527</v>
      </c>
      <c r="C187" s="21" t="s">
        <v>102</v>
      </c>
      <c r="D187" s="20" t="s">
        <v>394</v>
      </c>
      <c r="E187" s="28">
        <v>42653</v>
      </c>
      <c r="F187" s="177">
        <v>350</v>
      </c>
      <c r="G187" s="7"/>
      <c r="H187" s="19">
        <f t="shared" si="7"/>
        <v>350</v>
      </c>
      <c r="I187" s="1"/>
      <c r="J187" s="1"/>
    </row>
    <row r="188" spans="2:14" s="14" customFormat="1" x14ac:dyDescent="0.25">
      <c r="B188" s="185">
        <v>1536</v>
      </c>
      <c r="C188" s="21" t="s">
        <v>102</v>
      </c>
      <c r="D188" s="20" t="s">
        <v>364</v>
      </c>
      <c r="E188" s="28">
        <v>42664</v>
      </c>
      <c r="F188" s="6">
        <v>388</v>
      </c>
      <c r="G188" s="7">
        <v>38</v>
      </c>
      <c r="H188" s="19">
        <f t="shared" si="7"/>
        <v>350</v>
      </c>
      <c r="I188" s="58"/>
      <c r="J188" s="54"/>
    </row>
    <row r="189" spans="2:14" s="14" customFormat="1" x14ac:dyDescent="0.25">
      <c r="B189" s="185">
        <v>1541</v>
      </c>
      <c r="C189" s="21" t="s">
        <v>102</v>
      </c>
      <c r="D189" s="20" t="s">
        <v>883</v>
      </c>
      <c r="E189" s="28">
        <v>42669</v>
      </c>
      <c r="F189" s="6">
        <v>350</v>
      </c>
      <c r="G189" s="7"/>
      <c r="H189" s="19">
        <f t="shared" si="7"/>
        <v>350</v>
      </c>
      <c r="J189" s="1"/>
    </row>
    <row r="190" spans="2:14" s="14" customFormat="1" x14ac:dyDescent="0.25">
      <c r="B190" s="194"/>
      <c r="C190" s="141"/>
      <c r="D190" s="141"/>
      <c r="E190" s="23"/>
      <c r="F190" s="6"/>
      <c r="G190" s="7"/>
      <c r="H190" s="19">
        <f t="shared" si="7"/>
        <v>0</v>
      </c>
      <c r="J190" s="54"/>
    </row>
    <row r="191" spans="2:14" s="14" customFormat="1" x14ac:dyDescent="0.25">
      <c r="B191" s="185"/>
      <c r="C191" s="21"/>
      <c r="D191" s="20"/>
      <c r="E191" s="28"/>
      <c r="F191" s="6"/>
      <c r="G191" s="7"/>
      <c r="H191" s="19">
        <f t="shared" si="7"/>
        <v>0</v>
      </c>
      <c r="J191" s="54"/>
    </row>
    <row r="192" spans="2:14" ht="15" thickBot="1" x14ac:dyDescent="0.3">
      <c r="B192" s="185"/>
      <c r="C192" s="21"/>
      <c r="D192" s="20"/>
      <c r="E192" s="28"/>
      <c r="F192" s="18"/>
      <c r="G192" s="7"/>
      <c r="H192" s="19">
        <f t="shared" si="7"/>
        <v>0</v>
      </c>
      <c r="I192" s="101">
        <f>SUM(H187,H169,H104,H72,H55,H44,H31)</f>
        <v>40369.39</v>
      </c>
      <c r="K192" s="14"/>
      <c r="L192" s="14"/>
      <c r="M192" s="14"/>
      <c r="N192" s="14"/>
    </row>
    <row r="193" spans="1:14" ht="15" thickBot="1" x14ac:dyDescent="0.3">
      <c r="B193" s="208"/>
      <c r="C193" s="85"/>
      <c r="D193" s="14"/>
      <c r="E193" s="86"/>
      <c r="F193" s="62">
        <f>SUM(F185:F192)</f>
        <v>1522</v>
      </c>
      <c r="G193" s="36">
        <f>SUM(G185:G192)</f>
        <v>62</v>
      </c>
      <c r="H193" s="63">
        <f>SUM(H185:H192)</f>
        <v>1460</v>
      </c>
      <c r="I193" s="14"/>
      <c r="K193" s="14"/>
      <c r="L193" s="14"/>
      <c r="M193" s="14"/>
      <c r="N193" s="14"/>
    </row>
    <row r="194" spans="1:14" x14ac:dyDescent="0.25">
      <c r="E194" s="38" t="s">
        <v>8</v>
      </c>
      <c r="F194" s="39">
        <f>TOTAL!L12</f>
        <v>4000</v>
      </c>
      <c r="G194" s="40" t="s">
        <v>16</v>
      </c>
      <c r="H194" s="71">
        <f>H193/F194%</f>
        <v>36.5</v>
      </c>
      <c r="I194" s="58" t="s">
        <v>10</v>
      </c>
    </row>
    <row r="195" spans="1:14" ht="15" thickBot="1" x14ac:dyDescent="0.3">
      <c r="B195" s="201"/>
      <c r="C195" s="3"/>
      <c r="D195" s="87"/>
      <c r="E195" s="88"/>
      <c r="F195" s="89"/>
      <c r="G195" s="90"/>
      <c r="H195" s="8"/>
      <c r="I195" s="14"/>
    </row>
    <row r="196" spans="1:14" ht="15" thickBot="1" x14ac:dyDescent="0.3">
      <c r="D196" s="288" t="s">
        <v>71</v>
      </c>
      <c r="E196" s="288"/>
      <c r="F196" s="288"/>
      <c r="G196" s="288"/>
      <c r="H196" s="91">
        <f>SUM(SUM(H3:H5)+SUM(H72:H73)+SUM(H104:H112))</f>
        <v>64129.53</v>
      </c>
      <c r="I196" s="14"/>
    </row>
    <row r="197" spans="1:14" ht="15" thickBot="1" x14ac:dyDescent="0.3">
      <c r="D197" s="285" t="s">
        <v>72</v>
      </c>
      <c r="E197" s="285"/>
      <c r="F197" s="285"/>
      <c r="G197" s="285"/>
      <c r="H197" s="92">
        <f>SUM(SUM(H6:H11)+SUM(H74:H76)+SUM(H113:H131))</f>
        <v>154971.94</v>
      </c>
      <c r="I197" s="14"/>
    </row>
    <row r="198" spans="1:14" ht="15" thickBot="1" x14ac:dyDescent="0.3">
      <c r="D198" s="286" t="s">
        <v>73</v>
      </c>
      <c r="E198" s="286"/>
      <c r="F198" s="286"/>
      <c r="G198" s="286"/>
      <c r="H198" s="93">
        <f>SUM(SUM(H12:H14)+SUM(H55:H57)+SUM(H77:H78)+SUM(H132:H133))</f>
        <v>65852.510000000009</v>
      </c>
      <c r="I198" s="14"/>
    </row>
    <row r="199" spans="1:14" ht="15" thickBot="1" x14ac:dyDescent="0.3">
      <c r="D199" s="287" t="s">
        <v>74</v>
      </c>
      <c r="E199" s="287"/>
      <c r="F199" s="287"/>
      <c r="G199" s="287"/>
      <c r="H199" s="94">
        <f>SUM(SUM(H15:H17)+SUM(H58:H63)+SUM(H134:H147)+SUM(H185:H187))</f>
        <v>174970.94</v>
      </c>
      <c r="I199" s="14"/>
    </row>
    <row r="200" spans="1:14" ht="15" thickBot="1" x14ac:dyDescent="0.3">
      <c r="D200" s="283" t="s">
        <v>75</v>
      </c>
      <c r="E200" s="283"/>
      <c r="F200" s="283"/>
      <c r="G200" s="283"/>
      <c r="H200" s="95">
        <f>SUM(SUM(H18:H23)+SUM(H44:H47)+SUM(H64)+SUM(H79:H86)+SUM(H148:H165)+SUM(H188:H190))</f>
        <v>52772.240000000005</v>
      </c>
      <c r="I200" s="14"/>
    </row>
    <row r="201" spans="1:14" ht="15" thickBot="1" x14ac:dyDescent="0.3">
      <c r="D201" s="96"/>
      <c r="E201" s="97"/>
      <c r="F201" s="98"/>
      <c r="G201" s="99"/>
      <c r="H201" s="100">
        <f>SUM(H196:H200)</f>
        <v>512697.16</v>
      </c>
      <c r="I201" s="101">
        <f>SUM(H26,H39,H50,H67,H99,H169,H193)</f>
        <v>529489.52999999991</v>
      </c>
    </row>
    <row r="202" spans="1:14" x14ac:dyDescent="0.25">
      <c r="B202" s="180"/>
      <c r="C202" s="1"/>
      <c r="E202" s="70"/>
    </row>
    <row r="207" spans="1:14" s="104" customFormat="1" x14ac:dyDescent="0.25">
      <c r="A207" s="1"/>
      <c r="B207" s="205"/>
      <c r="C207" s="69"/>
      <c r="D207" s="1"/>
      <c r="E207" s="70"/>
      <c r="F207" s="73"/>
      <c r="G207" s="103"/>
      <c r="I207" s="1"/>
      <c r="J207" s="1"/>
      <c r="K207" s="1"/>
      <c r="L207" s="1"/>
      <c r="M207" s="1"/>
      <c r="N207" s="1"/>
    </row>
    <row r="208" spans="1:14" x14ac:dyDescent="0.25">
      <c r="K208" s="104"/>
      <c r="L208" s="104"/>
      <c r="M208" s="104"/>
      <c r="N208" s="104"/>
    </row>
    <row r="214" spans="1:14" s="104" customFormat="1" x14ac:dyDescent="0.25">
      <c r="A214" s="1"/>
      <c r="B214" s="205"/>
      <c r="C214" s="69"/>
      <c r="D214" s="1"/>
      <c r="E214" s="70"/>
      <c r="F214" s="73"/>
      <c r="G214" s="103"/>
      <c r="I214" s="1"/>
      <c r="J214" s="1"/>
      <c r="K214" s="1"/>
      <c r="L214" s="1"/>
      <c r="M214" s="1"/>
      <c r="N214" s="1"/>
    </row>
    <row r="215" spans="1:14" x14ac:dyDescent="0.25">
      <c r="K215" s="104"/>
      <c r="L215" s="104"/>
      <c r="M215" s="104"/>
      <c r="N215" s="104"/>
    </row>
  </sheetData>
  <sortState ref="B3:G24">
    <sortCondition ref="E3:E24"/>
    <sortCondition ref="B3:B24"/>
  </sortState>
  <mergeCells count="6">
    <mergeCell ref="D200:G200"/>
    <mergeCell ref="J1:N1"/>
    <mergeCell ref="D196:G196"/>
    <mergeCell ref="D197:G197"/>
    <mergeCell ref="D198:G198"/>
    <mergeCell ref="D199:G199"/>
  </mergeCells>
  <phoneticPr fontId="38" type="noConversion"/>
  <pageMargins left="0.75" right="0.75" top="1" bottom="1" header="0.49212598499999999" footer="0.49212598499999999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1"/>
  <sheetViews>
    <sheetView showGridLines="0" tabSelected="1" zoomScale="85" workbookViewId="0"/>
  </sheetViews>
  <sheetFormatPr defaultRowHeight="14.25" x14ac:dyDescent="0.25"/>
  <cols>
    <col min="1" max="1" width="9.140625" style="1" customWidth="1"/>
    <col min="2" max="2" width="11.5703125" style="205" customWidth="1"/>
    <col min="3" max="3" width="22" style="69" customWidth="1"/>
    <col min="4" max="4" width="60.28515625" style="1" customWidth="1"/>
    <col min="5" max="5" width="18.7109375" style="72" customWidth="1"/>
    <col min="6" max="6" width="16.28515625" style="73" customWidth="1"/>
    <col min="7" max="7" width="16.5703125" style="103" customWidth="1"/>
    <col min="8" max="8" width="23.42578125" style="104" customWidth="1"/>
    <col min="9" max="9" width="37.42578125" style="1" customWidth="1"/>
    <col min="10" max="14" width="15.7109375" style="1" customWidth="1"/>
    <col min="15" max="16384" width="9.140625" style="1"/>
  </cols>
  <sheetData>
    <row r="1" spans="1:14" ht="18" x14ac:dyDescent="0.25">
      <c r="B1" s="198" t="s">
        <v>0</v>
      </c>
      <c r="C1" s="3"/>
      <c r="D1" s="4"/>
      <c r="E1" s="5"/>
      <c r="F1" s="6"/>
      <c r="G1" s="7"/>
      <c r="H1" s="8"/>
      <c r="J1" s="284" t="s">
        <v>43</v>
      </c>
      <c r="K1" s="284"/>
      <c r="L1" s="284"/>
      <c r="M1" s="284"/>
      <c r="N1" s="284"/>
    </row>
    <row r="2" spans="1:14" x14ac:dyDescent="0.25">
      <c r="B2" s="199" t="s">
        <v>1</v>
      </c>
      <c r="C2" s="9" t="s">
        <v>2</v>
      </c>
      <c r="D2" s="10" t="s">
        <v>3</v>
      </c>
      <c r="E2" s="11" t="s">
        <v>4</v>
      </c>
      <c r="F2" s="12" t="s">
        <v>5</v>
      </c>
      <c r="G2" s="7" t="s">
        <v>6</v>
      </c>
      <c r="H2" s="13" t="s">
        <v>7</v>
      </c>
      <c r="I2" s="187" t="s">
        <v>42</v>
      </c>
      <c r="J2" s="187" t="s">
        <v>50</v>
      </c>
      <c r="K2" s="187" t="s">
        <v>53</v>
      </c>
      <c r="L2" s="187" t="s">
        <v>51</v>
      </c>
      <c r="M2" s="187" t="s">
        <v>52</v>
      </c>
      <c r="N2" s="187" t="s">
        <v>54</v>
      </c>
    </row>
    <row r="3" spans="1:14" s="14" customFormat="1" x14ac:dyDescent="0.25">
      <c r="B3" s="261">
        <v>5088</v>
      </c>
      <c r="C3" s="185" t="s">
        <v>535</v>
      </c>
      <c r="D3" s="16" t="s">
        <v>829</v>
      </c>
      <c r="E3" s="17">
        <v>42675</v>
      </c>
      <c r="F3" s="18">
        <v>17500</v>
      </c>
      <c r="G3" s="7">
        <v>0</v>
      </c>
      <c r="H3" s="19">
        <f t="shared" ref="H3:H17" si="0">F3-G3</f>
        <v>17500</v>
      </c>
      <c r="I3" s="158" t="s">
        <v>919</v>
      </c>
      <c r="J3" s="146"/>
      <c r="K3" s="146"/>
      <c r="L3" s="146"/>
      <c r="M3" s="146"/>
      <c r="N3" s="146"/>
    </row>
    <row r="4" spans="1:14" s="14" customFormat="1" x14ac:dyDescent="0.25">
      <c r="A4" s="20"/>
      <c r="B4" s="221">
        <v>5089</v>
      </c>
      <c r="C4" s="21" t="s">
        <v>535</v>
      </c>
      <c r="D4" s="16" t="s">
        <v>907</v>
      </c>
      <c r="E4" s="17">
        <v>42675</v>
      </c>
      <c r="F4" s="6">
        <v>8900</v>
      </c>
      <c r="G4" s="7">
        <v>0</v>
      </c>
      <c r="H4" s="19">
        <f t="shared" si="0"/>
        <v>8900</v>
      </c>
      <c r="I4" s="158"/>
      <c r="J4" s="146"/>
      <c r="K4" s="146"/>
      <c r="L4" s="146"/>
      <c r="M4" s="146"/>
      <c r="N4" s="146"/>
    </row>
    <row r="5" spans="1:14" s="14" customFormat="1" x14ac:dyDescent="0.25">
      <c r="A5" s="20"/>
      <c r="B5" s="260">
        <v>5097</v>
      </c>
      <c r="C5" s="141" t="s">
        <v>535</v>
      </c>
      <c r="D5" s="141" t="s">
        <v>908</v>
      </c>
      <c r="E5" s="154">
        <v>42678</v>
      </c>
      <c r="F5" s="24">
        <v>19900</v>
      </c>
      <c r="G5" s="173">
        <v>0</v>
      </c>
      <c r="H5" s="19">
        <f t="shared" si="0"/>
        <v>19900</v>
      </c>
      <c r="I5" s="158"/>
      <c r="J5" s="146"/>
      <c r="K5" s="146"/>
      <c r="L5" s="146"/>
      <c r="M5" s="146"/>
      <c r="N5" s="146"/>
    </row>
    <row r="6" spans="1:14" s="14" customFormat="1" x14ac:dyDescent="0.25">
      <c r="A6" s="20"/>
      <c r="B6" s="261">
        <v>5099</v>
      </c>
      <c r="C6" s="15" t="s">
        <v>535</v>
      </c>
      <c r="D6" s="16" t="s">
        <v>914</v>
      </c>
      <c r="E6" s="17">
        <v>42678</v>
      </c>
      <c r="F6" s="18">
        <v>21000</v>
      </c>
      <c r="G6" s="7">
        <v>149.6</v>
      </c>
      <c r="H6" s="19">
        <f t="shared" si="0"/>
        <v>20850.400000000001</v>
      </c>
      <c r="I6" s="158" t="s">
        <v>319</v>
      </c>
      <c r="J6" s="146"/>
      <c r="K6" s="146"/>
      <c r="L6" s="146"/>
      <c r="M6" s="146"/>
      <c r="N6" s="146"/>
    </row>
    <row r="7" spans="1:14" x14ac:dyDescent="0.25">
      <c r="A7" s="20"/>
      <c r="B7" s="221">
        <v>5101</v>
      </c>
      <c r="C7" s="21" t="s">
        <v>535</v>
      </c>
      <c r="D7" s="20" t="s">
        <v>915</v>
      </c>
      <c r="E7" s="28">
        <v>42681</v>
      </c>
      <c r="F7" s="6">
        <v>18900</v>
      </c>
      <c r="G7" s="175"/>
      <c r="H7" s="19">
        <f t="shared" si="0"/>
        <v>18900</v>
      </c>
      <c r="I7" s="158"/>
      <c r="J7" s="146"/>
      <c r="K7" s="146"/>
      <c r="L7" s="146"/>
      <c r="M7" s="146"/>
      <c r="N7" s="146"/>
    </row>
    <row r="8" spans="1:14" x14ac:dyDescent="0.25">
      <c r="A8" s="20"/>
      <c r="B8" s="262">
        <v>1571</v>
      </c>
      <c r="C8" s="29" t="s">
        <v>535</v>
      </c>
      <c r="D8" s="30" t="s">
        <v>915</v>
      </c>
      <c r="E8" s="31">
        <v>42684</v>
      </c>
      <c r="F8" s="6">
        <v>8900</v>
      </c>
      <c r="G8" s="175"/>
      <c r="H8" s="19">
        <f t="shared" si="0"/>
        <v>8900</v>
      </c>
      <c r="I8" s="158"/>
      <c r="J8" s="146"/>
      <c r="K8" s="146"/>
      <c r="L8" s="146"/>
      <c r="M8" s="146"/>
      <c r="N8" s="146"/>
    </row>
    <row r="9" spans="1:14" x14ac:dyDescent="0.25">
      <c r="A9" s="20"/>
      <c r="B9" s="262">
        <v>5113</v>
      </c>
      <c r="C9" s="29" t="s">
        <v>535</v>
      </c>
      <c r="D9" s="30" t="s">
        <v>950</v>
      </c>
      <c r="E9" s="31">
        <v>42688</v>
      </c>
      <c r="F9" s="18">
        <v>28100</v>
      </c>
      <c r="G9" s="175">
        <v>200</v>
      </c>
      <c r="H9" s="19">
        <f t="shared" si="0"/>
        <v>27900</v>
      </c>
      <c r="I9" s="158"/>
      <c r="J9" s="146"/>
      <c r="K9" s="146"/>
      <c r="L9" s="146"/>
      <c r="M9" s="146"/>
      <c r="N9" s="146"/>
    </row>
    <row r="10" spans="1:14" x14ac:dyDescent="0.25">
      <c r="A10" s="20"/>
      <c r="B10" s="262">
        <v>1575</v>
      </c>
      <c r="C10" s="29" t="s">
        <v>535</v>
      </c>
      <c r="D10" s="30" t="s">
        <v>950</v>
      </c>
      <c r="E10" s="28">
        <v>42688</v>
      </c>
      <c r="F10" s="6">
        <v>9900</v>
      </c>
      <c r="G10" s="175">
        <v>200</v>
      </c>
      <c r="H10" s="19">
        <f t="shared" si="0"/>
        <v>9700</v>
      </c>
      <c r="I10" s="158"/>
      <c r="J10" s="146"/>
      <c r="K10" s="146"/>
      <c r="L10" s="146"/>
      <c r="M10" s="146"/>
      <c r="N10" s="146"/>
    </row>
    <row r="11" spans="1:14" x14ac:dyDescent="0.25">
      <c r="A11" s="20"/>
      <c r="B11" s="262">
        <v>5114</v>
      </c>
      <c r="C11" s="29" t="s">
        <v>535</v>
      </c>
      <c r="D11" s="30" t="s">
        <v>951</v>
      </c>
      <c r="E11" s="28">
        <v>42691</v>
      </c>
      <c r="F11" s="6">
        <v>21900</v>
      </c>
      <c r="G11" s="175">
        <v>0</v>
      </c>
      <c r="H11" s="19">
        <f t="shared" si="0"/>
        <v>21900</v>
      </c>
      <c r="I11" s="158"/>
      <c r="J11" s="146"/>
      <c r="K11" s="146"/>
      <c r="L11" s="146"/>
      <c r="M11" s="146"/>
      <c r="N11" s="146"/>
    </row>
    <row r="12" spans="1:14" x14ac:dyDescent="0.25">
      <c r="A12" s="20"/>
      <c r="B12" s="221">
        <v>5115</v>
      </c>
      <c r="C12" s="21" t="s">
        <v>535</v>
      </c>
      <c r="D12" s="20" t="s">
        <v>952</v>
      </c>
      <c r="E12" s="28">
        <v>42691</v>
      </c>
      <c r="F12" s="6">
        <v>26900</v>
      </c>
      <c r="G12" s="175">
        <v>200</v>
      </c>
      <c r="H12" s="19">
        <f t="shared" si="0"/>
        <v>26700</v>
      </c>
      <c r="I12" s="159"/>
      <c r="J12" s="146"/>
      <c r="K12" s="146"/>
      <c r="L12" s="146"/>
      <c r="M12" s="146"/>
      <c r="N12" s="146"/>
    </row>
    <row r="13" spans="1:14" x14ac:dyDescent="0.25">
      <c r="A13" s="20"/>
      <c r="B13" s="267">
        <v>1585</v>
      </c>
      <c r="C13" s="267" t="s">
        <v>535</v>
      </c>
      <c r="D13" s="268" t="s">
        <v>954</v>
      </c>
      <c r="E13" s="269">
        <v>42696</v>
      </c>
      <c r="F13" s="270"/>
      <c r="G13" s="271"/>
      <c r="H13" s="19">
        <f t="shared" si="0"/>
        <v>0</v>
      </c>
      <c r="I13" s="159"/>
      <c r="J13" s="146"/>
      <c r="K13" s="146"/>
      <c r="L13" s="146"/>
      <c r="M13" s="146"/>
      <c r="N13" s="146"/>
    </row>
    <row r="14" spans="1:14" x14ac:dyDescent="0.25">
      <c r="A14" s="20"/>
      <c r="B14" s="221">
        <v>5120</v>
      </c>
      <c r="C14" s="21" t="s">
        <v>535</v>
      </c>
      <c r="D14" s="20" t="s">
        <v>979</v>
      </c>
      <c r="E14" s="28">
        <v>42692</v>
      </c>
      <c r="F14" s="6">
        <v>19990</v>
      </c>
      <c r="G14" s="175"/>
      <c r="H14" s="19">
        <f t="shared" si="0"/>
        <v>19990</v>
      </c>
      <c r="I14" s="159"/>
      <c r="J14" s="146"/>
      <c r="K14" s="146"/>
      <c r="L14" s="146"/>
      <c r="M14" s="146"/>
      <c r="N14" s="146"/>
    </row>
    <row r="15" spans="1:14" x14ac:dyDescent="0.25">
      <c r="A15" s="20"/>
      <c r="B15" s="221">
        <v>5123</v>
      </c>
      <c r="C15" s="21" t="s">
        <v>102</v>
      </c>
      <c r="D15" s="20" t="s">
        <v>980</v>
      </c>
      <c r="E15" s="28">
        <v>42696</v>
      </c>
      <c r="F15" s="6">
        <v>44900</v>
      </c>
      <c r="G15" s="175">
        <v>312.17</v>
      </c>
      <c r="H15" s="19">
        <f t="shared" si="0"/>
        <v>44587.83</v>
      </c>
      <c r="I15" s="159"/>
      <c r="J15" s="146"/>
      <c r="K15" s="146"/>
      <c r="L15" s="146"/>
      <c r="M15" s="146"/>
      <c r="N15" s="146"/>
    </row>
    <row r="16" spans="1:14" x14ac:dyDescent="0.25">
      <c r="B16" s="221">
        <v>5124</v>
      </c>
      <c r="C16" s="21" t="s">
        <v>535</v>
      </c>
      <c r="D16" s="20" t="s">
        <v>981</v>
      </c>
      <c r="E16" s="28">
        <v>42697</v>
      </c>
      <c r="F16" s="6">
        <v>21900</v>
      </c>
      <c r="G16" s="175"/>
      <c r="H16" s="19">
        <f t="shared" si="0"/>
        <v>21900</v>
      </c>
      <c r="I16" s="159"/>
      <c r="J16" s="146"/>
      <c r="K16" s="146"/>
      <c r="L16" s="146"/>
      <c r="M16" s="146"/>
      <c r="N16" s="146"/>
    </row>
    <row r="17" spans="2:14" x14ac:dyDescent="0.25">
      <c r="B17" s="221">
        <v>5125</v>
      </c>
      <c r="C17" s="21" t="s">
        <v>535</v>
      </c>
      <c r="D17" s="20" t="s">
        <v>982</v>
      </c>
      <c r="E17" s="28">
        <v>42697</v>
      </c>
      <c r="F17" s="6">
        <v>19500</v>
      </c>
      <c r="G17" s="175"/>
      <c r="H17" s="19">
        <f t="shared" si="0"/>
        <v>19500</v>
      </c>
      <c r="I17" s="159"/>
      <c r="J17" s="146"/>
      <c r="K17" s="146"/>
      <c r="L17" s="146"/>
      <c r="M17" s="146"/>
      <c r="N17" s="146"/>
    </row>
    <row r="18" spans="2:14" x14ac:dyDescent="0.25">
      <c r="B18" s="221">
        <v>5126</v>
      </c>
      <c r="C18" s="21" t="s">
        <v>535</v>
      </c>
      <c r="D18" s="20" t="s">
        <v>983</v>
      </c>
      <c r="E18" s="28">
        <v>42697</v>
      </c>
      <c r="F18" s="6">
        <v>8900</v>
      </c>
      <c r="G18" s="175"/>
      <c r="H18" s="19">
        <f t="shared" ref="H18:H29" si="1">F18-G18</f>
        <v>8900</v>
      </c>
      <c r="I18" s="159"/>
      <c r="J18" s="146"/>
      <c r="K18" s="146"/>
      <c r="L18" s="146"/>
      <c r="M18" s="146"/>
      <c r="N18" s="146"/>
    </row>
    <row r="19" spans="2:14" x14ac:dyDescent="0.25">
      <c r="B19" s="221">
        <v>5131</v>
      </c>
      <c r="C19" s="21" t="s">
        <v>535</v>
      </c>
      <c r="D19" s="20" t="s">
        <v>987</v>
      </c>
      <c r="E19" s="28">
        <v>42699</v>
      </c>
      <c r="F19" s="6">
        <v>18900</v>
      </c>
      <c r="G19" s="175"/>
      <c r="H19" s="19">
        <f t="shared" si="1"/>
        <v>18900</v>
      </c>
      <c r="I19" s="159"/>
      <c r="J19" s="146"/>
      <c r="K19" s="146"/>
      <c r="L19" s="146"/>
      <c r="M19" s="146"/>
      <c r="N19" s="146"/>
    </row>
    <row r="20" spans="2:14" x14ac:dyDescent="0.25">
      <c r="B20" s="221">
        <v>5138</v>
      </c>
      <c r="C20" s="21" t="s">
        <v>535</v>
      </c>
      <c r="D20" s="20" t="s">
        <v>990</v>
      </c>
      <c r="E20" s="28">
        <v>42703</v>
      </c>
      <c r="F20" s="6">
        <v>31900</v>
      </c>
      <c r="G20" s="264"/>
      <c r="H20" s="19">
        <f t="shared" si="1"/>
        <v>31900</v>
      </c>
      <c r="I20" s="159"/>
      <c r="J20" s="146"/>
      <c r="K20" s="146"/>
      <c r="L20" s="146"/>
      <c r="M20" s="146"/>
      <c r="N20" s="146"/>
    </row>
    <row r="21" spans="2:14" x14ac:dyDescent="0.25">
      <c r="B21" s="221">
        <v>5144</v>
      </c>
      <c r="C21" s="21" t="s">
        <v>535</v>
      </c>
      <c r="D21" s="20" t="s">
        <v>786</v>
      </c>
      <c r="E21" s="28">
        <v>42704</v>
      </c>
      <c r="F21" s="6">
        <v>30900</v>
      </c>
      <c r="G21" s="264"/>
      <c r="H21" s="19">
        <f t="shared" si="1"/>
        <v>30900</v>
      </c>
      <c r="I21" s="159"/>
      <c r="J21" s="146"/>
      <c r="K21" s="146"/>
      <c r="L21" s="146"/>
      <c r="M21" s="146"/>
      <c r="N21" s="146"/>
    </row>
    <row r="22" spans="2:14" x14ac:dyDescent="0.25">
      <c r="B22" s="221">
        <v>5145</v>
      </c>
      <c r="C22" s="21" t="s">
        <v>535</v>
      </c>
      <c r="D22" s="20" t="s">
        <v>658</v>
      </c>
      <c r="E22" s="28">
        <v>42704</v>
      </c>
      <c r="F22" s="6">
        <v>30000</v>
      </c>
      <c r="G22" s="264">
        <v>190</v>
      </c>
      <c r="H22" s="19">
        <f t="shared" si="1"/>
        <v>29810</v>
      </c>
      <c r="I22" s="159"/>
      <c r="J22" s="146"/>
      <c r="K22" s="146"/>
      <c r="L22" s="146"/>
      <c r="M22" s="146"/>
      <c r="N22" s="146"/>
    </row>
    <row r="23" spans="2:14" x14ac:dyDescent="0.25">
      <c r="B23" s="221">
        <v>5146</v>
      </c>
      <c r="C23" s="21" t="s">
        <v>535</v>
      </c>
      <c r="D23" s="20" t="s">
        <v>658</v>
      </c>
      <c r="E23" s="28">
        <v>42704</v>
      </c>
      <c r="F23" s="6">
        <v>8900</v>
      </c>
      <c r="G23" s="264">
        <v>185</v>
      </c>
      <c r="H23" s="19">
        <f t="shared" si="1"/>
        <v>8715</v>
      </c>
      <c r="I23" s="159"/>
      <c r="J23" s="146"/>
      <c r="K23" s="146"/>
      <c r="L23" s="146"/>
      <c r="M23" s="146"/>
      <c r="N23" s="146"/>
    </row>
    <row r="24" spans="2:14" x14ac:dyDescent="0.25">
      <c r="B24" s="221">
        <v>5147</v>
      </c>
      <c r="C24" s="21" t="s">
        <v>535</v>
      </c>
      <c r="D24" s="20" t="s">
        <v>991</v>
      </c>
      <c r="E24" s="28">
        <v>42704</v>
      </c>
      <c r="F24" s="6">
        <v>18900</v>
      </c>
      <c r="G24" s="264">
        <v>200</v>
      </c>
      <c r="H24" s="19">
        <f t="shared" si="1"/>
        <v>18700</v>
      </c>
      <c r="I24" s="159"/>
      <c r="J24" s="146"/>
      <c r="K24" s="146"/>
      <c r="L24" s="146"/>
      <c r="M24" s="146"/>
      <c r="N24" s="146"/>
    </row>
    <row r="25" spans="2:14" x14ac:dyDescent="0.25">
      <c r="B25" s="221">
        <v>5148</v>
      </c>
      <c r="C25" s="21"/>
      <c r="D25" s="20"/>
      <c r="E25" s="28"/>
      <c r="F25" s="6">
        <v>17900</v>
      </c>
      <c r="G25" s="175"/>
      <c r="H25" s="19">
        <f t="shared" si="1"/>
        <v>17900</v>
      </c>
      <c r="I25" s="159"/>
      <c r="J25" s="146"/>
      <c r="K25" s="146"/>
      <c r="L25" s="146"/>
      <c r="M25" s="146"/>
      <c r="N25" s="146"/>
    </row>
    <row r="26" spans="2:14" x14ac:dyDescent="0.25">
      <c r="B26" s="221">
        <v>5149</v>
      </c>
      <c r="C26" s="21"/>
      <c r="D26" s="20"/>
      <c r="E26" s="28"/>
      <c r="F26" s="6">
        <v>33000</v>
      </c>
      <c r="G26" s="175">
        <f>1200+190</f>
        <v>1390</v>
      </c>
      <c r="H26" s="19">
        <f t="shared" si="1"/>
        <v>31610</v>
      </c>
      <c r="I26" s="159"/>
      <c r="J26" s="146"/>
      <c r="K26" s="146"/>
      <c r="L26" s="146"/>
      <c r="M26" s="146"/>
      <c r="N26" s="146"/>
    </row>
    <row r="27" spans="2:14" x14ac:dyDescent="0.25">
      <c r="B27" s="185">
        <v>1585</v>
      </c>
      <c r="C27" s="21"/>
      <c r="D27" s="20"/>
      <c r="E27" s="28"/>
      <c r="F27" s="6">
        <v>2000</v>
      </c>
      <c r="G27" s="175"/>
      <c r="H27" s="19">
        <f t="shared" si="1"/>
        <v>2000</v>
      </c>
      <c r="I27" s="272"/>
      <c r="J27" s="188"/>
      <c r="K27" s="188"/>
      <c r="L27" s="188"/>
      <c r="M27" s="188"/>
      <c r="N27" s="188"/>
    </row>
    <row r="28" spans="2:14" x14ac:dyDescent="0.25">
      <c r="B28" s="185"/>
      <c r="C28" s="21"/>
      <c r="D28" s="20"/>
      <c r="E28" s="28"/>
      <c r="F28" s="6"/>
      <c r="G28" s="175"/>
      <c r="H28" s="19">
        <f t="shared" si="1"/>
        <v>0</v>
      </c>
      <c r="I28" s="272"/>
      <c r="J28" s="188"/>
      <c r="K28" s="188"/>
      <c r="L28" s="188"/>
      <c r="M28" s="188"/>
      <c r="N28" s="188"/>
    </row>
    <row r="29" spans="2:14" ht="15" thickBot="1" x14ac:dyDescent="0.3">
      <c r="B29" s="185"/>
      <c r="C29" s="21"/>
      <c r="D29" s="20"/>
      <c r="E29" s="28"/>
      <c r="F29" s="6"/>
      <c r="G29" s="7"/>
      <c r="H29" s="19">
        <f t="shared" si="1"/>
        <v>0</v>
      </c>
      <c r="I29" s="66"/>
      <c r="J29" s="133"/>
      <c r="K29" s="134"/>
      <c r="L29" s="134"/>
      <c r="M29" s="134"/>
      <c r="N29" s="134"/>
    </row>
    <row r="30" spans="2:14" ht="15" thickBot="1" x14ac:dyDescent="0.3">
      <c r="B30" s="200"/>
      <c r="C30" s="32"/>
      <c r="D30" s="33"/>
      <c r="E30" s="34"/>
      <c r="F30" s="35">
        <f>SUM(F3:F29)</f>
        <v>489490</v>
      </c>
      <c r="G30" s="36">
        <f>SUM(G3:G29)</f>
        <v>3026.77</v>
      </c>
      <c r="H30" s="37">
        <f>SUM(H3:H29)</f>
        <v>486463.23</v>
      </c>
      <c r="I30" s="66"/>
      <c r="J30" s="131">
        <f>SUM(J3:J29)</f>
        <v>0</v>
      </c>
      <c r="K30" s="131">
        <f>SUM(K3:K29)</f>
        <v>0</v>
      </c>
      <c r="L30" s="131">
        <f>SUM(L3:L29)</f>
        <v>0</v>
      </c>
      <c r="M30" s="131">
        <f>SUM(M3:M29)</f>
        <v>0</v>
      </c>
      <c r="N30" s="131">
        <f>SUM(N3:N29)</f>
        <v>0</v>
      </c>
    </row>
    <row r="31" spans="2:14" x14ac:dyDescent="0.25">
      <c r="B31" s="201"/>
      <c r="C31" s="3"/>
      <c r="D31" s="4"/>
      <c r="E31" s="38" t="s">
        <v>8</v>
      </c>
      <c r="F31" s="39">
        <f>TOTAL!M8</f>
        <v>665000</v>
      </c>
      <c r="G31" s="40" t="s">
        <v>9</v>
      </c>
      <c r="H31" s="41">
        <f>H30/F31%</f>
        <v>73.152365413533829</v>
      </c>
      <c r="I31" s="58" t="s">
        <v>10</v>
      </c>
    </row>
    <row r="32" spans="2:14" ht="15" thickBot="1" x14ac:dyDescent="0.3">
      <c r="B32" s="202"/>
      <c r="C32" s="43"/>
      <c r="D32" s="44"/>
      <c r="E32" s="45"/>
      <c r="F32" s="46"/>
      <c r="G32" s="47"/>
      <c r="H32" s="48"/>
      <c r="I32" s="14"/>
    </row>
    <row r="33" spans="2:9" ht="18.75" thickTop="1" x14ac:dyDescent="0.25">
      <c r="B33" s="198" t="s">
        <v>11</v>
      </c>
      <c r="C33" s="49"/>
      <c r="D33" s="4"/>
      <c r="E33" s="5"/>
      <c r="F33" s="6"/>
      <c r="G33" s="7"/>
      <c r="H33" s="50"/>
      <c r="I33" s="14"/>
    </row>
    <row r="34" spans="2:9" x14ac:dyDescent="0.25">
      <c r="B34" s="199" t="s">
        <v>1</v>
      </c>
      <c r="C34" s="9" t="s">
        <v>2</v>
      </c>
      <c r="D34" s="10" t="s">
        <v>3</v>
      </c>
      <c r="E34" s="11" t="s">
        <v>4</v>
      </c>
      <c r="F34" s="12" t="s">
        <v>5</v>
      </c>
      <c r="G34" s="7" t="s">
        <v>12</v>
      </c>
      <c r="H34" s="13" t="s">
        <v>7</v>
      </c>
      <c r="I34" s="14"/>
    </row>
    <row r="35" spans="2:9" s="14" customFormat="1" x14ac:dyDescent="0.25">
      <c r="B35" s="194"/>
      <c r="C35" s="141"/>
      <c r="D35" s="141"/>
      <c r="E35" s="23"/>
      <c r="F35" s="26"/>
      <c r="G35" s="175"/>
      <c r="H35" s="19">
        <f t="shared" ref="H35:H42" si="2">F35-G35</f>
        <v>0</v>
      </c>
    </row>
    <row r="36" spans="2:9" s="14" customFormat="1" x14ac:dyDescent="0.25">
      <c r="B36" s="194"/>
      <c r="C36" s="141"/>
      <c r="D36" s="141"/>
      <c r="E36" s="23"/>
      <c r="F36" s="26"/>
      <c r="G36" s="175"/>
      <c r="H36" s="19">
        <f t="shared" si="2"/>
        <v>0</v>
      </c>
    </row>
    <row r="37" spans="2:9" s="14" customFormat="1" x14ac:dyDescent="0.25">
      <c r="B37" s="194"/>
      <c r="C37" s="141"/>
      <c r="D37" s="141"/>
      <c r="E37" s="23"/>
      <c r="F37" s="26"/>
      <c r="G37" s="175"/>
      <c r="H37" s="19">
        <f t="shared" si="2"/>
        <v>0</v>
      </c>
    </row>
    <row r="38" spans="2:9" s="14" customFormat="1" x14ac:dyDescent="0.25">
      <c r="B38" s="194"/>
      <c r="C38" s="141"/>
      <c r="D38" s="141"/>
      <c r="E38" s="23"/>
      <c r="F38" s="26"/>
      <c r="G38" s="175"/>
      <c r="H38" s="19">
        <f t="shared" si="2"/>
        <v>0</v>
      </c>
      <c r="I38" s="1"/>
    </row>
    <row r="39" spans="2:9" s="14" customFormat="1" x14ac:dyDescent="0.25">
      <c r="B39" s="182"/>
      <c r="C39" s="29"/>
      <c r="D39" s="30"/>
      <c r="E39" s="31"/>
      <c r="F39" s="6"/>
      <c r="G39" s="175"/>
      <c r="H39" s="19">
        <f t="shared" si="2"/>
        <v>0</v>
      </c>
      <c r="I39" s="1"/>
    </row>
    <row r="40" spans="2:9" s="14" customFormat="1" x14ac:dyDescent="0.25">
      <c r="B40" s="182"/>
      <c r="C40" s="182"/>
      <c r="D40" s="183"/>
      <c r="E40" s="178"/>
      <c r="F40" s="177"/>
      <c r="G40" s="175"/>
      <c r="H40" s="19">
        <f t="shared" si="2"/>
        <v>0</v>
      </c>
      <c r="I40" s="1"/>
    </row>
    <row r="41" spans="2:9" x14ac:dyDescent="0.25">
      <c r="B41" s="182"/>
      <c r="C41" s="29"/>
      <c r="D41" s="30"/>
      <c r="E41" s="31"/>
      <c r="F41" s="6"/>
      <c r="G41" s="7"/>
      <c r="H41" s="19">
        <f t="shared" si="2"/>
        <v>0</v>
      </c>
    </row>
    <row r="42" spans="2:9" ht="15" thickBot="1" x14ac:dyDescent="0.3">
      <c r="B42" s="182"/>
      <c r="C42" s="29"/>
      <c r="D42" s="30"/>
      <c r="E42" s="31"/>
      <c r="F42" s="6"/>
      <c r="G42" s="7"/>
      <c r="H42" s="19">
        <f t="shared" si="2"/>
        <v>0</v>
      </c>
    </row>
    <row r="43" spans="2:9" ht="15" thickBot="1" x14ac:dyDescent="0.3">
      <c r="B43" s="182"/>
      <c r="C43" s="29"/>
      <c r="D43" s="30"/>
      <c r="E43" s="31"/>
      <c r="F43" s="35">
        <f>SUM(F35:F42)</f>
        <v>0</v>
      </c>
      <c r="G43" s="36">
        <f>SUM(G35:G42)</f>
        <v>0</v>
      </c>
      <c r="H43" s="37">
        <f>SUM(H35:H42)</f>
        <v>0</v>
      </c>
    </row>
    <row r="44" spans="2:9" x14ac:dyDescent="0.25">
      <c r="B44" s="182"/>
      <c r="C44" s="29"/>
      <c r="D44" s="30"/>
      <c r="E44" s="31"/>
      <c r="F44" s="51"/>
      <c r="G44" s="52"/>
      <c r="H44" s="53"/>
    </row>
    <row r="45" spans="2:9" ht="15" thickBot="1" x14ac:dyDescent="0.3">
      <c r="B45" s="202"/>
      <c r="C45" s="43"/>
      <c r="D45" s="44"/>
      <c r="E45" s="45"/>
      <c r="F45" s="46"/>
      <c r="G45" s="47"/>
      <c r="H45" s="48"/>
      <c r="I45" s="14"/>
    </row>
    <row r="46" spans="2:9" ht="18.75" thickTop="1" x14ac:dyDescent="0.25">
      <c r="B46" s="198" t="s">
        <v>13</v>
      </c>
      <c r="C46" s="49"/>
      <c r="D46" s="4"/>
      <c r="E46" s="5"/>
      <c r="F46" s="6"/>
      <c r="G46" s="7"/>
      <c r="H46" s="50"/>
      <c r="I46" s="14"/>
    </row>
    <row r="47" spans="2:9" x14ac:dyDescent="0.25">
      <c r="B47" s="199" t="s">
        <v>1</v>
      </c>
      <c r="C47" s="9" t="s">
        <v>2</v>
      </c>
      <c r="D47" s="10" t="s">
        <v>3</v>
      </c>
      <c r="E47" s="11" t="s">
        <v>4</v>
      </c>
      <c r="F47" s="12" t="s">
        <v>5</v>
      </c>
      <c r="G47" s="7" t="s">
        <v>12</v>
      </c>
      <c r="H47" s="13" t="s">
        <v>7</v>
      </c>
      <c r="I47" s="14"/>
    </row>
    <row r="48" spans="2:9" s="14" customFormat="1" x14ac:dyDescent="0.25">
      <c r="B48" s="194"/>
      <c r="C48" s="141" t="s">
        <v>102</v>
      </c>
      <c r="D48" s="141" t="s">
        <v>992</v>
      </c>
      <c r="E48" s="154">
        <v>42704</v>
      </c>
      <c r="F48" s="6">
        <v>1290</v>
      </c>
      <c r="G48" s="7">
        <v>28.4</v>
      </c>
      <c r="H48" s="19">
        <f t="shared" ref="H48:H51" si="3">F48-G48</f>
        <v>1261.5999999999999</v>
      </c>
    </row>
    <row r="49" spans="2:14" s="14" customFormat="1" x14ac:dyDescent="0.25">
      <c r="B49" s="182"/>
      <c r="C49" s="29"/>
      <c r="D49" s="30"/>
      <c r="E49" s="31"/>
      <c r="F49" s="6"/>
      <c r="G49" s="175"/>
      <c r="H49" s="19">
        <f t="shared" si="3"/>
        <v>0</v>
      </c>
    </row>
    <row r="50" spans="2:14" s="14" customFormat="1" x14ac:dyDescent="0.25">
      <c r="B50" s="185"/>
      <c r="C50" s="21"/>
      <c r="D50" s="20"/>
      <c r="E50" s="28"/>
      <c r="F50" s="6"/>
      <c r="G50" s="7"/>
      <c r="H50" s="19">
        <f t="shared" si="3"/>
        <v>0</v>
      </c>
    </row>
    <row r="51" spans="2:14" ht="15" thickBot="1" x14ac:dyDescent="0.3">
      <c r="B51" s="182"/>
      <c r="C51" s="29"/>
      <c r="D51" s="30"/>
      <c r="E51" s="31"/>
      <c r="F51" s="6"/>
      <c r="G51" s="7"/>
      <c r="H51" s="19">
        <f t="shared" si="3"/>
        <v>0</v>
      </c>
    </row>
    <row r="52" spans="2:14" ht="15" thickBot="1" x14ac:dyDescent="0.3">
      <c r="B52" s="203"/>
      <c r="C52" s="55"/>
      <c r="D52" s="56"/>
      <c r="E52" s="57"/>
      <c r="F52" s="35">
        <f>SUM(F48:F51)</f>
        <v>1290</v>
      </c>
      <c r="G52" s="36">
        <f>SUM(G48:G51)</f>
        <v>28.4</v>
      </c>
      <c r="H52" s="37">
        <f>SUM(H48:H51)</f>
        <v>1261.5999999999999</v>
      </c>
    </row>
    <row r="53" spans="2:14" x14ac:dyDescent="0.25">
      <c r="B53" s="203"/>
      <c r="C53" s="55"/>
      <c r="D53" s="56"/>
      <c r="E53" s="38"/>
      <c r="F53" s="39"/>
      <c r="G53" s="40"/>
      <c r="H53" s="41"/>
    </row>
    <row r="54" spans="2:14" ht="15" thickBot="1" x14ac:dyDescent="0.3">
      <c r="B54" s="202"/>
      <c r="C54" s="43"/>
      <c r="D54" s="44"/>
      <c r="E54" s="59"/>
      <c r="F54" s="46"/>
      <c r="G54" s="47"/>
      <c r="H54" s="48"/>
      <c r="I54" s="14"/>
    </row>
    <row r="55" spans="2:14" ht="18.75" thickTop="1" x14ac:dyDescent="0.25">
      <c r="B55" s="198" t="s">
        <v>14</v>
      </c>
      <c r="C55" s="49"/>
      <c r="D55" s="4"/>
      <c r="E55" s="5"/>
      <c r="F55" s="6"/>
      <c r="G55" s="7"/>
      <c r="H55" s="50"/>
      <c r="I55" s="14"/>
    </row>
    <row r="56" spans="2:14" x14ac:dyDescent="0.25">
      <c r="B56" s="199" t="s">
        <v>1</v>
      </c>
      <c r="C56" s="9" t="s">
        <v>2</v>
      </c>
      <c r="D56" s="10" t="s">
        <v>3</v>
      </c>
      <c r="E56" s="11" t="s">
        <v>4</v>
      </c>
      <c r="F56" s="12" t="s">
        <v>5</v>
      </c>
      <c r="G56" s="7" t="s">
        <v>12</v>
      </c>
      <c r="H56" s="13" t="s">
        <v>7</v>
      </c>
      <c r="I56" s="14"/>
    </row>
    <row r="57" spans="2:14" s="14" customFormat="1" x14ac:dyDescent="0.25">
      <c r="B57" s="221">
        <v>1563</v>
      </c>
      <c r="C57" s="21" t="s">
        <v>102</v>
      </c>
      <c r="D57" s="20" t="s">
        <v>933</v>
      </c>
      <c r="E57" s="28">
        <v>42682</v>
      </c>
      <c r="F57" s="6">
        <v>1500</v>
      </c>
      <c r="G57" s="7">
        <v>0</v>
      </c>
      <c r="H57" s="19">
        <f t="shared" ref="H57:H64" si="4">F57-G57</f>
        <v>1500</v>
      </c>
      <c r="J57" s="1"/>
      <c r="K57" s="1"/>
      <c r="L57" s="1"/>
      <c r="M57" s="1"/>
      <c r="N57" s="1"/>
    </row>
    <row r="58" spans="2:14" s="14" customFormat="1" x14ac:dyDescent="0.25">
      <c r="B58" s="262">
        <v>1579</v>
      </c>
      <c r="C58" s="29" t="s">
        <v>102</v>
      </c>
      <c r="D58" s="30" t="s">
        <v>806</v>
      </c>
      <c r="E58" s="31">
        <v>42691</v>
      </c>
      <c r="F58" s="6">
        <v>803.28</v>
      </c>
      <c r="G58" s="7"/>
      <c r="H58" s="19">
        <f t="shared" si="4"/>
        <v>803.28</v>
      </c>
      <c r="J58" s="1"/>
      <c r="K58" s="1"/>
      <c r="L58" s="1"/>
      <c r="M58" s="1"/>
      <c r="N58" s="1"/>
    </row>
    <row r="59" spans="2:14" s="14" customFormat="1" x14ac:dyDescent="0.25">
      <c r="B59" s="195"/>
      <c r="C59" s="15"/>
      <c r="D59" s="15"/>
      <c r="E59" s="17"/>
      <c r="F59" s="18"/>
      <c r="G59" s="60"/>
      <c r="H59" s="19">
        <f t="shared" si="4"/>
        <v>0</v>
      </c>
    </row>
    <row r="60" spans="2:14" s="14" customFormat="1" x14ac:dyDescent="0.25">
      <c r="B60" s="194"/>
      <c r="C60" s="141"/>
      <c r="D60" s="141"/>
      <c r="E60" s="23"/>
      <c r="F60" s="26"/>
      <c r="G60" s="7"/>
      <c r="H60" s="19">
        <f t="shared" si="4"/>
        <v>0</v>
      </c>
    </row>
    <row r="61" spans="2:14" s="14" customFormat="1" x14ac:dyDescent="0.25">
      <c r="B61" s="194"/>
      <c r="C61" s="141"/>
      <c r="D61" s="141"/>
      <c r="E61" s="23"/>
      <c r="F61" s="26"/>
      <c r="G61" s="7"/>
      <c r="H61" s="19">
        <f t="shared" si="4"/>
        <v>0</v>
      </c>
    </row>
    <row r="62" spans="2:14" s="14" customFormat="1" x14ac:dyDescent="0.25">
      <c r="B62" s="194"/>
      <c r="C62" s="141"/>
      <c r="D62" s="141"/>
      <c r="E62" s="23"/>
      <c r="F62" s="26"/>
      <c r="G62" s="7"/>
      <c r="H62" s="19">
        <f t="shared" si="4"/>
        <v>0</v>
      </c>
    </row>
    <row r="63" spans="2:14" s="14" customFormat="1" x14ac:dyDescent="0.25">
      <c r="B63" s="194"/>
      <c r="C63" s="141"/>
      <c r="D63" s="16"/>
      <c r="E63" s="17"/>
      <c r="F63" s="18"/>
      <c r="G63" s="7"/>
      <c r="H63" s="19">
        <f t="shared" si="4"/>
        <v>0</v>
      </c>
    </row>
    <row r="64" spans="2:14" ht="15" thickBot="1" x14ac:dyDescent="0.3">
      <c r="B64" s="185"/>
      <c r="C64" s="21"/>
      <c r="D64" s="21"/>
      <c r="E64" s="28"/>
      <c r="F64" s="6"/>
      <c r="G64" s="7"/>
      <c r="H64" s="19">
        <f t="shared" si="4"/>
        <v>0</v>
      </c>
    </row>
    <row r="65" spans="2:14" ht="15" thickBot="1" x14ac:dyDescent="0.3">
      <c r="B65" s="201"/>
      <c r="C65" s="3"/>
      <c r="D65" s="4"/>
      <c r="E65" s="61"/>
      <c r="F65" s="62">
        <f>SUM(F57:F64)</f>
        <v>2303.2799999999997</v>
      </c>
      <c r="G65" s="36">
        <f>SUM(G57:G64)</f>
        <v>0</v>
      </c>
      <c r="H65" s="63">
        <f>SUM(H57:H64)</f>
        <v>2303.2799999999997</v>
      </c>
    </row>
    <row r="66" spans="2:14" x14ac:dyDescent="0.25">
      <c r="B66" s="204"/>
      <c r="C66" s="3"/>
      <c r="D66" s="65"/>
      <c r="E66" s="38" t="s">
        <v>8</v>
      </c>
      <c r="F66" s="39">
        <f>TOTAL!M9</f>
        <v>0</v>
      </c>
      <c r="G66" s="40" t="s">
        <v>9</v>
      </c>
      <c r="H66" s="41" t="e">
        <f>H65/F66%</f>
        <v>#DIV/0!</v>
      </c>
      <c r="I66" s="58" t="s">
        <v>10</v>
      </c>
    </row>
    <row r="67" spans="2:14" ht="15" thickBot="1" x14ac:dyDescent="0.3">
      <c r="B67" s="202"/>
      <c r="C67" s="43"/>
      <c r="D67" s="44"/>
      <c r="E67" s="59"/>
      <c r="F67" s="46"/>
      <c r="G67" s="47"/>
      <c r="H67" s="48"/>
      <c r="I67" s="14"/>
      <c r="J67" s="54"/>
    </row>
    <row r="68" spans="2:14" ht="18.75" thickTop="1" x14ac:dyDescent="0.25">
      <c r="B68" s="198" t="s">
        <v>15</v>
      </c>
      <c r="C68" s="49"/>
      <c r="D68" s="4"/>
      <c r="E68" s="5"/>
      <c r="F68" s="6"/>
      <c r="G68" s="7"/>
      <c r="H68" s="50"/>
      <c r="I68" s="14"/>
    </row>
    <row r="69" spans="2:14" x14ac:dyDescent="0.25">
      <c r="B69" s="199" t="s">
        <v>1</v>
      </c>
      <c r="C69" s="9" t="s">
        <v>2</v>
      </c>
      <c r="D69" s="10" t="s">
        <v>3</v>
      </c>
      <c r="E69" s="11" t="s">
        <v>4</v>
      </c>
      <c r="F69" s="12" t="s">
        <v>5</v>
      </c>
      <c r="G69" s="7" t="s">
        <v>12</v>
      </c>
      <c r="H69" s="13" t="s">
        <v>7</v>
      </c>
      <c r="I69" s="14"/>
    </row>
    <row r="70" spans="2:14" s="14" customFormat="1" x14ac:dyDescent="0.25">
      <c r="B70" s="221">
        <v>5098</v>
      </c>
      <c r="C70" s="273" t="s">
        <v>102</v>
      </c>
      <c r="D70" s="274" t="s">
        <v>913</v>
      </c>
      <c r="E70" s="275">
        <v>42678</v>
      </c>
      <c r="F70" s="276">
        <v>4369.9799999999996</v>
      </c>
      <c r="G70" s="7">
        <v>35</v>
      </c>
      <c r="H70" s="19">
        <f t="shared" ref="H70:H95" si="5">F70-G70</f>
        <v>4334.9799999999996</v>
      </c>
      <c r="J70" s="1"/>
      <c r="K70" s="1"/>
      <c r="L70" s="1"/>
      <c r="M70" s="1"/>
      <c r="N70" s="1"/>
    </row>
    <row r="71" spans="2:14" s="14" customFormat="1" x14ac:dyDescent="0.25">
      <c r="B71" s="262">
        <v>5107</v>
      </c>
      <c r="C71" s="277" t="s">
        <v>102</v>
      </c>
      <c r="D71" s="278" t="s">
        <v>916</v>
      </c>
      <c r="E71" s="279">
        <v>42683</v>
      </c>
      <c r="F71" s="276">
        <v>1599.08</v>
      </c>
      <c r="G71" s="7"/>
      <c r="H71" s="19">
        <f t="shared" si="5"/>
        <v>1599.08</v>
      </c>
      <c r="J71" s="1"/>
      <c r="K71" s="1"/>
      <c r="L71" s="1"/>
      <c r="M71" s="1"/>
      <c r="N71" s="1"/>
    </row>
    <row r="72" spans="2:14" s="14" customFormat="1" x14ac:dyDescent="0.25">
      <c r="B72" s="261">
        <v>5109</v>
      </c>
      <c r="C72" s="280" t="s">
        <v>102</v>
      </c>
      <c r="D72" s="280" t="s">
        <v>931</v>
      </c>
      <c r="E72" s="281">
        <v>42684</v>
      </c>
      <c r="F72" s="258">
        <v>5680</v>
      </c>
      <c r="G72" s="184"/>
      <c r="H72" s="19">
        <f t="shared" si="5"/>
        <v>5680</v>
      </c>
    </row>
    <row r="73" spans="2:14" s="14" customFormat="1" x14ac:dyDescent="0.25">
      <c r="B73" s="221">
        <v>1562</v>
      </c>
      <c r="C73" s="273" t="s">
        <v>102</v>
      </c>
      <c r="D73" s="274" t="s">
        <v>188</v>
      </c>
      <c r="E73" s="275">
        <v>42682</v>
      </c>
      <c r="F73" s="257">
        <v>179.6</v>
      </c>
      <c r="G73" s="7">
        <v>0</v>
      </c>
      <c r="H73" s="19">
        <f t="shared" si="5"/>
        <v>179.6</v>
      </c>
    </row>
    <row r="74" spans="2:14" s="14" customFormat="1" x14ac:dyDescent="0.25">
      <c r="B74" s="221">
        <v>1565</v>
      </c>
      <c r="C74" s="273" t="s">
        <v>102</v>
      </c>
      <c r="D74" s="274" t="s">
        <v>947</v>
      </c>
      <c r="E74" s="275">
        <v>42683</v>
      </c>
      <c r="F74" s="257">
        <v>5055.8999999999996</v>
      </c>
      <c r="G74" s="7">
        <v>65.89</v>
      </c>
      <c r="H74" s="19">
        <f t="shared" si="5"/>
        <v>4990.0099999999993</v>
      </c>
    </row>
    <row r="75" spans="2:14" s="14" customFormat="1" x14ac:dyDescent="0.25">
      <c r="B75" s="221">
        <v>1566</v>
      </c>
      <c r="C75" s="273" t="s">
        <v>102</v>
      </c>
      <c r="D75" s="274" t="s">
        <v>934</v>
      </c>
      <c r="E75" s="275">
        <v>42683</v>
      </c>
      <c r="F75" s="276">
        <v>584.52</v>
      </c>
      <c r="G75" s="7">
        <v>32.9</v>
      </c>
      <c r="H75" s="19">
        <f t="shared" si="5"/>
        <v>551.62</v>
      </c>
    </row>
    <row r="76" spans="2:14" s="14" customFormat="1" x14ac:dyDescent="0.25">
      <c r="B76" s="221">
        <v>1573</v>
      </c>
      <c r="C76" s="273" t="s">
        <v>102</v>
      </c>
      <c r="D76" s="282" t="s">
        <v>948</v>
      </c>
      <c r="E76" s="281">
        <v>42685</v>
      </c>
      <c r="F76" s="258">
        <v>152.6</v>
      </c>
      <c r="G76" s="7">
        <v>42.9</v>
      </c>
      <c r="H76" s="19">
        <f t="shared" si="5"/>
        <v>109.69999999999999</v>
      </c>
    </row>
    <row r="77" spans="2:14" s="14" customFormat="1" x14ac:dyDescent="0.25">
      <c r="B77" s="261">
        <v>5111</v>
      </c>
      <c r="C77" s="280" t="s">
        <v>102</v>
      </c>
      <c r="D77" s="282" t="s">
        <v>875</v>
      </c>
      <c r="E77" s="281">
        <v>42685</v>
      </c>
      <c r="F77" s="276">
        <v>3530</v>
      </c>
      <c r="G77" s="7"/>
      <c r="H77" s="19">
        <f t="shared" si="5"/>
        <v>3530</v>
      </c>
    </row>
    <row r="78" spans="2:14" s="14" customFormat="1" x14ac:dyDescent="0.25">
      <c r="B78" s="221">
        <v>5112</v>
      </c>
      <c r="C78" s="273" t="s">
        <v>102</v>
      </c>
      <c r="D78" s="274" t="s">
        <v>944</v>
      </c>
      <c r="E78" s="275">
        <v>42685</v>
      </c>
      <c r="F78" s="258">
        <v>547.73</v>
      </c>
      <c r="G78" s="7">
        <v>87.9</v>
      </c>
      <c r="H78" s="19">
        <f t="shared" si="5"/>
        <v>459.83000000000004</v>
      </c>
    </row>
    <row r="79" spans="2:14" s="14" customFormat="1" x14ac:dyDescent="0.25">
      <c r="B79" s="261">
        <v>5117</v>
      </c>
      <c r="C79" s="280" t="s">
        <v>102</v>
      </c>
      <c r="D79" s="282" t="s">
        <v>953</v>
      </c>
      <c r="E79" s="281">
        <v>42692</v>
      </c>
      <c r="F79" s="258">
        <v>462.67</v>
      </c>
      <c r="G79" s="7">
        <v>62.9</v>
      </c>
      <c r="H79" s="19">
        <f t="shared" si="5"/>
        <v>399.77000000000004</v>
      </c>
      <c r="I79" s="1"/>
    </row>
    <row r="80" spans="2:14" s="14" customFormat="1" x14ac:dyDescent="0.25">
      <c r="B80" s="261">
        <v>1580</v>
      </c>
      <c r="C80" s="280" t="s">
        <v>102</v>
      </c>
      <c r="D80" s="282" t="s">
        <v>909</v>
      </c>
      <c r="E80" s="281">
        <v>42691</v>
      </c>
      <c r="F80" s="258">
        <v>960</v>
      </c>
      <c r="G80" s="7"/>
      <c r="H80" s="19">
        <f t="shared" si="5"/>
        <v>960</v>
      </c>
      <c r="I80" s="1"/>
    </row>
    <row r="81" spans="2:14" s="14" customFormat="1" x14ac:dyDescent="0.25">
      <c r="B81" s="221">
        <v>1586</v>
      </c>
      <c r="C81" s="273" t="s">
        <v>102</v>
      </c>
      <c r="D81" s="274" t="s">
        <v>955</v>
      </c>
      <c r="E81" s="275">
        <v>42697</v>
      </c>
      <c r="F81" s="276">
        <v>6000</v>
      </c>
      <c r="G81" s="7"/>
      <c r="H81" s="19">
        <f t="shared" si="5"/>
        <v>6000</v>
      </c>
      <c r="I81" s="1"/>
    </row>
    <row r="82" spans="2:14" x14ac:dyDescent="0.25">
      <c r="B82" s="221">
        <v>1591</v>
      </c>
      <c r="C82" s="273" t="s">
        <v>102</v>
      </c>
      <c r="D82" s="273" t="s">
        <v>956</v>
      </c>
      <c r="E82" s="275">
        <v>42698</v>
      </c>
      <c r="F82" s="276">
        <v>2689.54</v>
      </c>
      <c r="G82" s="7"/>
      <c r="H82" s="19">
        <f t="shared" si="5"/>
        <v>2689.54</v>
      </c>
      <c r="J82" s="14"/>
      <c r="K82" s="14"/>
      <c r="L82" s="14"/>
      <c r="M82" s="14"/>
      <c r="N82" s="14"/>
    </row>
    <row r="83" spans="2:14" x14ac:dyDescent="0.25">
      <c r="B83" s="221">
        <v>1592</v>
      </c>
      <c r="C83" s="273" t="s">
        <v>102</v>
      </c>
      <c r="D83" s="273" t="s">
        <v>957</v>
      </c>
      <c r="E83" s="275">
        <v>42698</v>
      </c>
      <c r="F83" s="276">
        <v>1199.31</v>
      </c>
      <c r="G83" s="7"/>
      <c r="H83" s="19">
        <f t="shared" si="5"/>
        <v>1199.31</v>
      </c>
      <c r="J83" s="14"/>
      <c r="K83" s="14"/>
      <c r="L83" s="14"/>
      <c r="M83" s="14"/>
      <c r="N83" s="14"/>
    </row>
    <row r="84" spans="2:14" x14ac:dyDescent="0.25">
      <c r="B84" s="221">
        <v>1593</v>
      </c>
      <c r="C84" s="273" t="s">
        <v>102</v>
      </c>
      <c r="D84" s="273" t="s">
        <v>851</v>
      </c>
      <c r="E84" s="275">
        <v>42698</v>
      </c>
      <c r="F84" s="276">
        <v>399.77</v>
      </c>
      <c r="G84" s="7"/>
      <c r="H84" s="19">
        <f t="shared" si="5"/>
        <v>399.77</v>
      </c>
      <c r="I84" s="58"/>
    </row>
    <row r="85" spans="2:14" x14ac:dyDescent="0.25">
      <c r="B85" s="221">
        <v>1597</v>
      </c>
      <c r="C85" s="273" t="s">
        <v>102</v>
      </c>
      <c r="D85" s="273" t="s">
        <v>958</v>
      </c>
      <c r="E85" s="275">
        <v>42699</v>
      </c>
      <c r="F85" s="276">
        <v>1317</v>
      </c>
      <c r="G85" s="7">
        <v>25</v>
      </c>
      <c r="H85" s="19">
        <f t="shared" ref="H85:H94" si="6">F85-G85</f>
        <v>1292</v>
      </c>
      <c r="I85" s="58"/>
    </row>
    <row r="86" spans="2:14" x14ac:dyDescent="0.25">
      <c r="B86" s="221">
        <v>1155</v>
      </c>
      <c r="C86" s="273" t="s">
        <v>102</v>
      </c>
      <c r="D86" s="273" t="s">
        <v>970</v>
      </c>
      <c r="E86" s="275">
        <v>42699</v>
      </c>
      <c r="F86" s="276">
        <v>1360</v>
      </c>
      <c r="G86" s="7">
        <v>60</v>
      </c>
      <c r="H86" s="19">
        <f t="shared" si="6"/>
        <v>1300</v>
      </c>
      <c r="I86" s="58"/>
    </row>
    <row r="87" spans="2:14" x14ac:dyDescent="0.25">
      <c r="B87" s="221">
        <v>5118</v>
      </c>
      <c r="C87" s="273" t="s">
        <v>102</v>
      </c>
      <c r="D87" s="273" t="s">
        <v>114</v>
      </c>
      <c r="E87" s="275">
        <v>42692</v>
      </c>
      <c r="F87" s="276">
        <v>1015.78</v>
      </c>
      <c r="G87" s="7">
        <v>72</v>
      </c>
      <c r="H87" s="19">
        <f t="shared" si="6"/>
        <v>943.78</v>
      </c>
      <c r="I87" s="58"/>
    </row>
    <row r="88" spans="2:14" x14ac:dyDescent="0.25">
      <c r="B88" s="221">
        <v>5127</v>
      </c>
      <c r="C88" s="273" t="s">
        <v>102</v>
      </c>
      <c r="D88" s="273" t="s">
        <v>984</v>
      </c>
      <c r="E88" s="275">
        <v>42698</v>
      </c>
      <c r="F88" s="276">
        <v>2600</v>
      </c>
      <c r="G88" s="7">
        <v>44</v>
      </c>
      <c r="H88" s="19">
        <f t="shared" si="6"/>
        <v>2556</v>
      </c>
      <c r="I88" s="58"/>
    </row>
    <row r="89" spans="2:14" x14ac:dyDescent="0.25">
      <c r="B89" s="221">
        <v>5128</v>
      </c>
      <c r="C89" s="273" t="s">
        <v>102</v>
      </c>
      <c r="D89" s="273" t="s">
        <v>985</v>
      </c>
      <c r="E89" s="275">
        <v>42698</v>
      </c>
      <c r="F89" s="276">
        <v>915</v>
      </c>
      <c r="G89" s="7">
        <v>43.99</v>
      </c>
      <c r="H89" s="19">
        <f t="shared" si="6"/>
        <v>871.01</v>
      </c>
      <c r="I89" s="58"/>
    </row>
    <row r="90" spans="2:14" x14ac:dyDescent="0.25">
      <c r="B90" s="221">
        <v>5129</v>
      </c>
      <c r="C90" s="273" t="s">
        <v>102</v>
      </c>
      <c r="D90" s="273" t="s">
        <v>986</v>
      </c>
      <c r="E90" s="275">
        <v>42699</v>
      </c>
      <c r="F90" s="276">
        <v>1548</v>
      </c>
      <c r="G90" s="7">
        <v>37.979999999999997</v>
      </c>
      <c r="H90" s="19">
        <f t="shared" si="6"/>
        <v>1510.02</v>
      </c>
      <c r="I90" s="58"/>
    </row>
    <row r="91" spans="2:14" x14ac:dyDescent="0.25">
      <c r="B91" s="221">
        <v>5130</v>
      </c>
      <c r="C91" s="273" t="s">
        <v>102</v>
      </c>
      <c r="D91" s="273" t="s">
        <v>977</v>
      </c>
      <c r="E91" s="275">
        <v>42699</v>
      </c>
      <c r="F91" s="276">
        <v>3779.54</v>
      </c>
      <c r="G91" s="7"/>
      <c r="H91" s="19">
        <f t="shared" si="6"/>
        <v>3779.54</v>
      </c>
      <c r="I91" s="58"/>
    </row>
    <row r="92" spans="2:14" x14ac:dyDescent="0.25">
      <c r="B92" s="221">
        <v>1607</v>
      </c>
      <c r="C92" s="273" t="s">
        <v>102</v>
      </c>
      <c r="D92" s="273" t="s">
        <v>237</v>
      </c>
      <c r="E92" s="275">
        <v>42704</v>
      </c>
      <c r="F92" s="276">
        <v>4795.57</v>
      </c>
      <c r="G92" s="7"/>
      <c r="H92" s="19">
        <f t="shared" si="6"/>
        <v>4795.57</v>
      </c>
      <c r="I92" s="58"/>
    </row>
    <row r="93" spans="2:14" x14ac:dyDescent="0.25">
      <c r="B93" s="221">
        <v>1606</v>
      </c>
      <c r="C93" s="273" t="s">
        <v>102</v>
      </c>
      <c r="D93" s="273" t="s">
        <v>909</v>
      </c>
      <c r="E93" s="275">
        <v>42704</v>
      </c>
      <c r="F93" s="276">
        <v>960.4</v>
      </c>
      <c r="G93" s="7"/>
      <c r="H93" s="19">
        <f t="shared" si="6"/>
        <v>960.4</v>
      </c>
      <c r="I93" s="58"/>
    </row>
    <row r="94" spans="2:14" x14ac:dyDescent="0.25">
      <c r="B94" s="273"/>
      <c r="C94" s="273"/>
      <c r="D94" s="273"/>
      <c r="E94" s="275"/>
      <c r="F94" s="276"/>
      <c r="G94" s="7"/>
      <c r="H94" s="19">
        <f t="shared" si="6"/>
        <v>0</v>
      </c>
      <c r="I94" s="58"/>
    </row>
    <row r="95" spans="2:14" ht="15" thickBot="1" x14ac:dyDescent="0.3">
      <c r="B95" s="185"/>
      <c r="C95" s="21"/>
      <c r="D95" s="21"/>
      <c r="E95" s="28"/>
      <c r="F95" s="6"/>
      <c r="G95" s="7"/>
      <c r="H95" s="19">
        <f t="shared" si="5"/>
        <v>0</v>
      </c>
    </row>
    <row r="96" spans="2:14" ht="15" thickBot="1" x14ac:dyDescent="0.3">
      <c r="B96" s="201"/>
      <c r="C96" s="3"/>
      <c r="D96" s="4"/>
      <c r="E96" s="61"/>
      <c r="F96" s="62">
        <f>SUM(F70:F95)</f>
        <v>51701.989999999991</v>
      </c>
      <c r="G96" s="36">
        <f>SUM(G70:G95)</f>
        <v>610.46</v>
      </c>
      <c r="H96" s="63">
        <f>SUM(H70:H95)</f>
        <v>51091.53</v>
      </c>
    </row>
    <row r="97" spans="2:14" x14ac:dyDescent="0.25">
      <c r="B97" s="204"/>
      <c r="C97" s="3"/>
      <c r="D97" s="65"/>
      <c r="E97" s="38" t="s">
        <v>8</v>
      </c>
      <c r="F97" s="39">
        <f>TOTAL!M10</f>
        <v>45000</v>
      </c>
      <c r="G97" s="40" t="s">
        <v>9</v>
      </c>
      <c r="H97" s="41">
        <f>H96/F97%</f>
        <v>113.53673333333333</v>
      </c>
      <c r="I97" s="58" t="s">
        <v>10</v>
      </c>
    </row>
    <row r="98" spans="2:14" ht="15" thickBot="1" x14ac:dyDescent="0.3">
      <c r="B98" s="202"/>
      <c r="C98" s="43"/>
      <c r="D98" s="44"/>
      <c r="E98" s="45"/>
      <c r="F98" s="67"/>
      <c r="G98" s="47"/>
      <c r="H98" s="48"/>
      <c r="I98" s="14"/>
      <c r="J98" s="54"/>
    </row>
    <row r="99" spans="2:14" ht="18.75" thickTop="1" x14ac:dyDescent="0.25">
      <c r="B99" s="198" t="s">
        <v>49</v>
      </c>
      <c r="C99" s="49"/>
      <c r="D99" s="4"/>
      <c r="E99" s="5"/>
      <c r="F99" s="6"/>
      <c r="G99" s="7"/>
      <c r="H99" s="50"/>
      <c r="I99" s="14"/>
    </row>
    <row r="100" spans="2:14" x14ac:dyDescent="0.25">
      <c r="B100" s="199" t="s">
        <v>1</v>
      </c>
      <c r="C100" s="9" t="s">
        <v>2</v>
      </c>
      <c r="D100" s="10" t="s">
        <v>3</v>
      </c>
      <c r="E100" s="11" t="s">
        <v>4</v>
      </c>
      <c r="F100" s="12" t="s">
        <v>5</v>
      </c>
      <c r="G100" s="7" t="s">
        <v>12</v>
      </c>
      <c r="H100" s="13" t="s">
        <v>7</v>
      </c>
      <c r="I100" s="14"/>
    </row>
    <row r="101" spans="2:14" s="14" customFormat="1" x14ac:dyDescent="0.25">
      <c r="B101" s="261">
        <v>449</v>
      </c>
      <c r="C101" s="15" t="s">
        <v>910</v>
      </c>
      <c r="D101" s="16" t="s">
        <v>909</v>
      </c>
      <c r="E101" s="17">
        <v>42678</v>
      </c>
      <c r="F101" s="51">
        <v>490</v>
      </c>
      <c r="G101" s="7"/>
      <c r="H101" s="19">
        <f t="shared" ref="H101:H153" si="7">F101-G101</f>
        <v>490</v>
      </c>
      <c r="J101" s="1"/>
      <c r="K101" s="1"/>
      <c r="L101" s="1"/>
      <c r="M101" s="1"/>
      <c r="N101" s="1"/>
    </row>
    <row r="102" spans="2:14" s="14" customFormat="1" x14ac:dyDescent="0.25">
      <c r="B102" s="261">
        <v>450</v>
      </c>
      <c r="C102" s="15" t="s">
        <v>910</v>
      </c>
      <c r="D102" s="16" t="s">
        <v>911</v>
      </c>
      <c r="E102" s="17">
        <v>42678</v>
      </c>
      <c r="F102" s="51">
        <v>590</v>
      </c>
      <c r="G102" s="7"/>
      <c r="H102" s="19">
        <f t="shared" si="7"/>
        <v>590</v>
      </c>
      <c r="J102" s="1"/>
      <c r="K102" s="1"/>
      <c r="L102" s="1"/>
      <c r="M102" s="1"/>
      <c r="N102" s="1"/>
    </row>
    <row r="103" spans="2:14" s="14" customFormat="1" x14ac:dyDescent="0.25">
      <c r="B103" s="261">
        <v>451</v>
      </c>
      <c r="C103" s="15" t="s">
        <v>910</v>
      </c>
      <c r="D103" s="16" t="s">
        <v>912</v>
      </c>
      <c r="E103" s="17">
        <v>42678</v>
      </c>
      <c r="F103" s="51">
        <v>990</v>
      </c>
      <c r="G103" s="7"/>
      <c r="H103" s="19">
        <f t="shared" si="7"/>
        <v>990</v>
      </c>
      <c r="J103" s="68"/>
    </row>
    <row r="104" spans="2:14" s="14" customFormat="1" x14ac:dyDescent="0.25">
      <c r="B104" s="261">
        <v>453</v>
      </c>
      <c r="C104" s="15" t="s">
        <v>910</v>
      </c>
      <c r="D104" s="16" t="s">
        <v>949</v>
      </c>
      <c r="E104" s="17">
        <v>42682</v>
      </c>
      <c r="F104" s="125">
        <v>1090</v>
      </c>
      <c r="G104" s="7"/>
      <c r="H104" s="19">
        <f t="shared" si="7"/>
        <v>1090</v>
      </c>
      <c r="I104" s="1"/>
    </row>
    <row r="105" spans="2:14" s="14" customFormat="1" x14ac:dyDescent="0.25">
      <c r="B105" s="221">
        <v>454</v>
      </c>
      <c r="C105" s="21" t="s">
        <v>910</v>
      </c>
      <c r="D105" s="20" t="s">
        <v>935</v>
      </c>
      <c r="E105" s="28">
        <v>42684</v>
      </c>
      <c r="F105" s="125">
        <v>490</v>
      </c>
      <c r="G105" s="7"/>
      <c r="H105" s="19">
        <f t="shared" si="7"/>
        <v>490</v>
      </c>
      <c r="I105" s="1"/>
    </row>
    <row r="106" spans="2:14" s="14" customFormat="1" x14ac:dyDescent="0.25">
      <c r="B106" s="195" t="s">
        <v>83</v>
      </c>
      <c r="C106" s="15" t="s">
        <v>84</v>
      </c>
      <c r="D106" s="16" t="s">
        <v>894</v>
      </c>
      <c r="E106" s="17"/>
      <c r="F106" s="51">
        <v>290</v>
      </c>
      <c r="G106" s="7"/>
      <c r="H106" s="19">
        <f t="shared" si="7"/>
        <v>290</v>
      </c>
      <c r="I106" s="1"/>
    </row>
    <row r="107" spans="2:14" x14ac:dyDescent="0.25">
      <c r="B107" s="261">
        <v>1128</v>
      </c>
      <c r="C107" s="15" t="s">
        <v>84</v>
      </c>
      <c r="D107" s="16" t="s">
        <v>943</v>
      </c>
      <c r="E107" s="17">
        <v>42685</v>
      </c>
      <c r="F107" s="125">
        <v>290</v>
      </c>
      <c r="G107" s="7"/>
      <c r="H107" s="19">
        <f t="shared" si="7"/>
        <v>290</v>
      </c>
      <c r="J107" s="14"/>
      <c r="K107" s="14"/>
      <c r="L107" s="14"/>
      <c r="M107" s="14"/>
      <c r="N107" s="14"/>
    </row>
    <row r="108" spans="2:14" x14ac:dyDescent="0.25">
      <c r="B108" s="261">
        <v>1129</v>
      </c>
      <c r="C108" s="15" t="s">
        <v>84</v>
      </c>
      <c r="D108" s="16" t="s">
        <v>774</v>
      </c>
      <c r="E108" s="17">
        <v>42685</v>
      </c>
      <c r="F108" s="125">
        <v>290</v>
      </c>
      <c r="G108" s="7"/>
      <c r="H108" s="19">
        <f t="shared" si="7"/>
        <v>290</v>
      </c>
      <c r="J108" s="14"/>
      <c r="K108" s="14"/>
      <c r="L108" s="14"/>
      <c r="M108" s="14"/>
      <c r="N108" s="14"/>
    </row>
    <row r="109" spans="2:14" x14ac:dyDescent="0.25">
      <c r="B109" s="221">
        <v>1130</v>
      </c>
      <c r="C109" s="21" t="s">
        <v>910</v>
      </c>
      <c r="D109" s="20" t="s">
        <v>944</v>
      </c>
      <c r="E109" s="28">
        <v>42685</v>
      </c>
      <c r="F109" s="125">
        <v>790</v>
      </c>
      <c r="G109" s="7"/>
      <c r="H109" s="19">
        <f t="shared" si="7"/>
        <v>790</v>
      </c>
    </row>
    <row r="110" spans="2:14" x14ac:dyDescent="0.25">
      <c r="B110" s="221">
        <v>1131</v>
      </c>
      <c r="C110" s="21" t="s">
        <v>84</v>
      </c>
      <c r="D110" s="20" t="s">
        <v>945</v>
      </c>
      <c r="E110" s="28">
        <v>42685</v>
      </c>
      <c r="F110" s="125">
        <v>290</v>
      </c>
      <c r="G110" s="7"/>
      <c r="H110" s="19">
        <f t="shared" si="7"/>
        <v>290</v>
      </c>
    </row>
    <row r="111" spans="2:14" x14ac:dyDescent="0.25">
      <c r="B111" s="221">
        <v>1132</v>
      </c>
      <c r="C111" s="21" t="s">
        <v>95</v>
      </c>
      <c r="D111" s="20" t="s">
        <v>392</v>
      </c>
      <c r="E111" s="28">
        <v>42685</v>
      </c>
      <c r="F111" s="125">
        <v>890</v>
      </c>
      <c r="G111" s="7"/>
      <c r="H111" s="19">
        <f t="shared" si="7"/>
        <v>890</v>
      </c>
      <c r="J111" s="54"/>
    </row>
    <row r="112" spans="2:14" x14ac:dyDescent="0.25">
      <c r="B112" s="261">
        <v>1133</v>
      </c>
      <c r="C112" s="15" t="s">
        <v>95</v>
      </c>
      <c r="D112" s="16" t="s">
        <v>890</v>
      </c>
      <c r="E112" s="17">
        <v>42685</v>
      </c>
      <c r="F112" s="125">
        <v>890</v>
      </c>
      <c r="G112" s="7"/>
      <c r="H112" s="19">
        <f t="shared" si="7"/>
        <v>890</v>
      </c>
      <c r="J112" s="54"/>
    </row>
    <row r="113" spans="2:10" x14ac:dyDescent="0.25">
      <c r="B113" s="221">
        <v>1134</v>
      </c>
      <c r="C113" s="21" t="s">
        <v>910</v>
      </c>
      <c r="D113" s="20" t="s">
        <v>516</v>
      </c>
      <c r="E113" s="28">
        <v>42685</v>
      </c>
      <c r="F113" s="125">
        <v>550</v>
      </c>
      <c r="G113" s="7"/>
      <c r="H113" s="19">
        <f t="shared" si="7"/>
        <v>550</v>
      </c>
      <c r="J113" s="54"/>
    </row>
    <row r="114" spans="2:10" x14ac:dyDescent="0.25">
      <c r="B114" s="221">
        <v>1138</v>
      </c>
      <c r="C114" s="21" t="s">
        <v>95</v>
      </c>
      <c r="D114" s="20" t="s">
        <v>669</v>
      </c>
      <c r="E114" s="28">
        <v>42692</v>
      </c>
      <c r="F114" s="125">
        <v>590</v>
      </c>
      <c r="G114" s="7"/>
      <c r="H114" s="19">
        <f t="shared" si="7"/>
        <v>590</v>
      </c>
      <c r="J114" s="54"/>
    </row>
    <row r="115" spans="2:10" x14ac:dyDescent="0.25">
      <c r="B115" s="221">
        <v>1136</v>
      </c>
      <c r="C115" s="21" t="s">
        <v>910</v>
      </c>
      <c r="D115" s="20" t="s">
        <v>946</v>
      </c>
      <c r="E115" s="28">
        <v>42685</v>
      </c>
      <c r="F115" s="125">
        <v>750</v>
      </c>
      <c r="G115" s="7"/>
      <c r="H115" s="19">
        <f t="shared" si="7"/>
        <v>750</v>
      </c>
      <c r="J115" s="54"/>
    </row>
    <row r="116" spans="2:10" x14ac:dyDescent="0.25">
      <c r="B116" s="221">
        <v>1137</v>
      </c>
      <c r="C116" s="21" t="s">
        <v>84</v>
      </c>
      <c r="D116" s="20" t="s">
        <v>201</v>
      </c>
      <c r="E116" s="28">
        <v>42685</v>
      </c>
      <c r="F116" s="125">
        <v>290</v>
      </c>
      <c r="G116" s="7"/>
      <c r="H116" s="19">
        <f t="shared" si="7"/>
        <v>290</v>
      </c>
      <c r="J116" s="54"/>
    </row>
    <row r="117" spans="2:10" x14ac:dyDescent="0.25">
      <c r="B117" s="261">
        <v>455</v>
      </c>
      <c r="C117" s="15" t="s">
        <v>910</v>
      </c>
      <c r="D117" s="16" t="s">
        <v>875</v>
      </c>
      <c r="E117" s="17">
        <v>42685</v>
      </c>
      <c r="F117" s="51">
        <v>1290</v>
      </c>
      <c r="G117" s="7"/>
      <c r="H117" s="19">
        <f t="shared" si="7"/>
        <v>1290</v>
      </c>
      <c r="J117" s="54"/>
    </row>
    <row r="118" spans="2:10" x14ac:dyDescent="0.25">
      <c r="B118" s="221">
        <v>1139</v>
      </c>
      <c r="C118" s="21" t="s">
        <v>910</v>
      </c>
      <c r="D118" s="20" t="s">
        <v>909</v>
      </c>
      <c r="E118" s="28">
        <v>42692</v>
      </c>
      <c r="F118" s="125">
        <v>390</v>
      </c>
      <c r="G118" s="7"/>
      <c r="H118" s="19">
        <f t="shared" si="7"/>
        <v>390</v>
      </c>
      <c r="J118" s="54"/>
    </row>
    <row r="119" spans="2:10" x14ac:dyDescent="0.25">
      <c r="B119" s="221">
        <v>1140</v>
      </c>
      <c r="C119" s="21" t="s">
        <v>910</v>
      </c>
      <c r="D119" s="20" t="s">
        <v>959</v>
      </c>
      <c r="E119" s="28">
        <v>42692</v>
      </c>
      <c r="F119" s="125">
        <v>730</v>
      </c>
      <c r="G119" s="7"/>
      <c r="H119" s="19">
        <f t="shared" si="7"/>
        <v>730</v>
      </c>
      <c r="J119" s="54"/>
    </row>
    <row r="120" spans="2:10" x14ac:dyDescent="0.25">
      <c r="B120" s="221">
        <v>1142</v>
      </c>
      <c r="C120" s="21" t="s">
        <v>84</v>
      </c>
      <c r="D120" s="20" t="s">
        <v>960</v>
      </c>
      <c r="E120" s="28">
        <v>42692</v>
      </c>
      <c r="F120" s="125">
        <v>290</v>
      </c>
      <c r="G120" s="7"/>
      <c r="H120" s="19">
        <f t="shared" si="7"/>
        <v>290</v>
      </c>
      <c r="J120" s="54"/>
    </row>
    <row r="121" spans="2:10" x14ac:dyDescent="0.25">
      <c r="B121" s="221">
        <v>1143</v>
      </c>
      <c r="C121" s="21" t="s">
        <v>910</v>
      </c>
      <c r="D121" s="20" t="s">
        <v>961</v>
      </c>
      <c r="E121" s="28">
        <v>42692</v>
      </c>
      <c r="F121" s="125">
        <v>290</v>
      </c>
      <c r="G121" s="7"/>
      <c r="H121" s="19">
        <f t="shared" si="7"/>
        <v>290</v>
      </c>
      <c r="J121" s="54"/>
    </row>
    <row r="122" spans="2:10" x14ac:dyDescent="0.25">
      <c r="B122" s="221">
        <v>1144</v>
      </c>
      <c r="C122" s="21" t="s">
        <v>84</v>
      </c>
      <c r="D122" s="20" t="s">
        <v>912</v>
      </c>
      <c r="E122" s="28">
        <v>42692</v>
      </c>
      <c r="F122" s="6">
        <v>290</v>
      </c>
      <c r="G122" s="7"/>
      <c r="H122" s="19">
        <f t="shared" si="7"/>
        <v>290</v>
      </c>
      <c r="J122" s="54"/>
    </row>
    <row r="123" spans="2:10" x14ac:dyDescent="0.25">
      <c r="B123" s="221">
        <v>1145</v>
      </c>
      <c r="C123" s="21" t="s">
        <v>84</v>
      </c>
      <c r="D123" s="20" t="s">
        <v>962</v>
      </c>
      <c r="E123" s="28" t="s">
        <v>963</v>
      </c>
      <c r="F123" s="6">
        <v>390</v>
      </c>
      <c r="G123" s="7"/>
      <c r="H123" s="19">
        <f t="shared" si="7"/>
        <v>390</v>
      </c>
      <c r="J123" s="54"/>
    </row>
    <row r="124" spans="2:10" x14ac:dyDescent="0.25">
      <c r="B124" s="221">
        <v>1146</v>
      </c>
      <c r="C124" s="21" t="s">
        <v>910</v>
      </c>
      <c r="D124" s="20" t="s">
        <v>851</v>
      </c>
      <c r="E124" s="28">
        <v>42698</v>
      </c>
      <c r="F124" s="6">
        <v>900</v>
      </c>
      <c r="G124" s="7"/>
      <c r="H124" s="19">
        <f t="shared" si="7"/>
        <v>900</v>
      </c>
      <c r="J124" s="54"/>
    </row>
    <row r="125" spans="2:10" x14ac:dyDescent="0.25">
      <c r="B125" s="221">
        <v>1147</v>
      </c>
      <c r="C125" s="21" t="s">
        <v>910</v>
      </c>
      <c r="D125" s="20" t="s">
        <v>964</v>
      </c>
      <c r="E125" s="28">
        <v>42698</v>
      </c>
      <c r="F125" s="6">
        <v>790</v>
      </c>
      <c r="G125" s="7"/>
      <c r="H125" s="19">
        <f t="shared" si="7"/>
        <v>790</v>
      </c>
      <c r="J125" s="54"/>
    </row>
    <row r="126" spans="2:10" x14ac:dyDescent="0.25">
      <c r="B126" s="221">
        <v>1148</v>
      </c>
      <c r="C126" s="21" t="s">
        <v>910</v>
      </c>
      <c r="D126" s="20" t="s">
        <v>965</v>
      </c>
      <c r="E126" s="28">
        <v>42698</v>
      </c>
      <c r="F126" s="6">
        <v>590</v>
      </c>
      <c r="G126" s="7"/>
      <c r="H126" s="19">
        <f t="shared" si="7"/>
        <v>590</v>
      </c>
      <c r="J126" s="54"/>
    </row>
    <row r="127" spans="2:10" x14ac:dyDescent="0.25">
      <c r="B127" s="221">
        <v>1149</v>
      </c>
      <c r="C127" s="21" t="s">
        <v>95</v>
      </c>
      <c r="D127" s="20" t="s">
        <v>966</v>
      </c>
      <c r="E127" s="28">
        <v>42698</v>
      </c>
      <c r="F127" s="6">
        <v>1150</v>
      </c>
      <c r="G127" s="7"/>
      <c r="H127" s="19">
        <f t="shared" si="7"/>
        <v>1150</v>
      </c>
      <c r="J127" s="54"/>
    </row>
    <row r="128" spans="2:10" x14ac:dyDescent="0.25">
      <c r="B128" s="221">
        <v>1150</v>
      </c>
      <c r="C128" s="21" t="s">
        <v>95</v>
      </c>
      <c r="D128" s="20" t="s">
        <v>967</v>
      </c>
      <c r="E128" s="28">
        <v>42698</v>
      </c>
      <c r="F128" s="6">
        <v>690</v>
      </c>
      <c r="G128" s="7"/>
      <c r="H128" s="19">
        <f t="shared" si="7"/>
        <v>690</v>
      </c>
      <c r="J128" s="54"/>
    </row>
    <row r="129" spans="2:10" x14ac:dyDescent="0.25">
      <c r="B129" s="221">
        <v>1151</v>
      </c>
      <c r="C129" s="21" t="s">
        <v>910</v>
      </c>
      <c r="D129" s="20" t="s">
        <v>809</v>
      </c>
      <c r="E129" s="28">
        <v>42699</v>
      </c>
      <c r="F129" s="6">
        <v>490</v>
      </c>
      <c r="G129" s="7"/>
      <c r="H129" s="19">
        <f t="shared" si="7"/>
        <v>490</v>
      </c>
      <c r="J129" s="54"/>
    </row>
    <row r="130" spans="2:10" x14ac:dyDescent="0.25">
      <c r="B130" s="221">
        <v>1152</v>
      </c>
      <c r="C130" s="21" t="s">
        <v>910</v>
      </c>
      <c r="D130" s="20" t="s">
        <v>968</v>
      </c>
      <c r="E130" s="28">
        <v>42699</v>
      </c>
      <c r="F130" s="6">
        <v>590</v>
      </c>
      <c r="G130" s="7"/>
      <c r="H130" s="19">
        <f t="shared" si="7"/>
        <v>590</v>
      </c>
      <c r="J130" s="54"/>
    </row>
    <row r="131" spans="2:10" x14ac:dyDescent="0.25">
      <c r="B131" s="221">
        <v>1153</v>
      </c>
      <c r="C131" s="21" t="s">
        <v>84</v>
      </c>
      <c r="D131" s="20" t="s">
        <v>969</v>
      </c>
      <c r="E131" s="28">
        <v>42699</v>
      </c>
      <c r="F131" s="6">
        <v>390</v>
      </c>
      <c r="G131" s="7"/>
      <c r="H131" s="19">
        <f t="shared" si="7"/>
        <v>390</v>
      </c>
      <c r="J131" s="54"/>
    </row>
    <row r="132" spans="2:10" x14ac:dyDescent="0.25">
      <c r="B132" s="221">
        <v>1156</v>
      </c>
      <c r="C132" s="21" t="s">
        <v>95</v>
      </c>
      <c r="D132" s="20" t="s">
        <v>971</v>
      </c>
      <c r="E132" s="28">
        <v>42699</v>
      </c>
      <c r="F132" s="6">
        <v>590</v>
      </c>
      <c r="G132" s="7"/>
      <c r="H132" s="19">
        <f t="shared" si="7"/>
        <v>590</v>
      </c>
      <c r="J132" s="54"/>
    </row>
    <row r="133" spans="2:10" x14ac:dyDescent="0.25">
      <c r="B133" s="221">
        <v>1157</v>
      </c>
      <c r="C133" s="21" t="s">
        <v>910</v>
      </c>
      <c r="D133" s="20" t="s">
        <v>972</v>
      </c>
      <c r="E133" s="28">
        <v>42699</v>
      </c>
      <c r="F133" s="125">
        <v>490</v>
      </c>
      <c r="G133" s="7"/>
      <c r="H133" s="19">
        <f t="shared" si="7"/>
        <v>490</v>
      </c>
      <c r="J133" s="54"/>
    </row>
    <row r="134" spans="2:10" x14ac:dyDescent="0.25">
      <c r="B134" s="221">
        <v>1158</v>
      </c>
      <c r="C134" s="21" t="s">
        <v>84</v>
      </c>
      <c r="D134" s="20" t="s">
        <v>973</v>
      </c>
      <c r="E134" s="28">
        <v>42699</v>
      </c>
      <c r="F134" s="6">
        <v>290</v>
      </c>
      <c r="G134" s="7"/>
      <c r="H134" s="19">
        <f t="shared" si="7"/>
        <v>290</v>
      </c>
      <c r="J134" s="54"/>
    </row>
    <row r="135" spans="2:10" x14ac:dyDescent="0.25">
      <c r="B135" s="221">
        <v>1159</v>
      </c>
      <c r="C135" s="21" t="s">
        <v>95</v>
      </c>
      <c r="D135" s="20" t="s">
        <v>974</v>
      </c>
      <c r="E135" s="28">
        <v>42699</v>
      </c>
      <c r="F135" s="6">
        <v>490</v>
      </c>
      <c r="G135" s="7"/>
      <c r="H135" s="19">
        <f t="shared" si="7"/>
        <v>490</v>
      </c>
      <c r="J135" s="54"/>
    </row>
    <row r="136" spans="2:10" x14ac:dyDescent="0.25">
      <c r="B136" s="221">
        <v>1160</v>
      </c>
      <c r="C136" s="21" t="s">
        <v>910</v>
      </c>
      <c r="D136" s="21" t="s">
        <v>975</v>
      </c>
      <c r="E136" s="28">
        <v>42699</v>
      </c>
      <c r="F136" s="6">
        <v>490</v>
      </c>
      <c r="G136" s="7"/>
      <c r="H136" s="19">
        <f t="shared" si="7"/>
        <v>490</v>
      </c>
      <c r="J136" s="54"/>
    </row>
    <row r="137" spans="2:10" x14ac:dyDescent="0.25">
      <c r="B137" s="221">
        <v>1161</v>
      </c>
      <c r="C137" s="21" t="s">
        <v>84</v>
      </c>
      <c r="D137" s="20" t="s">
        <v>976</v>
      </c>
      <c r="E137" s="28">
        <v>42699</v>
      </c>
      <c r="F137" s="6">
        <v>290</v>
      </c>
      <c r="G137" s="7"/>
      <c r="H137" s="19">
        <f t="shared" si="7"/>
        <v>290</v>
      </c>
      <c r="J137" s="54"/>
    </row>
    <row r="138" spans="2:10" x14ac:dyDescent="0.25">
      <c r="B138" s="221">
        <v>1162</v>
      </c>
      <c r="C138" s="21" t="s">
        <v>910</v>
      </c>
      <c r="D138" s="20" t="s">
        <v>977</v>
      </c>
      <c r="E138" s="28">
        <v>42699</v>
      </c>
      <c r="F138" s="6">
        <v>990</v>
      </c>
      <c r="G138" s="7"/>
      <c r="H138" s="19">
        <f t="shared" si="7"/>
        <v>990</v>
      </c>
      <c r="J138" s="54"/>
    </row>
    <row r="139" spans="2:10" x14ac:dyDescent="0.25">
      <c r="B139" s="221">
        <v>457</v>
      </c>
      <c r="C139" s="21" t="s">
        <v>910</v>
      </c>
      <c r="D139" s="20" t="s">
        <v>114</v>
      </c>
      <c r="E139" s="28">
        <v>42692</v>
      </c>
      <c r="F139" s="6">
        <v>1859.31</v>
      </c>
      <c r="G139" s="7"/>
      <c r="H139" s="19">
        <f t="shared" si="7"/>
        <v>1859.31</v>
      </c>
      <c r="J139" s="54"/>
    </row>
    <row r="140" spans="2:10" x14ac:dyDescent="0.25">
      <c r="B140" s="221">
        <v>458</v>
      </c>
      <c r="C140" s="21" t="s">
        <v>910</v>
      </c>
      <c r="D140" s="20" t="s">
        <v>978</v>
      </c>
      <c r="E140" s="28">
        <v>42698</v>
      </c>
      <c r="F140" s="6">
        <v>590</v>
      </c>
      <c r="G140" s="7"/>
      <c r="H140" s="19">
        <f t="shared" si="7"/>
        <v>590</v>
      </c>
      <c r="J140" s="54"/>
    </row>
    <row r="141" spans="2:10" x14ac:dyDescent="0.25">
      <c r="B141" s="221">
        <v>1163</v>
      </c>
      <c r="C141" s="21" t="s">
        <v>910</v>
      </c>
      <c r="D141" s="20" t="s">
        <v>296</v>
      </c>
      <c r="E141" s="28">
        <v>42703</v>
      </c>
      <c r="F141" s="6">
        <v>790</v>
      </c>
      <c r="G141" s="7"/>
      <c r="H141" s="19">
        <f t="shared" si="7"/>
        <v>790</v>
      </c>
      <c r="J141" s="54"/>
    </row>
    <row r="142" spans="2:10" x14ac:dyDescent="0.25">
      <c r="B142" s="221">
        <v>1164</v>
      </c>
      <c r="C142" s="21" t="s">
        <v>84</v>
      </c>
      <c r="D142" s="20" t="s">
        <v>989</v>
      </c>
      <c r="E142" s="28">
        <v>42704</v>
      </c>
      <c r="F142" s="6">
        <v>290</v>
      </c>
      <c r="G142" s="7"/>
      <c r="H142" s="19">
        <f t="shared" si="7"/>
        <v>290</v>
      </c>
      <c r="J142" s="54"/>
    </row>
    <row r="143" spans="2:10" x14ac:dyDescent="0.25">
      <c r="B143" s="221">
        <v>1165</v>
      </c>
      <c r="C143" s="21" t="s">
        <v>910</v>
      </c>
      <c r="D143" s="20" t="s">
        <v>237</v>
      </c>
      <c r="E143" s="28">
        <v>42704</v>
      </c>
      <c r="F143" s="6">
        <v>1180</v>
      </c>
      <c r="G143" s="7"/>
      <c r="H143" s="19">
        <f t="shared" si="7"/>
        <v>1180</v>
      </c>
      <c r="J143" s="54"/>
    </row>
    <row r="144" spans="2:10" x14ac:dyDescent="0.25">
      <c r="B144" s="185"/>
      <c r="C144" s="21"/>
      <c r="D144" s="20"/>
      <c r="E144" s="28"/>
      <c r="F144" s="6"/>
      <c r="G144" s="7"/>
      <c r="H144" s="19">
        <f t="shared" si="7"/>
        <v>0</v>
      </c>
      <c r="J144" s="54"/>
    </row>
    <row r="145" spans="2:10" x14ac:dyDescent="0.25">
      <c r="B145" s="185"/>
      <c r="C145" s="21"/>
      <c r="D145" s="20"/>
      <c r="E145" s="28"/>
      <c r="F145" s="6"/>
      <c r="G145" s="7"/>
      <c r="H145" s="19">
        <f t="shared" si="7"/>
        <v>0</v>
      </c>
      <c r="J145" s="54"/>
    </row>
    <row r="146" spans="2:10" x14ac:dyDescent="0.25">
      <c r="B146" s="185"/>
      <c r="C146" s="21"/>
      <c r="D146" s="20"/>
      <c r="E146" s="28"/>
      <c r="F146" s="6"/>
      <c r="G146" s="7"/>
      <c r="H146" s="19">
        <f t="shared" si="7"/>
        <v>0</v>
      </c>
    </row>
    <row r="147" spans="2:10" x14ac:dyDescent="0.25">
      <c r="B147" s="185"/>
      <c r="C147" s="21"/>
      <c r="D147" s="20"/>
      <c r="E147" s="28"/>
      <c r="F147" s="6"/>
      <c r="G147" s="7"/>
      <c r="H147" s="19">
        <f t="shared" si="7"/>
        <v>0</v>
      </c>
    </row>
    <row r="148" spans="2:10" x14ac:dyDescent="0.25">
      <c r="B148" s="185"/>
      <c r="C148" s="21"/>
      <c r="D148" s="20"/>
      <c r="E148" s="28"/>
      <c r="F148" s="6"/>
      <c r="G148" s="7"/>
      <c r="H148" s="19">
        <f t="shared" si="7"/>
        <v>0</v>
      </c>
    </row>
    <row r="149" spans="2:10" x14ac:dyDescent="0.25">
      <c r="B149" s="185"/>
      <c r="C149" s="21"/>
      <c r="D149" s="20"/>
      <c r="E149" s="28"/>
      <c r="F149" s="6"/>
      <c r="G149" s="7"/>
      <c r="H149" s="19">
        <f t="shared" si="7"/>
        <v>0</v>
      </c>
    </row>
    <row r="150" spans="2:10" x14ac:dyDescent="0.25">
      <c r="B150" s="185"/>
      <c r="C150" s="21"/>
      <c r="D150" s="20"/>
      <c r="E150" s="28"/>
      <c r="F150" s="6"/>
      <c r="G150" s="7"/>
      <c r="H150" s="19">
        <f t="shared" si="7"/>
        <v>0</v>
      </c>
    </row>
    <row r="151" spans="2:10" x14ac:dyDescent="0.25">
      <c r="B151" s="185"/>
      <c r="C151" s="21"/>
      <c r="D151" s="20"/>
      <c r="E151" s="28"/>
      <c r="F151" s="6"/>
      <c r="G151" s="7"/>
      <c r="H151" s="19">
        <f t="shared" si="7"/>
        <v>0</v>
      </c>
    </row>
    <row r="152" spans="2:10" x14ac:dyDescent="0.25">
      <c r="B152" s="185"/>
      <c r="C152" s="21"/>
      <c r="D152" s="20"/>
      <c r="E152" s="28"/>
      <c r="F152" s="6"/>
      <c r="G152" s="7"/>
      <c r="H152" s="19">
        <f t="shared" si="7"/>
        <v>0</v>
      </c>
    </row>
    <row r="153" spans="2:10" ht="15" thickBot="1" x14ac:dyDescent="0.3">
      <c r="B153" s="185"/>
      <c r="C153" s="21"/>
      <c r="D153" s="20"/>
      <c r="E153" s="28"/>
      <c r="F153" s="6"/>
      <c r="G153" s="7"/>
      <c r="H153" s="19">
        <f t="shared" si="7"/>
        <v>0</v>
      </c>
    </row>
    <row r="154" spans="2:10" ht="15" thickBot="1" x14ac:dyDescent="0.3">
      <c r="E154" s="70"/>
      <c r="F154" s="62">
        <f>SUM(F101:F153)</f>
        <v>27159.31</v>
      </c>
      <c r="G154" s="36"/>
      <c r="H154" s="63">
        <f>SUM(H101:H153)</f>
        <v>27159.31</v>
      </c>
    </row>
    <row r="155" spans="2:10" x14ac:dyDescent="0.25">
      <c r="E155" s="38" t="s">
        <v>8</v>
      </c>
      <c r="F155" s="39">
        <f>TOTAL!M11</f>
        <v>35000</v>
      </c>
      <c r="G155" s="40" t="s">
        <v>16</v>
      </c>
      <c r="H155" s="71">
        <f>H154/F155%</f>
        <v>77.598028571428571</v>
      </c>
      <c r="I155" s="58" t="s">
        <v>10</v>
      </c>
    </row>
    <row r="156" spans="2:10" x14ac:dyDescent="0.25">
      <c r="E156" s="38"/>
      <c r="F156" s="39"/>
      <c r="G156" s="40"/>
      <c r="H156" s="71"/>
      <c r="I156" s="58"/>
    </row>
    <row r="157" spans="2:10" x14ac:dyDescent="0.25">
      <c r="E157" s="38"/>
      <c r="F157" s="39"/>
      <c r="G157" s="40"/>
      <c r="H157" s="71"/>
      <c r="I157" s="58"/>
    </row>
    <row r="158" spans="2:10" ht="15" thickBot="1" x14ac:dyDescent="0.3">
      <c r="E158" s="38"/>
      <c r="F158" s="39"/>
      <c r="G158" s="40"/>
      <c r="H158" s="71"/>
      <c r="I158" s="58"/>
    </row>
    <row r="159" spans="2:10" ht="18.75" thickTop="1" x14ac:dyDescent="0.25">
      <c r="B159" s="207" t="s">
        <v>150</v>
      </c>
      <c r="C159" s="76"/>
      <c r="D159" s="83"/>
      <c r="E159" s="77"/>
      <c r="F159" s="77"/>
      <c r="G159" s="77"/>
      <c r="H159" s="77"/>
      <c r="I159" s="58"/>
    </row>
    <row r="160" spans="2:10" x14ac:dyDescent="0.25">
      <c r="B160" s="199" t="s">
        <v>1</v>
      </c>
      <c r="C160" s="9" t="s">
        <v>2</v>
      </c>
      <c r="D160" s="10" t="s">
        <v>3</v>
      </c>
      <c r="E160" s="266" t="s">
        <v>4</v>
      </c>
      <c r="F160" s="12" t="s">
        <v>5</v>
      </c>
      <c r="G160" s="7" t="s">
        <v>12</v>
      </c>
      <c r="H160" s="13" t="s">
        <v>7</v>
      </c>
      <c r="I160" s="58"/>
    </row>
    <row r="161" spans="2:14" x14ac:dyDescent="0.25">
      <c r="B161" s="262">
        <v>452</v>
      </c>
      <c r="C161" s="182" t="s">
        <v>151</v>
      </c>
      <c r="D161" s="183" t="s">
        <v>152</v>
      </c>
      <c r="E161" s="178">
        <v>42682</v>
      </c>
      <c r="F161" s="177">
        <v>58296.83</v>
      </c>
      <c r="G161" s="175"/>
      <c r="H161" s="19">
        <f t="shared" ref="H161:H164" si="8">F161-G161</f>
        <v>58296.83</v>
      </c>
      <c r="I161" s="58"/>
    </row>
    <row r="162" spans="2:14" x14ac:dyDescent="0.25">
      <c r="B162" s="262">
        <v>456</v>
      </c>
      <c r="C162" s="182" t="s">
        <v>151</v>
      </c>
      <c r="D162" s="183" t="s">
        <v>152</v>
      </c>
      <c r="E162" s="178">
        <v>42692</v>
      </c>
      <c r="F162" s="177">
        <v>40420.22</v>
      </c>
      <c r="G162" s="175"/>
      <c r="H162" s="19">
        <f t="shared" si="8"/>
        <v>40420.22</v>
      </c>
      <c r="I162" s="58"/>
    </row>
    <row r="163" spans="2:14" x14ac:dyDescent="0.25">
      <c r="B163" s="182"/>
      <c r="C163" s="29"/>
      <c r="D163" s="30"/>
      <c r="E163" s="31"/>
      <c r="F163" s="6"/>
      <c r="G163" s="7"/>
      <c r="H163" s="19">
        <f t="shared" si="8"/>
        <v>0</v>
      </c>
      <c r="I163" s="58"/>
    </row>
    <row r="164" spans="2:14" ht="15" thickBot="1" x14ac:dyDescent="0.3">
      <c r="B164" s="182"/>
      <c r="C164" s="29"/>
      <c r="D164" s="30"/>
      <c r="E164" s="31"/>
      <c r="F164" s="6"/>
      <c r="G164" s="7"/>
      <c r="H164" s="19">
        <f t="shared" si="8"/>
        <v>0</v>
      </c>
      <c r="I164" s="58"/>
    </row>
    <row r="165" spans="2:14" ht="15" thickBot="1" x14ac:dyDescent="0.3">
      <c r="B165" s="182"/>
      <c r="C165" s="29"/>
      <c r="D165" s="30"/>
      <c r="E165" s="31"/>
      <c r="F165" s="35"/>
      <c r="G165" s="36"/>
      <c r="H165" s="37">
        <f>SUM(H161:H164)</f>
        <v>98717.05</v>
      </c>
      <c r="I165" s="58"/>
    </row>
    <row r="166" spans="2:14" x14ac:dyDescent="0.25">
      <c r="E166" s="38"/>
      <c r="F166" s="39"/>
      <c r="G166" s="40"/>
      <c r="H166" s="71"/>
      <c r="I166" s="58"/>
    </row>
    <row r="167" spans="2:14" ht="15" thickBot="1" x14ac:dyDescent="0.3">
      <c r="B167" s="206"/>
      <c r="C167" s="79"/>
      <c r="D167" s="80"/>
      <c r="E167" s="81"/>
      <c r="F167" s="82"/>
      <c r="G167" s="7"/>
      <c r="H167" s="74"/>
    </row>
    <row r="168" spans="2:14" ht="18.75" thickTop="1" x14ac:dyDescent="0.25">
      <c r="B168" s="207" t="s">
        <v>44</v>
      </c>
      <c r="C168" s="76"/>
      <c r="D168" s="83"/>
      <c r="E168" s="77"/>
      <c r="F168" s="84"/>
      <c r="G168" s="78"/>
      <c r="H168" s="50"/>
      <c r="J168" s="14"/>
    </row>
    <row r="169" spans="2:14" x14ac:dyDescent="0.25">
      <c r="B169" s="199" t="s">
        <v>1</v>
      </c>
      <c r="C169" s="9" t="s">
        <v>2</v>
      </c>
      <c r="D169" s="10" t="s">
        <v>3</v>
      </c>
      <c r="E169" s="11" t="s">
        <v>4</v>
      </c>
      <c r="F169" s="12" t="s">
        <v>5</v>
      </c>
      <c r="G169" s="7" t="s">
        <v>12</v>
      </c>
      <c r="H169" s="13" t="s">
        <v>7</v>
      </c>
    </row>
    <row r="170" spans="2:14" s="14" customFormat="1" x14ac:dyDescent="0.25">
      <c r="B170" s="185" t="s">
        <v>83</v>
      </c>
      <c r="C170" s="21" t="s">
        <v>102</v>
      </c>
      <c r="D170" s="20" t="s">
        <v>299</v>
      </c>
      <c r="E170" s="28">
        <v>42683</v>
      </c>
      <c r="F170" s="6">
        <v>120</v>
      </c>
      <c r="G170" s="7">
        <v>0</v>
      </c>
      <c r="H170" s="19">
        <f t="shared" ref="H170:H178" si="9">F170-G170</f>
        <v>120</v>
      </c>
      <c r="I170" s="1"/>
      <c r="J170" s="1"/>
      <c r="K170" s="1"/>
      <c r="L170" s="1"/>
      <c r="M170" s="1"/>
      <c r="N170" s="1"/>
    </row>
    <row r="171" spans="2:14" s="14" customFormat="1" x14ac:dyDescent="0.25">
      <c r="B171" s="221">
        <v>1559</v>
      </c>
      <c r="C171" s="21" t="s">
        <v>102</v>
      </c>
      <c r="D171" s="20" t="s">
        <v>932</v>
      </c>
      <c r="E171" s="28"/>
      <c r="F171" s="6">
        <v>630</v>
      </c>
      <c r="G171" s="7">
        <v>30</v>
      </c>
      <c r="H171" s="19">
        <f t="shared" si="9"/>
        <v>600</v>
      </c>
      <c r="I171" s="1"/>
      <c r="J171" s="1"/>
      <c r="K171" s="1"/>
      <c r="L171" s="1"/>
      <c r="M171" s="1"/>
      <c r="N171" s="1"/>
    </row>
    <row r="172" spans="2:14" s="14" customFormat="1" x14ac:dyDescent="0.25">
      <c r="B172" s="221">
        <v>1572</v>
      </c>
      <c r="C172" s="21" t="s">
        <v>102</v>
      </c>
      <c r="D172" s="20" t="s">
        <v>221</v>
      </c>
      <c r="E172" s="28">
        <v>42685</v>
      </c>
      <c r="F172" s="6">
        <v>350</v>
      </c>
      <c r="G172" s="175"/>
      <c r="H172" s="19">
        <f t="shared" si="9"/>
        <v>350</v>
      </c>
      <c r="I172" s="1"/>
      <c r="J172" s="1"/>
    </row>
    <row r="173" spans="2:14" s="14" customFormat="1" x14ac:dyDescent="0.25">
      <c r="B173" s="221">
        <v>1601</v>
      </c>
      <c r="C173" s="21" t="s">
        <v>102</v>
      </c>
      <c r="D173" s="20" t="s">
        <v>988</v>
      </c>
      <c r="E173" s="28">
        <v>42702</v>
      </c>
      <c r="F173" s="6">
        <v>670</v>
      </c>
      <c r="G173" s="7">
        <v>30</v>
      </c>
      <c r="H173" s="19">
        <f t="shared" si="9"/>
        <v>640</v>
      </c>
      <c r="I173" s="58"/>
      <c r="J173" s="54"/>
    </row>
    <row r="174" spans="2:14" s="14" customFormat="1" x14ac:dyDescent="0.25">
      <c r="B174" s="221">
        <v>1602</v>
      </c>
      <c r="C174" s="21" t="s">
        <v>102</v>
      </c>
      <c r="D174" s="20" t="s">
        <v>560</v>
      </c>
      <c r="E174" s="28">
        <v>42703</v>
      </c>
      <c r="F174" s="6">
        <v>930</v>
      </c>
      <c r="G174" s="7">
        <v>30</v>
      </c>
      <c r="H174" s="19">
        <f t="shared" si="9"/>
        <v>900</v>
      </c>
      <c r="J174" s="1"/>
    </row>
    <row r="175" spans="2:14" s="14" customFormat="1" x14ac:dyDescent="0.25">
      <c r="B175" s="185"/>
      <c r="C175" s="141" t="s">
        <v>102</v>
      </c>
      <c r="D175" s="141" t="s">
        <v>992</v>
      </c>
      <c r="E175" s="154">
        <v>42704</v>
      </c>
      <c r="F175" s="6">
        <v>300</v>
      </c>
      <c r="G175" s="7"/>
      <c r="H175" s="19">
        <f t="shared" si="9"/>
        <v>300</v>
      </c>
      <c r="J175" s="54"/>
    </row>
    <row r="176" spans="2:14" s="14" customFormat="1" x14ac:dyDescent="0.25">
      <c r="B176" s="185"/>
      <c r="C176" s="21"/>
      <c r="D176" s="20"/>
      <c r="E176" s="28"/>
      <c r="F176" s="6"/>
      <c r="G176" s="7"/>
      <c r="H176" s="19">
        <f t="shared" si="9"/>
        <v>0</v>
      </c>
      <c r="J176" s="54"/>
    </row>
    <row r="177" spans="2:14" s="14" customFormat="1" ht="15" customHeight="1" x14ac:dyDescent="0.25">
      <c r="B177" s="185"/>
      <c r="C177" s="21"/>
      <c r="D177" s="20"/>
      <c r="E177" s="28"/>
      <c r="F177" s="6"/>
      <c r="G177" s="7"/>
      <c r="H177" s="19">
        <f t="shared" si="9"/>
        <v>0</v>
      </c>
      <c r="J177" s="54"/>
    </row>
    <row r="178" spans="2:14" ht="15" thickBot="1" x14ac:dyDescent="0.3">
      <c r="B178" s="185"/>
      <c r="C178" s="21"/>
      <c r="D178" s="20"/>
      <c r="E178" s="28"/>
      <c r="F178" s="6"/>
      <c r="G178" s="7"/>
      <c r="H178" s="19">
        <f t="shared" si="9"/>
        <v>0</v>
      </c>
      <c r="I178" s="101"/>
      <c r="K178" s="14"/>
      <c r="L178" s="14"/>
      <c r="M178" s="14"/>
      <c r="N178" s="14"/>
    </row>
    <row r="179" spans="2:14" ht="15" thickBot="1" x14ac:dyDescent="0.3">
      <c r="B179" s="208"/>
      <c r="C179" s="85"/>
      <c r="D179" s="14"/>
      <c r="E179" s="86"/>
      <c r="F179" s="62">
        <f>SUM(F170:F178)</f>
        <v>3000</v>
      </c>
      <c r="G179" s="36">
        <f>SUM(G170:G178)</f>
        <v>90</v>
      </c>
      <c r="H179" s="63">
        <f>SUM(H170:H178)</f>
        <v>2910</v>
      </c>
      <c r="I179" s="214"/>
      <c r="K179" s="14"/>
      <c r="L179" s="14"/>
      <c r="M179" s="14"/>
      <c r="N179" s="14"/>
    </row>
    <row r="180" spans="2:14" x14ac:dyDescent="0.25">
      <c r="E180" s="38" t="s">
        <v>8</v>
      </c>
      <c r="F180" s="39">
        <f>TOTAL!M12</f>
        <v>3500</v>
      </c>
      <c r="G180" s="40" t="s">
        <v>16</v>
      </c>
      <c r="H180" s="71">
        <f>H179/F180%</f>
        <v>83.142857142857139</v>
      </c>
      <c r="I180" s="58" t="s">
        <v>10</v>
      </c>
    </row>
    <row r="181" spans="2:14" ht="15" thickBot="1" x14ac:dyDescent="0.3">
      <c r="B181" s="201"/>
      <c r="C181" s="3"/>
      <c r="D181" s="87"/>
      <c r="E181" s="88"/>
      <c r="F181" s="89"/>
      <c r="G181" s="90"/>
      <c r="H181" s="8"/>
      <c r="I181" s="14"/>
    </row>
    <row r="182" spans="2:14" ht="15" thickBot="1" x14ac:dyDescent="0.3">
      <c r="D182" s="288" t="s">
        <v>76</v>
      </c>
      <c r="E182" s="288"/>
      <c r="F182" s="288"/>
      <c r="G182" s="288"/>
      <c r="H182" s="91">
        <f>SUM(SUM(H3:H6)+SUM(H48)+SUM(H57:H58)+SUM(H70:H72)+SUM(H101:H108))</f>
        <v>86849.34</v>
      </c>
      <c r="I182" s="14"/>
    </row>
    <row r="183" spans="2:14" ht="15" thickBot="1" x14ac:dyDescent="0.3">
      <c r="D183" s="285" t="s">
        <v>77</v>
      </c>
      <c r="E183" s="285"/>
      <c r="F183" s="285"/>
      <c r="G183" s="285"/>
      <c r="H183" s="92">
        <f>SUM(SUM(H7:H9)+SUM(H49)+SUM(H59)+SUM(H73:H75)+SUM(H109:H119)+SUM(H170))</f>
        <v>68991.23</v>
      </c>
      <c r="I183" s="14"/>
    </row>
    <row r="184" spans="2:14" ht="15" thickBot="1" x14ac:dyDescent="0.3">
      <c r="D184" s="286" t="s">
        <v>78</v>
      </c>
      <c r="E184" s="286"/>
      <c r="F184" s="286"/>
      <c r="G184" s="286"/>
      <c r="H184" s="93">
        <f>SUM(SUM(H10:H12)+SUM(H50)+SUM(H60:H62)+SUM(H76:H79)+SUM(H120:H133)+SUM(H171:H175))</f>
        <v>73519.3</v>
      </c>
      <c r="I184" s="14"/>
    </row>
    <row r="185" spans="2:14" ht="15" thickBot="1" x14ac:dyDescent="0.3">
      <c r="D185" s="287" t="s">
        <v>79</v>
      </c>
      <c r="E185" s="287"/>
      <c r="F185" s="287"/>
      <c r="G185" s="287"/>
      <c r="H185" s="94">
        <f>SUM(SUM(H13:H17)+SUM(H80:H84)+SUM(H134:H151))</f>
        <v>124485.75999999999</v>
      </c>
      <c r="I185" s="14"/>
    </row>
    <row r="186" spans="2:14" ht="15" thickBot="1" x14ac:dyDescent="0.3">
      <c r="D186" s="96"/>
      <c r="E186" s="97"/>
      <c r="F186" s="98"/>
      <c r="G186" s="99"/>
      <c r="H186" s="100">
        <f>SUM(H182:H185)</f>
        <v>353845.63</v>
      </c>
      <c r="I186" s="101">
        <f>SUM(H30,H43,H52,H65,H96,H154,H179)</f>
        <v>571188.95000000007</v>
      </c>
    </row>
    <row r="187" spans="2:14" x14ac:dyDescent="0.25">
      <c r="I187" s="42"/>
    </row>
    <row r="188" spans="2:14" x14ac:dyDescent="0.25">
      <c r="B188" s="180"/>
      <c r="C188" s="1"/>
      <c r="E188" s="70"/>
    </row>
    <row r="193" spans="1:14" s="104" customFormat="1" x14ac:dyDescent="0.25">
      <c r="A193" s="1"/>
      <c r="B193" s="205"/>
      <c r="C193" s="69"/>
      <c r="D193" s="1"/>
      <c r="E193" s="70"/>
      <c r="F193" s="73"/>
      <c r="G193" s="103"/>
      <c r="I193" s="1"/>
      <c r="J193" s="1"/>
      <c r="K193" s="1"/>
      <c r="L193" s="1"/>
      <c r="M193" s="1"/>
      <c r="N193" s="1"/>
    </row>
    <row r="194" spans="1:14" x14ac:dyDescent="0.25">
      <c r="K194" s="104"/>
      <c r="L194" s="104"/>
      <c r="M194" s="104"/>
      <c r="N194" s="104"/>
    </row>
    <row r="200" spans="1:14" s="104" customFormat="1" x14ac:dyDescent="0.25">
      <c r="A200" s="1"/>
      <c r="B200" s="205"/>
      <c r="C200" s="69"/>
      <c r="D200" s="1"/>
      <c r="E200" s="70"/>
      <c r="F200" s="73"/>
      <c r="G200" s="103"/>
      <c r="I200" s="1"/>
      <c r="J200" s="1"/>
      <c r="K200" s="1"/>
      <c r="L200" s="1"/>
      <c r="M200" s="1"/>
      <c r="N200" s="1"/>
    </row>
    <row r="201" spans="1:14" x14ac:dyDescent="0.25">
      <c r="K201" s="104"/>
      <c r="L201" s="104"/>
      <c r="M201" s="104"/>
      <c r="N201" s="104"/>
    </row>
  </sheetData>
  <sortState ref="B101:G151">
    <sortCondition ref="E101:E151"/>
    <sortCondition ref="B101:B151"/>
  </sortState>
  <mergeCells count="5">
    <mergeCell ref="D185:G185"/>
    <mergeCell ref="J1:N1"/>
    <mergeCell ref="D182:G182"/>
    <mergeCell ref="D183:G183"/>
    <mergeCell ref="D184:G184"/>
  </mergeCells>
  <phoneticPr fontId="38" type="noConversion"/>
  <pageMargins left="0.75" right="0.75" top="1" bottom="1" header="0.49212598499999999" footer="0.49212598499999999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"/>
  <sheetViews>
    <sheetView showGridLines="0" zoomScale="85" workbookViewId="0"/>
  </sheetViews>
  <sheetFormatPr defaultRowHeight="14.25" x14ac:dyDescent="0.25"/>
  <cols>
    <col min="1" max="1" width="9.140625" style="1" customWidth="1"/>
    <col min="2" max="2" width="11.5703125" style="69" customWidth="1"/>
    <col min="3" max="3" width="22" style="69" customWidth="1"/>
    <col min="4" max="4" width="60.28515625" style="1" bestFit="1" customWidth="1"/>
    <col min="5" max="5" width="18.7109375" style="72" customWidth="1"/>
    <col min="6" max="6" width="16.28515625" style="73" customWidth="1"/>
    <col min="7" max="7" width="16.5703125" style="103" customWidth="1"/>
    <col min="8" max="8" width="23.42578125" style="104" customWidth="1"/>
    <col min="9" max="9" width="34" style="1" customWidth="1"/>
    <col min="10" max="14" width="15.7109375" style="1" customWidth="1"/>
    <col min="15" max="16384" width="9.140625" style="1"/>
  </cols>
  <sheetData>
    <row r="1" spans="1:14" ht="18" x14ac:dyDescent="0.25">
      <c r="B1" s="2" t="s">
        <v>0</v>
      </c>
      <c r="C1" s="3"/>
      <c r="D1" s="4"/>
      <c r="E1" s="5"/>
      <c r="F1" s="6"/>
      <c r="G1" s="7"/>
      <c r="H1" s="8"/>
      <c r="J1" s="284" t="s">
        <v>43</v>
      </c>
      <c r="K1" s="284"/>
      <c r="L1" s="284"/>
      <c r="M1" s="284"/>
      <c r="N1" s="284"/>
    </row>
    <row r="2" spans="1:14" x14ac:dyDescent="0.25">
      <c r="B2" s="9" t="s">
        <v>1</v>
      </c>
      <c r="C2" s="9" t="s">
        <v>2</v>
      </c>
      <c r="D2" s="10" t="s">
        <v>3</v>
      </c>
      <c r="E2" s="11" t="s">
        <v>4</v>
      </c>
      <c r="F2" s="12" t="s">
        <v>5</v>
      </c>
      <c r="G2" s="7" t="s">
        <v>6</v>
      </c>
      <c r="H2" s="13" t="s">
        <v>7</v>
      </c>
      <c r="I2" s="11" t="s">
        <v>42</v>
      </c>
      <c r="J2" s="11" t="s">
        <v>50</v>
      </c>
      <c r="K2" s="11" t="s">
        <v>53</v>
      </c>
      <c r="L2" s="11" t="s">
        <v>51</v>
      </c>
      <c r="M2" s="11" t="s">
        <v>52</v>
      </c>
      <c r="N2" s="11" t="s">
        <v>54</v>
      </c>
    </row>
    <row r="3" spans="1:14" s="14" customFormat="1" x14ac:dyDescent="0.25">
      <c r="B3" s="21"/>
      <c r="C3" s="21"/>
      <c r="D3" s="16"/>
      <c r="E3" s="17"/>
      <c r="F3" s="6"/>
      <c r="G3" s="7"/>
      <c r="H3" s="19">
        <f t="shared" ref="H3:H30" si="0">F3-G3</f>
        <v>0</v>
      </c>
      <c r="I3" s="158"/>
      <c r="J3" s="146"/>
      <c r="K3" s="146"/>
      <c r="L3" s="146"/>
      <c r="M3" s="146"/>
      <c r="N3" s="189"/>
    </row>
    <row r="4" spans="1:14" s="14" customFormat="1" x14ac:dyDescent="0.25">
      <c r="A4" s="20"/>
      <c r="B4" s="22"/>
      <c r="C4" s="141"/>
      <c r="D4" s="141"/>
      <c r="E4" s="23"/>
      <c r="F4" s="24"/>
      <c r="G4" s="25"/>
      <c r="H4" s="19">
        <f t="shared" si="0"/>
        <v>0</v>
      </c>
      <c r="I4" s="158"/>
      <c r="J4" s="146"/>
      <c r="K4" s="146"/>
      <c r="L4" s="146"/>
      <c r="M4" s="146"/>
      <c r="N4" s="146"/>
    </row>
    <row r="5" spans="1:14" s="14" customFormat="1" x14ac:dyDescent="0.25">
      <c r="A5" s="20"/>
      <c r="B5" s="22"/>
      <c r="C5" s="141"/>
      <c r="D5" s="141"/>
      <c r="E5" s="23"/>
      <c r="F5" s="26"/>
      <c r="G5" s="175"/>
      <c r="H5" s="19">
        <f t="shared" si="0"/>
        <v>0</v>
      </c>
      <c r="I5" s="158"/>
      <c r="J5" s="146"/>
      <c r="K5" s="146"/>
      <c r="L5" s="146"/>
      <c r="M5" s="146"/>
      <c r="N5" s="146"/>
    </row>
    <row r="6" spans="1:14" s="14" customFormat="1" x14ac:dyDescent="0.25">
      <c r="A6" s="20"/>
      <c r="B6" s="22"/>
      <c r="C6" s="141"/>
      <c r="D6" s="141"/>
      <c r="E6" s="23"/>
      <c r="F6" s="26"/>
      <c r="G6" s="175"/>
      <c r="H6" s="19">
        <f t="shared" si="0"/>
        <v>0</v>
      </c>
      <c r="I6" s="158"/>
      <c r="J6" s="146"/>
      <c r="K6" s="146"/>
      <c r="L6" s="146"/>
      <c r="M6" s="146"/>
      <c r="N6" s="146"/>
    </row>
    <row r="7" spans="1:14" x14ac:dyDescent="0.25">
      <c r="A7" s="20"/>
      <c r="B7" s="22"/>
      <c r="C7" s="141"/>
      <c r="D7" s="141"/>
      <c r="E7" s="23"/>
      <c r="F7" s="26"/>
      <c r="G7" s="175"/>
      <c r="H7" s="19">
        <f t="shared" si="0"/>
        <v>0</v>
      </c>
      <c r="I7" s="158"/>
      <c r="J7" s="146"/>
      <c r="K7" s="146"/>
      <c r="L7" s="146"/>
      <c r="M7" s="146"/>
      <c r="N7" s="146"/>
    </row>
    <row r="8" spans="1:14" x14ac:dyDescent="0.25">
      <c r="A8" s="20"/>
      <c r="B8" s="21"/>
      <c r="C8" s="21"/>
      <c r="D8" s="20"/>
      <c r="E8" s="28"/>
      <c r="F8" s="6"/>
      <c r="G8" s="175"/>
      <c r="H8" s="19">
        <f t="shared" si="0"/>
        <v>0</v>
      </c>
      <c r="I8" s="158"/>
      <c r="J8" s="146"/>
      <c r="K8" s="146"/>
      <c r="L8" s="146"/>
      <c r="M8" s="146"/>
      <c r="N8" s="146"/>
    </row>
    <row r="9" spans="1:14" x14ac:dyDescent="0.25">
      <c r="A9" s="20"/>
      <c r="B9" s="29"/>
      <c r="C9" s="29"/>
      <c r="D9" s="30"/>
      <c r="E9" s="31"/>
      <c r="F9" s="6"/>
      <c r="G9" s="175"/>
      <c r="H9" s="19">
        <f t="shared" si="0"/>
        <v>0</v>
      </c>
      <c r="I9" s="158"/>
      <c r="J9" s="146"/>
      <c r="K9" s="146"/>
      <c r="L9" s="146"/>
      <c r="M9" s="146"/>
      <c r="N9" s="146"/>
    </row>
    <row r="10" spans="1:14" x14ac:dyDescent="0.25">
      <c r="A10" s="20"/>
      <c r="B10" s="29"/>
      <c r="C10" s="29"/>
      <c r="D10" s="30"/>
      <c r="E10" s="31"/>
      <c r="F10" s="18"/>
      <c r="G10" s="175"/>
      <c r="H10" s="19">
        <f t="shared" si="0"/>
        <v>0</v>
      </c>
      <c r="I10" s="158"/>
      <c r="J10" s="146"/>
      <c r="K10" s="146"/>
      <c r="L10" s="146"/>
      <c r="M10" s="146"/>
      <c r="N10" s="146"/>
    </row>
    <row r="11" spans="1:14" x14ac:dyDescent="0.25">
      <c r="A11" s="20"/>
      <c r="B11" s="29"/>
      <c r="C11" s="29"/>
      <c r="D11" s="30"/>
      <c r="E11" s="28"/>
      <c r="F11" s="6"/>
      <c r="G11" s="175"/>
      <c r="H11" s="19">
        <f t="shared" si="0"/>
        <v>0</v>
      </c>
      <c r="I11" s="158"/>
      <c r="J11" s="146"/>
      <c r="K11" s="146"/>
      <c r="L11" s="146"/>
      <c r="M11" s="146"/>
      <c r="N11" s="146"/>
    </row>
    <row r="12" spans="1:14" x14ac:dyDescent="0.25">
      <c r="A12" s="20"/>
      <c r="B12" s="29"/>
      <c r="C12" s="29"/>
      <c r="D12" s="30"/>
      <c r="E12" s="28"/>
      <c r="F12" s="6"/>
      <c r="G12" s="175"/>
      <c r="H12" s="19">
        <f t="shared" si="0"/>
        <v>0</v>
      </c>
      <c r="I12" s="158"/>
      <c r="J12" s="146"/>
      <c r="K12" s="146"/>
      <c r="L12" s="146"/>
      <c r="M12" s="146"/>
      <c r="N12" s="146"/>
    </row>
    <row r="13" spans="1:14" x14ac:dyDescent="0.25">
      <c r="A13" s="20"/>
      <c r="B13" s="21"/>
      <c r="C13" s="21"/>
      <c r="D13" s="20"/>
      <c r="E13" s="28"/>
      <c r="F13" s="6"/>
      <c r="G13" s="175"/>
      <c r="H13" s="19">
        <f t="shared" si="0"/>
        <v>0</v>
      </c>
      <c r="I13" s="158"/>
      <c r="J13" s="146"/>
      <c r="K13" s="146"/>
      <c r="L13" s="146"/>
      <c r="M13" s="146"/>
      <c r="N13" s="146"/>
    </row>
    <row r="14" spans="1:14" x14ac:dyDescent="0.25">
      <c r="A14" s="20"/>
      <c r="B14" s="21"/>
      <c r="C14" s="21"/>
      <c r="D14" s="20"/>
      <c r="E14" s="28"/>
      <c r="F14" s="6"/>
      <c r="G14" s="175"/>
      <c r="H14" s="19">
        <f t="shared" si="0"/>
        <v>0</v>
      </c>
      <c r="I14" s="158"/>
      <c r="J14" s="146"/>
      <c r="K14" s="146"/>
      <c r="L14" s="146"/>
      <c r="M14" s="146"/>
      <c r="N14" s="146"/>
    </row>
    <row r="15" spans="1:14" x14ac:dyDescent="0.25">
      <c r="B15" s="21"/>
      <c r="C15" s="21"/>
      <c r="D15" s="20"/>
      <c r="E15" s="28"/>
      <c r="F15" s="6"/>
      <c r="G15" s="175"/>
      <c r="H15" s="19">
        <f t="shared" si="0"/>
        <v>0</v>
      </c>
      <c r="I15" s="158"/>
      <c r="J15" s="146"/>
      <c r="K15" s="146"/>
      <c r="L15" s="146"/>
      <c r="M15" s="146"/>
      <c r="N15" s="146"/>
    </row>
    <row r="16" spans="1:14" x14ac:dyDescent="0.25">
      <c r="B16" s="21"/>
      <c r="C16" s="21"/>
      <c r="D16" s="20"/>
      <c r="E16" s="28"/>
      <c r="F16" s="6"/>
      <c r="G16" s="175"/>
      <c r="H16" s="19">
        <f t="shared" si="0"/>
        <v>0</v>
      </c>
      <c r="I16" s="158"/>
      <c r="J16" s="146"/>
      <c r="K16" s="146"/>
      <c r="L16" s="146"/>
      <c r="M16" s="146"/>
      <c r="N16" s="146"/>
    </row>
    <row r="17" spans="2:14" x14ac:dyDescent="0.25">
      <c r="B17" s="21"/>
      <c r="C17" s="21"/>
      <c r="D17" s="20"/>
      <c r="E17" s="28"/>
      <c r="F17" s="6"/>
      <c r="G17" s="175"/>
      <c r="H17" s="19">
        <f t="shared" si="0"/>
        <v>0</v>
      </c>
      <c r="I17" s="158"/>
      <c r="J17" s="146"/>
      <c r="K17" s="146"/>
      <c r="L17" s="146"/>
      <c r="M17" s="146"/>
      <c r="N17" s="146"/>
    </row>
    <row r="18" spans="2:14" x14ac:dyDescent="0.25">
      <c r="B18" s="21"/>
      <c r="C18" s="21"/>
      <c r="D18" s="20"/>
      <c r="E18" s="28"/>
      <c r="F18" s="6"/>
      <c r="G18" s="175"/>
      <c r="H18" s="19">
        <f t="shared" si="0"/>
        <v>0</v>
      </c>
      <c r="I18" s="158"/>
      <c r="J18" s="146"/>
      <c r="K18" s="146"/>
      <c r="L18" s="146"/>
      <c r="M18" s="146"/>
      <c r="N18" s="146"/>
    </row>
    <row r="19" spans="2:14" x14ac:dyDescent="0.25">
      <c r="B19" s="21"/>
      <c r="C19" s="21"/>
      <c r="D19" s="20"/>
      <c r="E19" s="28"/>
      <c r="F19" s="6"/>
      <c r="G19" s="175"/>
      <c r="H19" s="19">
        <f t="shared" si="0"/>
        <v>0</v>
      </c>
      <c r="I19" s="158"/>
      <c r="J19" s="146"/>
      <c r="K19" s="146"/>
      <c r="L19" s="146"/>
      <c r="M19" s="146"/>
      <c r="N19" s="146"/>
    </row>
    <row r="20" spans="2:14" x14ac:dyDescent="0.25">
      <c r="B20" s="21"/>
      <c r="C20" s="21"/>
      <c r="D20" s="20"/>
      <c r="E20" s="28"/>
      <c r="F20" s="6"/>
      <c r="G20" s="175"/>
      <c r="H20" s="19">
        <f t="shared" si="0"/>
        <v>0</v>
      </c>
      <c r="I20" s="158"/>
      <c r="J20" s="146"/>
      <c r="K20" s="146"/>
      <c r="L20" s="146"/>
      <c r="M20" s="146"/>
      <c r="N20" s="146"/>
    </row>
    <row r="21" spans="2:14" x14ac:dyDescent="0.25">
      <c r="B21" s="21"/>
      <c r="C21" s="21"/>
      <c r="D21" s="20"/>
      <c r="E21" s="28"/>
      <c r="F21" s="6"/>
      <c r="G21" s="175"/>
      <c r="H21" s="19">
        <f t="shared" si="0"/>
        <v>0</v>
      </c>
      <c r="I21" s="158"/>
      <c r="J21" s="146"/>
      <c r="K21" s="146"/>
      <c r="L21" s="146"/>
      <c r="M21" s="146"/>
      <c r="N21" s="146"/>
    </row>
    <row r="22" spans="2:14" x14ac:dyDescent="0.25">
      <c r="B22" s="21"/>
      <c r="C22" s="21"/>
      <c r="D22" s="20"/>
      <c r="E22" s="28"/>
      <c r="F22" s="6"/>
      <c r="G22" s="175"/>
      <c r="H22" s="19">
        <f t="shared" si="0"/>
        <v>0</v>
      </c>
      <c r="I22" s="158"/>
      <c r="J22" s="146"/>
      <c r="K22" s="146"/>
      <c r="L22" s="146"/>
      <c r="M22" s="146"/>
      <c r="N22" s="146"/>
    </row>
    <row r="23" spans="2:14" x14ac:dyDescent="0.25">
      <c r="B23" s="21"/>
      <c r="C23" s="21"/>
      <c r="D23" s="20"/>
      <c r="E23" s="28"/>
      <c r="F23" s="6"/>
      <c r="G23" s="175"/>
      <c r="H23" s="19">
        <f t="shared" si="0"/>
        <v>0</v>
      </c>
      <c r="I23" s="158"/>
      <c r="J23" s="146"/>
      <c r="K23" s="146"/>
      <c r="L23" s="146"/>
      <c r="M23" s="146"/>
      <c r="N23" s="146"/>
    </row>
    <row r="24" spans="2:14" x14ac:dyDescent="0.25">
      <c r="B24" s="21"/>
      <c r="C24" s="21"/>
      <c r="D24" s="20"/>
      <c r="E24" s="28"/>
      <c r="F24" s="6"/>
      <c r="G24" s="175"/>
      <c r="H24" s="19">
        <f t="shared" si="0"/>
        <v>0</v>
      </c>
      <c r="I24" s="66"/>
      <c r="J24" s="188"/>
      <c r="K24" s="188"/>
      <c r="L24" s="188"/>
      <c r="M24" s="188"/>
      <c r="N24" s="188"/>
    </row>
    <row r="25" spans="2:14" x14ac:dyDescent="0.25">
      <c r="B25" s="21"/>
      <c r="C25" s="21"/>
      <c r="D25" s="20"/>
      <c r="E25" s="28"/>
      <c r="F25" s="6"/>
      <c r="G25" s="175"/>
      <c r="H25" s="19">
        <f t="shared" si="0"/>
        <v>0</v>
      </c>
      <c r="I25" s="66"/>
      <c r="J25" s="188"/>
      <c r="K25" s="188"/>
      <c r="L25" s="188"/>
      <c r="M25" s="188"/>
      <c r="N25" s="188"/>
    </row>
    <row r="26" spans="2:14" x14ac:dyDescent="0.25">
      <c r="B26" s="21"/>
      <c r="C26" s="21"/>
      <c r="D26" s="20"/>
      <c r="E26" s="28"/>
      <c r="F26" s="6"/>
      <c r="G26" s="175"/>
      <c r="H26" s="19">
        <f t="shared" si="0"/>
        <v>0</v>
      </c>
      <c r="I26" s="66"/>
      <c r="J26" s="133"/>
      <c r="K26" s="134"/>
      <c r="L26" s="134"/>
      <c r="M26" s="134"/>
      <c r="N26" s="134"/>
    </row>
    <row r="27" spans="2:14" x14ac:dyDescent="0.25">
      <c r="B27" s="21"/>
      <c r="C27" s="21"/>
      <c r="D27" s="20"/>
      <c r="E27" s="28"/>
      <c r="F27" s="6"/>
      <c r="G27" s="175"/>
      <c r="H27" s="19">
        <f t="shared" si="0"/>
        <v>0</v>
      </c>
      <c r="I27" s="66"/>
      <c r="J27" s="133"/>
      <c r="K27" s="134"/>
      <c r="L27" s="134"/>
      <c r="M27" s="134"/>
      <c r="N27" s="134"/>
    </row>
    <row r="28" spans="2:14" x14ac:dyDescent="0.25">
      <c r="B28" s="21"/>
      <c r="C28" s="21"/>
      <c r="D28" s="20"/>
      <c r="E28" s="28"/>
      <c r="F28" s="6"/>
      <c r="G28" s="175"/>
      <c r="H28" s="19">
        <f t="shared" si="0"/>
        <v>0</v>
      </c>
      <c r="I28" s="66"/>
      <c r="J28" s="133"/>
      <c r="K28" s="134"/>
      <c r="L28" s="134"/>
      <c r="M28" s="134"/>
      <c r="N28" s="134"/>
    </row>
    <row r="29" spans="2:14" x14ac:dyDescent="0.25">
      <c r="B29" s="21"/>
      <c r="C29" s="21"/>
      <c r="D29" s="20"/>
      <c r="E29" s="28"/>
      <c r="F29" s="6"/>
      <c r="G29" s="7"/>
      <c r="H29" s="19">
        <f t="shared" si="0"/>
        <v>0</v>
      </c>
      <c r="I29" s="66"/>
      <c r="J29" s="133"/>
      <c r="K29" s="134"/>
      <c r="L29" s="134"/>
      <c r="M29" s="134"/>
      <c r="N29" s="134"/>
    </row>
    <row r="30" spans="2:14" ht="15" thickBot="1" x14ac:dyDescent="0.3">
      <c r="B30" s="21"/>
      <c r="C30" s="21"/>
      <c r="D30" s="20"/>
      <c r="E30" s="28"/>
      <c r="F30" s="6"/>
      <c r="G30" s="7"/>
      <c r="H30" s="19">
        <f t="shared" si="0"/>
        <v>0</v>
      </c>
      <c r="I30" s="66"/>
      <c r="J30" s="133"/>
      <c r="K30" s="134"/>
      <c r="L30" s="134"/>
      <c r="M30" s="134"/>
      <c r="N30" s="134"/>
    </row>
    <row r="31" spans="2:14" ht="15" thickBot="1" x14ac:dyDescent="0.3">
      <c r="B31" s="32"/>
      <c r="C31" s="32"/>
      <c r="D31" s="33"/>
      <c r="E31" s="34"/>
      <c r="F31" s="35">
        <f>SUM(F3:F30)</f>
        <v>0</v>
      </c>
      <c r="G31" s="36">
        <f>SUM(G3:G30)</f>
        <v>0</v>
      </c>
      <c r="H31" s="37">
        <f>SUM(H3:H30)</f>
        <v>0</v>
      </c>
      <c r="I31" s="66"/>
      <c r="J31" s="131">
        <f>SUM(J3:J30)</f>
        <v>0</v>
      </c>
      <c r="K31" s="131">
        <f>SUM(K3:K30)</f>
        <v>0</v>
      </c>
      <c r="L31" s="131">
        <f>SUM(L3:L30)</f>
        <v>0</v>
      </c>
      <c r="M31" s="131">
        <f>SUM(M3:M30)</f>
        <v>0</v>
      </c>
      <c r="N31" s="131">
        <f>SUM(N3:N30)</f>
        <v>0</v>
      </c>
    </row>
    <row r="32" spans="2:14" x14ac:dyDescent="0.25">
      <c r="B32" s="3"/>
      <c r="C32" s="3"/>
      <c r="D32" s="4"/>
      <c r="E32" s="38" t="s">
        <v>8</v>
      </c>
      <c r="F32" s="39">
        <f>TOTAL!N8</f>
        <v>350000</v>
      </c>
      <c r="G32" s="40" t="s">
        <v>9</v>
      </c>
      <c r="H32" s="41">
        <f>H31/F32%</f>
        <v>0</v>
      </c>
      <c r="I32" s="58" t="s">
        <v>10</v>
      </c>
    </row>
    <row r="33" spans="2:9" ht="15" thickBot="1" x14ac:dyDescent="0.3">
      <c r="B33" s="43"/>
      <c r="C33" s="43"/>
      <c r="D33" s="44"/>
      <c r="E33" s="45"/>
      <c r="F33" s="46"/>
      <c r="G33" s="47"/>
      <c r="H33" s="48"/>
      <c r="I33" s="14"/>
    </row>
    <row r="34" spans="2:9" ht="18.75" thickTop="1" x14ac:dyDescent="0.25">
      <c r="B34" s="2" t="s">
        <v>11</v>
      </c>
      <c r="C34" s="49"/>
      <c r="D34" s="4"/>
      <c r="E34" s="5"/>
      <c r="F34" s="6"/>
      <c r="G34" s="7"/>
      <c r="H34" s="50"/>
      <c r="I34" s="14"/>
    </row>
    <row r="35" spans="2:9" x14ac:dyDescent="0.25">
      <c r="B35" s="9" t="s">
        <v>1</v>
      </c>
      <c r="C35" s="9" t="s">
        <v>2</v>
      </c>
      <c r="D35" s="10" t="s">
        <v>3</v>
      </c>
      <c r="E35" s="11" t="s">
        <v>4</v>
      </c>
      <c r="F35" s="12" t="s">
        <v>5</v>
      </c>
      <c r="G35" s="7" t="s">
        <v>12</v>
      </c>
      <c r="H35" s="13" t="s">
        <v>7</v>
      </c>
      <c r="I35" s="14"/>
    </row>
    <row r="36" spans="2:9" s="14" customFormat="1" x14ac:dyDescent="0.25">
      <c r="B36" s="29"/>
      <c r="C36" s="29"/>
      <c r="D36" s="30"/>
      <c r="E36" s="31"/>
      <c r="F36" s="6"/>
      <c r="G36" s="7"/>
      <c r="H36" s="19">
        <f t="shared" ref="H36:H43" si="1">F36-G36</f>
        <v>0</v>
      </c>
    </row>
    <row r="37" spans="2:9" s="14" customFormat="1" x14ac:dyDescent="0.25">
      <c r="B37" s="29"/>
      <c r="C37" s="29"/>
      <c r="D37" s="30"/>
      <c r="E37" s="31"/>
      <c r="F37" s="6"/>
      <c r="G37" s="7"/>
      <c r="H37" s="19">
        <f t="shared" si="1"/>
        <v>0</v>
      </c>
    </row>
    <row r="38" spans="2:9" s="14" customFormat="1" x14ac:dyDescent="0.25">
      <c r="B38" s="29"/>
      <c r="C38" s="29"/>
      <c r="D38" s="30"/>
      <c r="E38" s="31"/>
      <c r="F38" s="6"/>
      <c r="G38" s="7"/>
      <c r="H38" s="19">
        <f t="shared" si="1"/>
        <v>0</v>
      </c>
    </row>
    <row r="39" spans="2:9" s="14" customFormat="1" x14ac:dyDescent="0.25">
      <c r="B39" s="29"/>
      <c r="C39" s="29"/>
      <c r="D39" s="30"/>
      <c r="E39" s="31"/>
      <c r="F39" s="6"/>
      <c r="G39" s="7"/>
      <c r="H39" s="19">
        <f t="shared" si="1"/>
        <v>0</v>
      </c>
      <c r="I39" s="1"/>
    </row>
    <row r="40" spans="2:9" s="14" customFormat="1" x14ac:dyDescent="0.25">
      <c r="B40" s="29"/>
      <c r="C40" s="29"/>
      <c r="D40" s="30"/>
      <c r="E40" s="31"/>
      <c r="F40" s="6"/>
      <c r="G40" s="7"/>
      <c r="H40" s="19">
        <f t="shared" si="1"/>
        <v>0</v>
      </c>
      <c r="I40" s="1"/>
    </row>
    <row r="41" spans="2:9" s="14" customFormat="1" x14ac:dyDescent="0.25">
      <c r="B41" s="29"/>
      <c r="C41" s="29"/>
      <c r="D41" s="30"/>
      <c r="E41" s="31"/>
      <c r="F41" s="6"/>
      <c r="G41" s="7"/>
      <c r="H41" s="19">
        <f t="shared" si="1"/>
        <v>0</v>
      </c>
      <c r="I41" s="1"/>
    </row>
    <row r="42" spans="2:9" x14ac:dyDescent="0.25">
      <c r="B42" s="29"/>
      <c r="C42" s="29"/>
      <c r="D42" s="30"/>
      <c r="E42" s="31"/>
      <c r="F42" s="6"/>
      <c r="G42" s="7"/>
      <c r="H42" s="19">
        <f t="shared" si="1"/>
        <v>0</v>
      </c>
    </row>
    <row r="43" spans="2:9" ht="15" thickBot="1" x14ac:dyDescent="0.3">
      <c r="B43" s="29"/>
      <c r="C43" s="29"/>
      <c r="D43" s="30"/>
      <c r="E43" s="31"/>
      <c r="F43" s="6"/>
      <c r="G43" s="7"/>
      <c r="H43" s="19">
        <f t="shared" si="1"/>
        <v>0</v>
      </c>
    </row>
    <row r="44" spans="2:9" ht="15" thickBot="1" x14ac:dyDescent="0.3">
      <c r="B44" s="29"/>
      <c r="C44" s="29"/>
      <c r="D44" s="30"/>
      <c r="E44" s="31"/>
      <c r="F44" s="35"/>
      <c r="G44" s="36"/>
      <c r="H44" s="37">
        <f>SUM(H36:H43)</f>
        <v>0</v>
      </c>
    </row>
    <row r="45" spans="2:9" x14ac:dyDescent="0.25">
      <c r="B45" s="29"/>
      <c r="C45" s="29"/>
      <c r="D45" s="30"/>
      <c r="E45" s="31"/>
      <c r="F45" s="51"/>
      <c r="G45" s="52"/>
      <c r="H45" s="53"/>
    </row>
    <row r="46" spans="2:9" ht="15" thickBot="1" x14ac:dyDescent="0.3">
      <c r="B46" s="43"/>
      <c r="C46" s="43"/>
      <c r="D46" s="44"/>
      <c r="E46" s="45"/>
      <c r="F46" s="46"/>
      <c r="G46" s="47"/>
      <c r="H46" s="48"/>
      <c r="I46" s="14"/>
    </row>
    <row r="47" spans="2:9" ht="18.75" thickTop="1" x14ac:dyDescent="0.25">
      <c r="B47" s="2" t="s">
        <v>13</v>
      </c>
      <c r="C47" s="49"/>
      <c r="D47" s="4"/>
      <c r="E47" s="5"/>
      <c r="F47" s="6"/>
      <c r="G47" s="7"/>
      <c r="H47" s="50"/>
      <c r="I47" s="14"/>
    </row>
    <row r="48" spans="2:9" x14ac:dyDescent="0.25">
      <c r="B48" s="9" t="s">
        <v>1</v>
      </c>
      <c r="C48" s="9" t="s">
        <v>2</v>
      </c>
      <c r="D48" s="10" t="s">
        <v>3</v>
      </c>
      <c r="E48" s="11" t="s">
        <v>4</v>
      </c>
      <c r="F48" s="12" t="s">
        <v>5</v>
      </c>
      <c r="G48" s="7" t="s">
        <v>12</v>
      </c>
      <c r="H48" s="13" t="s">
        <v>7</v>
      </c>
      <c r="I48" s="14"/>
    </row>
    <row r="49" spans="2:10" s="14" customFormat="1" x14ac:dyDescent="0.25">
      <c r="B49" s="29"/>
      <c r="C49" s="29"/>
      <c r="D49" s="30"/>
      <c r="E49" s="31"/>
      <c r="F49" s="6"/>
      <c r="G49" s="7"/>
      <c r="H49" s="19">
        <f t="shared" ref="H49:H60" si="2">F49-G49</f>
        <v>0</v>
      </c>
    </row>
    <row r="50" spans="2:10" s="14" customFormat="1" x14ac:dyDescent="0.25">
      <c r="B50" s="21"/>
      <c r="C50" s="21"/>
      <c r="D50" s="20"/>
      <c r="E50" s="28"/>
      <c r="F50" s="6"/>
      <c r="G50" s="175"/>
      <c r="H50" s="19">
        <f t="shared" si="2"/>
        <v>0</v>
      </c>
    </row>
    <row r="51" spans="2:10" s="14" customFormat="1" x14ac:dyDescent="0.25">
      <c r="B51" s="22"/>
      <c r="C51" s="141"/>
      <c r="D51" s="141"/>
      <c r="E51" s="23"/>
      <c r="F51" s="6"/>
      <c r="G51" s="175"/>
      <c r="H51" s="19">
        <f t="shared" si="2"/>
        <v>0</v>
      </c>
    </row>
    <row r="52" spans="2:10" s="14" customFormat="1" x14ac:dyDescent="0.25">
      <c r="B52" s="22"/>
      <c r="C52" s="141"/>
      <c r="D52" s="141"/>
      <c r="E52" s="23"/>
      <c r="F52" s="6"/>
      <c r="G52" s="7"/>
      <c r="H52" s="19">
        <f t="shared" si="2"/>
        <v>0</v>
      </c>
      <c r="I52" s="1"/>
    </row>
    <row r="53" spans="2:10" s="14" customFormat="1" x14ac:dyDescent="0.25">
      <c r="B53" s="22"/>
      <c r="C53" s="141"/>
      <c r="D53" s="141"/>
      <c r="E53" s="23"/>
      <c r="F53" s="6"/>
      <c r="G53" s="175"/>
      <c r="H53" s="19">
        <f t="shared" si="2"/>
        <v>0</v>
      </c>
      <c r="I53" s="1"/>
    </row>
    <row r="54" spans="2:10" s="14" customFormat="1" x14ac:dyDescent="0.25">
      <c r="B54" s="29"/>
      <c r="C54" s="29"/>
      <c r="D54" s="30"/>
      <c r="E54" s="28"/>
      <c r="F54" s="6"/>
      <c r="G54" s="7"/>
      <c r="H54" s="19">
        <f t="shared" si="2"/>
        <v>0</v>
      </c>
      <c r="I54" s="1"/>
    </row>
    <row r="55" spans="2:10" x14ac:dyDescent="0.25">
      <c r="B55" s="29"/>
      <c r="C55" s="29"/>
      <c r="D55" s="30"/>
      <c r="E55" s="31"/>
      <c r="F55" s="6"/>
      <c r="G55" s="7"/>
      <c r="H55" s="19">
        <f t="shared" si="2"/>
        <v>0</v>
      </c>
    </row>
    <row r="56" spans="2:10" x14ac:dyDescent="0.25">
      <c r="B56" s="29"/>
      <c r="C56" s="29"/>
      <c r="D56" s="30"/>
      <c r="E56" s="31"/>
      <c r="F56" s="6"/>
      <c r="G56" s="7"/>
      <c r="H56" s="19">
        <f t="shared" si="2"/>
        <v>0</v>
      </c>
    </row>
    <row r="57" spans="2:10" x14ac:dyDescent="0.25">
      <c r="B57" s="29"/>
      <c r="C57" s="29"/>
      <c r="D57" s="30"/>
      <c r="E57" s="31"/>
      <c r="F57" s="6"/>
      <c r="G57" s="7"/>
      <c r="H57" s="19">
        <f t="shared" si="2"/>
        <v>0</v>
      </c>
    </row>
    <row r="58" spans="2:10" x14ac:dyDescent="0.25">
      <c r="B58" s="29"/>
      <c r="C58" s="29"/>
      <c r="D58" s="30"/>
      <c r="E58" s="31"/>
      <c r="F58" s="6"/>
      <c r="G58" s="7"/>
      <c r="H58" s="19">
        <f t="shared" si="2"/>
        <v>0</v>
      </c>
      <c r="J58" s="54"/>
    </row>
    <row r="59" spans="2:10" x14ac:dyDescent="0.25">
      <c r="B59" s="29"/>
      <c r="C59" s="29"/>
      <c r="D59" s="30"/>
      <c r="E59" s="31"/>
      <c r="F59" s="6"/>
      <c r="G59" s="7"/>
      <c r="H59" s="19">
        <f t="shared" si="2"/>
        <v>0</v>
      </c>
      <c r="I59" s="58"/>
    </row>
    <row r="60" spans="2:10" ht="15" thickBot="1" x14ac:dyDescent="0.3">
      <c r="B60" s="29"/>
      <c r="C60" s="29"/>
      <c r="D60" s="30"/>
      <c r="E60" s="31"/>
      <c r="F60" s="6"/>
      <c r="G60" s="7"/>
      <c r="H60" s="19">
        <f t="shared" si="2"/>
        <v>0</v>
      </c>
    </row>
    <row r="61" spans="2:10" ht="15" thickBot="1" x14ac:dyDescent="0.3">
      <c r="B61" s="55"/>
      <c r="C61" s="55"/>
      <c r="D61" s="56"/>
      <c r="E61" s="57"/>
      <c r="F61" s="35">
        <f>SUM(F49:F60)</f>
        <v>0</v>
      </c>
      <c r="G61" s="36">
        <f>SUM(G49:G60)</f>
        <v>0</v>
      </c>
      <c r="H61" s="37">
        <f>SUM(H49:H60)</f>
        <v>0</v>
      </c>
    </row>
    <row r="62" spans="2:10" x14ac:dyDescent="0.25">
      <c r="B62" s="55"/>
      <c r="C62" s="55"/>
      <c r="D62" s="56"/>
      <c r="E62" s="38"/>
      <c r="F62" s="39"/>
      <c r="G62" s="40"/>
      <c r="H62" s="41"/>
    </row>
    <row r="63" spans="2:10" ht="15" thickBot="1" x14ac:dyDescent="0.3">
      <c r="B63" s="43"/>
      <c r="C63" s="43"/>
      <c r="D63" s="44"/>
      <c r="E63" s="59"/>
      <c r="F63" s="46"/>
      <c r="G63" s="47"/>
      <c r="H63" s="48"/>
      <c r="I63" s="14"/>
    </row>
    <row r="64" spans="2:10" ht="18.75" thickTop="1" x14ac:dyDescent="0.25">
      <c r="B64" s="2" t="s">
        <v>14</v>
      </c>
      <c r="C64" s="49"/>
      <c r="D64" s="4"/>
      <c r="E64" s="5"/>
      <c r="F64" s="6"/>
      <c r="G64" s="7"/>
      <c r="H64" s="50"/>
      <c r="I64" s="14"/>
    </row>
    <row r="65" spans="2:14" x14ac:dyDescent="0.25">
      <c r="B65" s="9" t="s">
        <v>1</v>
      </c>
      <c r="C65" s="9" t="s">
        <v>2</v>
      </c>
      <c r="D65" s="10" t="s">
        <v>3</v>
      </c>
      <c r="E65" s="11" t="s">
        <v>4</v>
      </c>
      <c r="F65" s="12" t="s">
        <v>5</v>
      </c>
      <c r="G65" s="7" t="s">
        <v>12</v>
      </c>
      <c r="H65" s="13" t="s">
        <v>7</v>
      </c>
      <c r="I65" s="14"/>
    </row>
    <row r="66" spans="2:14" s="14" customFormat="1" x14ac:dyDescent="0.25">
      <c r="B66" s="21"/>
      <c r="C66" s="21"/>
      <c r="D66" s="20"/>
      <c r="E66" s="28"/>
      <c r="F66" s="6"/>
      <c r="G66" s="7"/>
      <c r="H66" s="19">
        <f t="shared" ref="H66:H85" si="3">F66-G66</f>
        <v>0</v>
      </c>
      <c r="J66" s="1"/>
      <c r="K66" s="1"/>
      <c r="L66" s="1"/>
      <c r="M66" s="1"/>
      <c r="N66" s="1"/>
    </row>
    <row r="67" spans="2:14" s="14" customFormat="1" x14ac:dyDescent="0.25">
      <c r="B67" s="29"/>
      <c r="C67" s="29"/>
      <c r="D67" s="30"/>
      <c r="E67" s="31"/>
      <c r="F67" s="6"/>
      <c r="G67" s="7"/>
      <c r="H67" s="19">
        <f t="shared" si="3"/>
        <v>0</v>
      </c>
      <c r="J67" s="1"/>
      <c r="K67" s="1"/>
      <c r="L67" s="1"/>
      <c r="M67" s="1"/>
      <c r="N67" s="1"/>
    </row>
    <row r="68" spans="2:14" s="14" customFormat="1" x14ac:dyDescent="0.25">
      <c r="B68" s="15"/>
      <c r="C68" s="15"/>
      <c r="D68" s="15"/>
      <c r="E68" s="17"/>
      <c r="F68" s="18"/>
      <c r="G68" s="60"/>
      <c r="H68" s="19">
        <f t="shared" si="3"/>
        <v>0</v>
      </c>
    </row>
    <row r="69" spans="2:14" s="14" customFormat="1" x14ac:dyDescent="0.25">
      <c r="B69" s="22"/>
      <c r="C69" s="141"/>
      <c r="D69" s="141"/>
      <c r="E69" s="23"/>
      <c r="F69" s="26"/>
      <c r="G69" s="7"/>
      <c r="H69" s="19">
        <f t="shared" si="3"/>
        <v>0</v>
      </c>
    </row>
    <row r="70" spans="2:14" s="14" customFormat="1" x14ac:dyDescent="0.25">
      <c r="B70" s="22"/>
      <c r="C70" s="141"/>
      <c r="D70" s="141"/>
      <c r="E70" s="23"/>
      <c r="F70" s="26"/>
      <c r="G70" s="7"/>
      <c r="H70" s="19">
        <f t="shared" si="3"/>
        <v>0</v>
      </c>
    </row>
    <row r="71" spans="2:14" s="14" customFormat="1" x14ac:dyDescent="0.25">
      <c r="B71" s="22"/>
      <c r="C71" s="141"/>
      <c r="D71" s="141"/>
      <c r="E71" s="23"/>
      <c r="F71" s="26"/>
      <c r="G71" s="7"/>
      <c r="H71" s="19">
        <f t="shared" si="3"/>
        <v>0</v>
      </c>
    </row>
    <row r="72" spans="2:14" s="14" customFormat="1" x14ac:dyDescent="0.25">
      <c r="B72" s="22"/>
      <c r="C72" s="141"/>
      <c r="D72" s="16"/>
      <c r="E72" s="17"/>
      <c r="F72" s="18"/>
      <c r="G72" s="7"/>
      <c r="H72" s="19">
        <f t="shared" si="3"/>
        <v>0</v>
      </c>
    </row>
    <row r="73" spans="2:14" s="14" customFormat="1" x14ac:dyDescent="0.25">
      <c r="B73" s="15"/>
      <c r="C73" s="15"/>
      <c r="D73" s="16"/>
      <c r="E73" s="17"/>
      <c r="F73" s="6"/>
      <c r="G73" s="7"/>
      <c r="H73" s="19">
        <f t="shared" si="3"/>
        <v>0</v>
      </c>
    </row>
    <row r="74" spans="2:14" s="14" customFormat="1" x14ac:dyDescent="0.25">
      <c r="B74" s="15"/>
      <c r="C74" s="15"/>
      <c r="D74" s="16"/>
      <c r="E74" s="17"/>
      <c r="F74" s="18"/>
      <c r="G74" s="7"/>
      <c r="H74" s="19">
        <f t="shared" si="3"/>
        <v>0</v>
      </c>
    </row>
    <row r="75" spans="2:14" s="14" customFormat="1" x14ac:dyDescent="0.25">
      <c r="B75" s="15"/>
      <c r="C75" s="15"/>
      <c r="D75" s="16"/>
      <c r="E75" s="17"/>
      <c r="F75" s="18"/>
      <c r="G75" s="7"/>
      <c r="H75" s="19">
        <f t="shared" si="3"/>
        <v>0</v>
      </c>
      <c r="I75" s="1"/>
    </row>
    <row r="76" spans="2:14" s="14" customFormat="1" x14ac:dyDescent="0.25">
      <c r="B76" s="15"/>
      <c r="C76" s="15"/>
      <c r="D76" s="16"/>
      <c r="E76" s="17"/>
      <c r="F76" s="18"/>
      <c r="G76" s="7"/>
      <c r="H76" s="19">
        <f t="shared" si="3"/>
        <v>0</v>
      </c>
      <c r="I76" s="1"/>
    </row>
    <row r="77" spans="2:14" s="14" customFormat="1" x14ac:dyDescent="0.25">
      <c r="B77" s="15"/>
      <c r="C77" s="15"/>
      <c r="D77" s="16"/>
      <c r="E77" s="17"/>
      <c r="F77" s="18"/>
      <c r="G77" s="7"/>
      <c r="H77" s="19">
        <f t="shared" si="3"/>
        <v>0</v>
      </c>
      <c r="I77" s="1"/>
    </row>
    <row r="78" spans="2:14" x14ac:dyDescent="0.25">
      <c r="B78" s="21"/>
      <c r="C78" s="21"/>
      <c r="D78" s="21"/>
      <c r="E78" s="28"/>
      <c r="F78" s="6"/>
      <c r="G78" s="7"/>
      <c r="H78" s="19">
        <f t="shared" si="3"/>
        <v>0</v>
      </c>
      <c r="J78" s="14"/>
      <c r="K78" s="14"/>
      <c r="L78" s="14"/>
      <c r="M78" s="14"/>
      <c r="N78" s="14"/>
    </row>
    <row r="79" spans="2:14" x14ac:dyDescent="0.25">
      <c r="B79" s="21"/>
      <c r="C79" s="21"/>
      <c r="D79" s="21"/>
      <c r="E79" s="28"/>
      <c r="F79" s="6"/>
      <c r="G79" s="7"/>
      <c r="H79" s="19">
        <f t="shared" si="3"/>
        <v>0</v>
      </c>
      <c r="J79" s="14"/>
      <c r="K79" s="14"/>
      <c r="L79" s="14"/>
      <c r="M79" s="14"/>
      <c r="N79" s="14"/>
    </row>
    <row r="80" spans="2:14" x14ac:dyDescent="0.25">
      <c r="B80" s="21"/>
      <c r="C80" s="21"/>
      <c r="D80" s="21"/>
      <c r="E80" s="28"/>
      <c r="F80" s="6"/>
      <c r="G80" s="7"/>
      <c r="H80" s="19">
        <f t="shared" si="3"/>
        <v>0</v>
      </c>
    </row>
    <row r="81" spans="2:14" x14ac:dyDescent="0.25">
      <c r="B81" s="21"/>
      <c r="C81" s="21"/>
      <c r="D81" s="21"/>
      <c r="E81" s="28"/>
      <c r="F81" s="6"/>
      <c r="G81" s="7"/>
      <c r="H81" s="19">
        <f t="shared" si="3"/>
        <v>0</v>
      </c>
    </row>
    <row r="82" spans="2:14" x14ac:dyDescent="0.25">
      <c r="B82" s="21"/>
      <c r="C82" s="21"/>
      <c r="D82" s="21"/>
      <c r="E82" s="28"/>
      <c r="F82" s="6"/>
      <c r="G82" s="7"/>
      <c r="H82" s="19">
        <f t="shared" si="3"/>
        <v>0</v>
      </c>
    </row>
    <row r="83" spans="2:14" x14ac:dyDescent="0.25">
      <c r="B83" s="21"/>
      <c r="C83" s="21"/>
      <c r="D83" s="21"/>
      <c r="E83" s="28"/>
      <c r="F83" s="6"/>
      <c r="G83" s="7"/>
      <c r="H83" s="19">
        <f t="shared" si="3"/>
        <v>0</v>
      </c>
    </row>
    <row r="84" spans="2:14" x14ac:dyDescent="0.25">
      <c r="B84" s="21"/>
      <c r="C84" s="21"/>
      <c r="D84" s="21"/>
      <c r="E84" s="28"/>
      <c r="F84" s="6"/>
      <c r="G84" s="7"/>
      <c r="H84" s="19">
        <f t="shared" si="3"/>
        <v>0</v>
      </c>
      <c r="I84" s="58"/>
    </row>
    <row r="85" spans="2:14" ht="15" thickBot="1" x14ac:dyDescent="0.3">
      <c r="B85" s="21"/>
      <c r="C85" s="21"/>
      <c r="D85" s="21"/>
      <c r="E85" s="28"/>
      <c r="F85" s="6"/>
      <c r="G85" s="7"/>
      <c r="H85" s="19">
        <f t="shared" si="3"/>
        <v>0</v>
      </c>
    </row>
    <row r="86" spans="2:14" ht="15" thickBot="1" x14ac:dyDescent="0.3">
      <c r="B86" s="3"/>
      <c r="C86" s="3"/>
      <c r="D86" s="4"/>
      <c r="E86" s="61"/>
      <c r="F86" s="62">
        <f>SUM(F66:F85)</f>
        <v>0</v>
      </c>
      <c r="G86" s="36">
        <f>SUM(G66:G85)</f>
        <v>0</v>
      </c>
      <c r="H86" s="63">
        <f>SUM(H66:H85)</f>
        <v>0</v>
      </c>
    </row>
    <row r="87" spans="2:14" x14ac:dyDescent="0.25">
      <c r="B87" s="64"/>
      <c r="C87" s="3"/>
      <c r="D87" s="65"/>
      <c r="E87" s="38" t="s">
        <v>8</v>
      </c>
      <c r="F87" s="39">
        <f>TOTAL!N9</f>
        <v>0</v>
      </c>
      <c r="G87" s="40" t="s">
        <v>9</v>
      </c>
      <c r="H87" s="41" t="e">
        <f>H86/F87%</f>
        <v>#DIV/0!</v>
      </c>
      <c r="I87" s="58" t="s">
        <v>10</v>
      </c>
    </row>
    <row r="88" spans="2:14" ht="15" thickBot="1" x14ac:dyDescent="0.3">
      <c r="B88" s="43"/>
      <c r="C88" s="43"/>
      <c r="D88" s="44"/>
      <c r="E88" s="59"/>
      <c r="F88" s="46"/>
      <c r="G88" s="47"/>
      <c r="H88" s="48"/>
      <c r="I88" s="14"/>
      <c r="J88" s="54"/>
    </row>
    <row r="89" spans="2:14" ht="18.75" thickTop="1" x14ac:dyDescent="0.25">
      <c r="B89" s="2" t="s">
        <v>15</v>
      </c>
      <c r="C89" s="49"/>
      <c r="D89" s="4"/>
      <c r="E89" s="5"/>
      <c r="F89" s="6"/>
      <c r="G89" s="7"/>
      <c r="H89" s="50"/>
      <c r="I89" s="14"/>
    </row>
    <row r="90" spans="2:14" x14ac:dyDescent="0.25">
      <c r="B90" s="9" t="s">
        <v>1</v>
      </c>
      <c r="C90" s="9" t="s">
        <v>2</v>
      </c>
      <c r="D90" s="10" t="s">
        <v>3</v>
      </c>
      <c r="E90" s="11" t="s">
        <v>4</v>
      </c>
      <c r="F90" s="12" t="s">
        <v>5</v>
      </c>
      <c r="G90" s="7" t="s">
        <v>12</v>
      </c>
      <c r="H90" s="13" t="s">
        <v>7</v>
      </c>
      <c r="I90" s="14"/>
    </row>
    <row r="91" spans="2:14" s="14" customFormat="1" x14ac:dyDescent="0.25">
      <c r="B91" s="21"/>
      <c r="C91" s="21"/>
      <c r="D91" s="20"/>
      <c r="E91" s="28"/>
      <c r="F91" s="6"/>
      <c r="G91" s="7"/>
      <c r="H91" s="19">
        <f t="shared" ref="H91:H113" si="4">F91-G91</f>
        <v>0</v>
      </c>
      <c r="J91" s="1"/>
      <c r="K91" s="1"/>
      <c r="L91" s="1"/>
      <c r="M91" s="1"/>
      <c r="N91" s="1"/>
    </row>
    <row r="92" spans="2:14" s="14" customFormat="1" x14ac:dyDescent="0.25">
      <c r="B92" s="29"/>
      <c r="C92" s="29"/>
      <c r="D92" s="30"/>
      <c r="E92" s="31"/>
      <c r="F92" s="6"/>
      <c r="G92" s="7"/>
      <c r="H92" s="19">
        <f t="shared" si="4"/>
        <v>0</v>
      </c>
      <c r="J92" s="1"/>
      <c r="K92" s="1"/>
      <c r="L92" s="1"/>
      <c r="M92" s="1"/>
      <c r="N92" s="1"/>
    </row>
    <row r="93" spans="2:14" s="14" customFormat="1" x14ac:dyDescent="0.25">
      <c r="B93" s="15"/>
      <c r="C93" s="15"/>
      <c r="D93" s="15"/>
      <c r="E93" s="17"/>
      <c r="F93" s="18"/>
      <c r="G93" s="60"/>
      <c r="H93" s="19">
        <f t="shared" si="4"/>
        <v>0</v>
      </c>
    </row>
    <row r="94" spans="2:14" s="14" customFormat="1" x14ac:dyDescent="0.25">
      <c r="B94" s="141"/>
      <c r="C94" s="141"/>
      <c r="D94" s="141"/>
      <c r="E94" s="23"/>
      <c r="F94" s="26"/>
      <c r="G94" s="7"/>
      <c r="H94" s="19">
        <f t="shared" si="4"/>
        <v>0</v>
      </c>
    </row>
    <row r="95" spans="2:14" s="14" customFormat="1" x14ac:dyDescent="0.25">
      <c r="B95" s="22"/>
      <c r="C95" s="141"/>
      <c r="D95" s="141"/>
      <c r="E95" s="23"/>
      <c r="F95" s="26"/>
      <c r="G95" s="175"/>
      <c r="H95" s="19">
        <f t="shared" si="4"/>
        <v>0</v>
      </c>
    </row>
    <row r="96" spans="2:14" s="14" customFormat="1" x14ac:dyDescent="0.25">
      <c r="B96" s="22"/>
      <c r="C96" s="141"/>
      <c r="D96" s="16"/>
      <c r="E96" s="17"/>
      <c r="F96" s="18"/>
      <c r="G96" s="7"/>
      <c r="H96" s="19">
        <f t="shared" si="4"/>
        <v>0</v>
      </c>
    </row>
    <row r="97" spans="2:14" s="14" customFormat="1" x14ac:dyDescent="0.25">
      <c r="B97" s="22"/>
      <c r="C97" s="141"/>
      <c r="D97" s="16"/>
      <c r="E97" s="17"/>
      <c r="F97" s="18"/>
      <c r="G97" s="175"/>
      <c r="H97" s="19">
        <f t="shared" si="4"/>
        <v>0</v>
      </c>
    </row>
    <row r="98" spans="2:14" s="14" customFormat="1" x14ac:dyDescent="0.25">
      <c r="B98" s="15"/>
      <c r="C98" s="15"/>
      <c r="D98" s="16"/>
      <c r="E98" s="17"/>
      <c r="F98" s="6"/>
      <c r="G98" s="7"/>
      <c r="H98" s="19">
        <f t="shared" si="4"/>
        <v>0</v>
      </c>
    </row>
    <row r="99" spans="2:14" s="14" customFormat="1" x14ac:dyDescent="0.25">
      <c r="B99" s="15"/>
      <c r="C99" s="15"/>
      <c r="D99" s="16"/>
      <c r="E99" s="17"/>
      <c r="F99" s="18"/>
      <c r="G99" s="7"/>
      <c r="H99" s="19">
        <f t="shared" si="4"/>
        <v>0</v>
      </c>
    </row>
    <row r="100" spans="2:14" s="14" customFormat="1" x14ac:dyDescent="0.25">
      <c r="B100" s="15"/>
      <c r="C100" s="15"/>
      <c r="D100" s="16"/>
      <c r="E100" s="17"/>
      <c r="F100" s="18"/>
      <c r="G100" s="7"/>
      <c r="H100" s="19">
        <f t="shared" si="4"/>
        <v>0</v>
      </c>
      <c r="I100" s="1"/>
    </row>
    <row r="101" spans="2:14" s="14" customFormat="1" x14ac:dyDescent="0.25">
      <c r="B101" s="15"/>
      <c r="C101" s="15"/>
      <c r="D101" s="16"/>
      <c r="E101" s="17"/>
      <c r="F101" s="18"/>
      <c r="G101" s="7"/>
      <c r="H101" s="19">
        <f t="shared" si="4"/>
        <v>0</v>
      </c>
      <c r="I101" s="1"/>
    </row>
    <row r="102" spans="2:14" s="14" customFormat="1" x14ac:dyDescent="0.25">
      <c r="B102" s="15"/>
      <c r="C102" s="15"/>
      <c r="D102" s="16"/>
      <c r="E102" s="17"/>
      <c r="F102" s="18"/>
      <c r="G102" s="7"/>
      <c r="H102" s="19">
        <f t="shared" si="4"/>
        <v>0</v>
      </c>
      <c r="I102" s="1"/>
    </row>
    <row r="103" spans="2:14" x14ac:dyDescent="0.25">
      <c r="B103" s="21"/>
      <c r="C103" s="21"/>
      <c r="D103" s="21"/>
      <c r="E103" s="28"/>
      <c r="F103" s="6"/>
      <c r="G103" s="7"/>
      <c r="H103" s="19">
        <f t="shared" si="4"/>
        <v>0</v>
      </c>
      <c r="J103" s="14"/>
      <c r="K103" s="14"/>
      <c r="L103" s="14"/>
      <c r="M103" s="14"/>
      <c r="N103" s="14"/>
    </row>
    <row r="104" spans="2:14" x14ac:dyDescent="0.25">
      <c r="B104" s="21"/>
      <c r="C104" s="21"/>
      <c r="D104" s="21"/>
      <c r="E104" s="28"/>
      <c r="F104" s="6"/>
      <c r="G104" s="7"/>
      <c r="H104" s="19">
        <f t="shared" si="4"/>
        <v>0</v>
      </c>
      <c r="J104" s="14"/>
      <c r="K104" s="14"/>
      <c r="L104" s="14"/>
      <c r="M104" s="14"/>
      <c r="N104" s="14"/>
    </row>
    <row r="105" spans="2:14" x14ac:dyDescent="0.25">
      <c r="B105" s="21"/>
      <c r="C105" s="21"/>
      <c r="D105" s="21"/>
      <c r="E105" s="28"/>
      <c r="F105" s="6"/>
      <c r="G105" s="7"/>
      <c r="H105" s="19">
        <f t="shared" si="4"/>
        <v>0</v>
      </c>
      <c r="J105" s="14"/>
      <c r="K105" s="14"/>
      <c r="L105" s="14"/>
      <c r="M105" s="14"/>
      <c r="N105" s="14"/>
    </row>
    <row r="106" spans="2:14" x14ac:dyDescent="0.25">
      <c r="B106" s="21"/>
      <c r="C106" s="21"/>
      <c r="D106" s="21"/>
      <c r="E106" s="28"/>
      <c r="F106" s="6"/>
      <c r="G106" s="7"/>
      <c r="H106" s="19">
        <f t="shared" si="4"/>
        <v>0</v>
      </c>
      <c r="J106" s="14"/>
      <c r="K106" s="14"/>
      <c r="L106" s="14"/>
      <c r="M106" s="14"/>
      <c r="N106" s="14"/>
    </row>
    <row r="107" spans="2:14" x14ac:dyDescent="0.25">
      <c r="B107" s="21"/>
      <c r="C107" s="21"/>
      <c r="D107" s="21"/>
      <c r="E107" s="28"/>
      <c r="F107" s="6"/>
      <c r="G107" s="7"/>
      <c r="H107" s="19">
        <f t="shared" si="4"/>
        <v>0</v>
      </c>
      <c r="J107" s="14"/>
      <c r="K107" s="14"/>
      <c r="L107" s="14"/>
      <c r="M107" s="14"/>
      <c r="N107" s="14"/>
    </row>
    <row r="108" spans="2:14" x14ac:dyDescent="0.25">
      <c r="B108" s="21"/>
      <c r="C108" s="21"/>
      <c r="D108" s="21"/>
      <c r="E108" s="28"/>
      <c r="F108" s="6"/>
      <c r="G108" s="7"/>
      <c r="H108" s="19">
        <f t="shared" si="4"/>
        <v>0</v>
      </c>
      <c r="J108" s="14"/>
      <c r="K108" s="14"/>
      <c r="L108" s="14"/>
      <c r="M108" s="14"/>
      <c r="N108" s="14"/>
    </row>
    <row r="109" spans="2:14" x14ac:dyDescent="0.25">
      <c r="B109" s="21"/>
      <c r="C109" s="21"/>
      <c r="D109" s="21"/>
      <c r="E109" s="28"/>
      <c r="F109" s="6"/>
      <c r="G109" s="7"/>
      <c r="H109" s="19">
        <f t="shared" si="4"/>
        <v>0</v>
      </c>
      <c r="J109" s="14"/>
      <c r="K109" s="14"/>
      <c r="L109" s="14"/>
      <c r="M109" s="14"/>
      <c r="N109" s="14"/>
    </row>
    <row r="110" spans="2:14" x14ac:dyDescent="0.25">
      <c r="B110" s="21"/>
      <c r="C110" s="21"/>
      <c r="D110" s="21"/>
      <c r="E110" s="28"/>
      <c r="F110" s="6"/>
      <c r="G110" s="7"/>
      <c r="H110" s="19">
        <f t="shared" si="4"/>
        <v>0</v>
      </c>
      <c r="J110" s="14"/>
      <c r="K110" s="14"/>
      <c r="L110" s="14"/>
      <c r="M110" s="14"/>
      <c r="N110" s="14"/>
    </row>
    <row r="111" spans="2:14" x14ac:dyDescent="0.25">
      <c r="B111" s="21"/>
      <c r="C111" s="21"/>
      <c r="D111" s="21"/>
      <c r="E111" s="28"/>
      <c r="F111" s="6"/>
      <c r="G111" s="7"/>
      <c r="H111" s="19">
        <f t="shared" si="4"/>
        <v>0</v>
      </c>
      <c r="J111" s="14"/>
      <c r="K111" s="14"/>
      <c r="L111" s="14"/>
      <c r="M111" s="14"/>
      <c r="N111" s="14"/>
    </row>
    <row r="112" spans="2:14" x14ac:dyDescent="0.25">
      <c r="B112" s="21"/>
      <c r="C112" s="21"/>
      <c r="D112" s="21"/>
      <c r="E112" s="28"/>
      <c r="F112" s="6"/>
      <c r="G112" s="7"/>
      <c r="H112" s="19">
        <f t="shared" si="4"/>
        <v>0</v>
      </c>
      <c r="I112" s="58"/>
    </row>
    <row r="113" spans="2:14" ht="15" thickBot="1" x14ac:dyDescent="0.3">
      <c r="B113" s="21"/>
      <c r="C113" s="21"/>
      <c r="D113" s="21"/>
      <c r="E113" s="28"/>
      <c r="F113" s="6"/>
      <c r="G113" s="7"/>
      <c r="H113" s="19">
        <f t="shared" si="4"/>
        <v>0</v>
      </c>
    </row>
    <row r="114" spans="2:14" ht="15" thickBot="1" x14ac:dyDescent="0.3">
      <c r="B114" s="3"/>
      <c r="C114" s="3"/>
      <c r="D114" s="4"/>
      <c r="E114" s="61"/>
      <c r="F114" s="62">
        <f>SUM(F91:F113)</f>
        <v>0</v>
      </c>
      <c r="G114" s="36">
        <f>SUM(G91:G113)</f>
        <v>0</v>
      </c>
      <c r="H114" s="63">
        <f>SUM(H91:H113)</f>
        <v>0</v>
      </c>
    </row>
    <row r="115" spans="2:14" x14ac:dyDescent="0.25">
      <c r="B115" s="64"/>
      <c r="C115" s="3"/>
      <c r="D115" s="65"/>
      <c r="E115" s="38" t="s">
        <v>8</v>
      </c>
      <c r="F115" s="39">
        <f>TOTAL!N10</f>
        <v>36000</v>
      </c>
      <c r="G115" s="40" t="s">
        <v>9</v>
      </c>
      <c r="H115" s="41">
        <f>H114/F115%</f>
        <v>0</v>
      </c>
      <c r="I115" s="58" t="s">
        <v>10</v>
      </c>
    </row>
    <row r="116" spans="2:14" ht="15" thickBot="1" x14ac:dyDescent="0.3">
      <c r="B116" s="43"/>
      <c r="C116" s="43"/>
      <c r="D116" s="44"/>
      <c r="E116" s="45"/>
      <c r="F116" s="67"/>
      <c r="G116" s="47"/>
      <c r="H116" s="48"/>
      <c r="I116" s="14"/>
      <c r="J116" s="54"/>
    </row>
    <row r="117" spans="2:14" ht="18.75" thickTop="1" x14ac:dyDescent="0.25">
      <c r="B117" s="2" t="s">
        <v>49</v>
      </c>
      <c r="C117" s="49"/>
      <c r="D117" s="4"/>
      <c r="E117" s="5"/>
      <c r="F117" s="6"/>
      <c r="G117" s="7"/>
      <c r="H117" s="50"/>
      <c r="I117" s="14"/>
    </row>
    <row r="118" spans="2:14" x14ac:dyDescent="0.25">
      <c r="B118" s="9" t="s">
        <v>1</v>
      </c>
      <c r="C118" s="9" t="s">
        <v>2</v>
      </c>
      <c r="D118" s="10" t="s">
        <v>3</v>
      </c>
      <c r="E118" s="11" t="s">
        <v>4</v>
      </c>
      <c r="F118" s="12" t="s">
        <v>5</v>
      </c>
      <c r="G118" s="7" t="s">
        <v>12</v>
      </c>
      <c r="H118" s="13" t="s">
        <v>7</v>
      </c>
      <c r="I118" s="14"/>
    </row>
    <row r="119" spans="2:14" s="14" customFormat="1" x14ac:dyDescent="0.25">
      <c r="B119" s="15"/>
      <c r="C119" s="15"/>
      <c r="D119" s="16"/>
      <c r="E119" s="17"/>
      <c r="F119" s="125"/>
      <c r="G119" s="7"/>
      <c r="H119" s="19">
        <f t="shared" ref="H119:H159" si="5">F119-G119</f>
        <v>0</v>
      </c>
      <c r="J119" s="1"/>
      <c r="K119" s="1"/>
      <c r="L119" s="1"/>
      <c r="M119" s="1"/>
      <c r="N119" s="1"/>
    </row>
    <row r="120" spans="2:14" s="14" customFormat="1" x14ac:dyDescent="0.25">
      <c r="B120" s="15"/>
      <c r="C120" s="15"/>
      <c r="D120" s="16"/>
      <c r="E120" s="17"/>
      <c r="F120" s="125"/>
      <c r="G120" s="7"/>
      <c r="H120" s="19">
        <f t="shared" si="5"/>
        <v>0</v>
      </c>
      <c r="J120" s="1"/>
      <c r="K120" s="1"/>
      <c r="L120" s="1"/>
      <c r="M120" s="1"/>
      <c r="N120" s="1"/>
    </row>
    <row r="121" spans="2:14" s="14" customFormat="1" x14ac:dyDescent="0.25">
      <c r="B121" s="15"/>
      <c r="C121" s="15"/>
      <c r="D121" s="16"/>
      <c r="E121" s="17"/>
      <c r="F121" s="51"/>
      <c r="G121" s="7"/>
      <c r="H121" s="19">
        <f t="shared" si="5"/>
        <v>0</v>
      </c>
      <c r="J121" s="68"/>
    </row>
    <row r="122" spans="2:14" s="14" customFormat="1" x14ac:dyDescent="0.25">
      <c r="B122" s="15"/>
      <c r="C122" s="15"/>
      <c r="D122" s="16"/>
      <c r="E122" s="17"/>
      <c r="F122" s="51"/>
      <c r="G122" s="7"/>
      <c r="H122" s="19">
        <f t="shared" si="5"/>
        <v>0</v>
      </c>
      <c r="I122" s="1"/>
    </row>
    <row r="123" spans="2:14" s="14" customFormat="1" x14ac:dyDescent="0.25">
      <c r="B123" s="15"/>
      <c r="C123" s="15"/>
      <c r="D123" s="16"/>
      <c r="E123" s="17"/>
      <c r="F123" s="51"/>
      <c r="G123" s="7"/>
      <c r="H123" s="19">
        <f t="shared" si="5"/>
        <v>0</v>
      </c>
      <c r="I123" s="1"/>
    </row>
    <row r="124" spans="2:14" s="14" customFormat="1" x14ac:dyDescent="0.25">
      <c r="B124" s="21"/>
      <c r="C124" s="21"/>
      <c r="D124" s="20"/>
      <c r="E124" s="28"/>
      <c r="F124" s="125"/>
      <c r="G124" s="7"/>
      <c r="H124" s="19">
        <f t="shared" si="5"/>
        <v>0</v>
      </c>
      <c r="I124" s="1"/>
    </row>
    <row r="125" spans="2:14" x14ac:dyDescent="0.25">
      <c r="B125" s="15"/>
      <c r="C125" s="15"/>
      <c r="D125" s="16"/>
      <c r="E125" s="17"/>
      <c r="F125" s="51"/>
      <c r="G125" s="7"/>
      <c r="H125" s="19">
        <f t="shared" si="5"/>
        <v>0</v>
      </c>
      <c r="J125" s="14"/>
      <c r="K125" s="14"/>
      <c r="L125" s="14"/>
      <c r="M125" s="14"/>
      <c r="N125" s="14"/>
    </row>
    <row r="126" spans="2:14" x14ac:dyDescent="0.25">
      <c r="B126" s="21"/>
      <c r="C126" s="21"/>
      <c r="D126" s="20"/>
      <c r="E126" s="28"/>
      <c r="F126" s="125"/>
      <c r="G126" s="7"/>
      <c r="H126" s="19">
        <f t="shared" si="5"/>
        <v>0</v>
      </c>
      <c r="J126" s="14"/>
      <c r="K126" s="14"/>
      <c r="L126" s="14"/>
      <c r="M126" s="14"/>
      <c r="N126" s="14"/>
    </row>
    <row r="127" spans="2:14" x14ac:dyDescent="0.25">
      <c r="B127" s="21"/>
      <c r="C127" s="21"/>
      <c r="D127" s="20"/>
      <c r="E127" s="28"/>
      <c r="F127" s="125"/>
      <c r="G127" s="7"/>
      <c r="H127" s="19">
        <f t="shared" si="5"/>
        <v>0</v>
      </c>
    </row>
    <row r="128" spans="2:14" x14ac:dyDescent="0.25">
      <c r="B128" s="21"/>
      <c r="C128" s="21"/>
      <c r="D128" s="20"/>
      <c r="E128" s="28"/>
      <c r="F128" s="125"/>
      <c r="G128" s="7"/>
      <c r="H128" s="19">
        <f t="shared" si="5"/>
        <v>0</v>
      </c>
    </row>
    <row r="129" spans="2:10" x14ac:dyDescent="0.25">
      <c r="B129" s="21"/>
      <c r="C129" s="21"/>
      <c r="D129" s="20"/>
      <c r="E129" s="28"/>
      <c r="F129" s="125"/>
      <c r="G129" s="7"/>
      <c r="H129" s="19">
        <f t="shared" si="5"/>
        <v>0</v>
      </c>
      <c r="J129" s="54"/>
    </row>
    <row r="130" spans="2:10" x14ac:dyDescent="0.25">
      <c r="B130" s="21"/>
      <c r="C130" s="21"/>
      <c r="D130" s="20"/>
      <c r="E130" s="28"/>
      <c r="F130" s="125"/>
      <c r="G130" s="7"/>
      <c r="H130" s="19">
        <f t="shared" si="5"/>
        <v>0</v>
      </c>
      <c r="J130" s="54"/>
    </row>
    <row r="131" spans="2:10" x14ac:dyDescent="0.25">
      <c r="B131" s="21"/>
      <c r="C131" s="21"/>
      <c r="D131" s="20"/>
      <c r="E131" s="28"/>
      <c r="F131" s="125"/>
      <c r="G131" s="7"/>
      <c r="H131" s="19">
        <f t="shared" si="5"/>
        <v>0</v>
      </c>
      <c r="J131" s="54"/>
    </row>
    <row r="132" spans="2:10" x14ac:dyDescent="0.25">
      <c r="B132" s="21"/>
      <c r="C132" s="21"/>
      <c r="D132" s="20"/>
      <c r="E132" s="28"/>
      <c r="F132" s="125"/>
      <c r="G132" s="7"/>
      <c r="H132" s="19">
        <f t="shared" si="5"/>
        <v>0</v>
      </c>
      <c r="J132" s="54"/>
    </row>
    <row r="133" spans="2:10" x14ac:dyDescent="0.25">
      <c r="B133" s="21"/>
      <c r="C133" s="21"/>
      <c r="D133" s="20"/>
      <c r="E133" s="28"/>
      <c r="F133" s="125"/>
      <c r="G133" s="7"/>
      <c r="H133" s="19">
        <f t="shared" si="5"/>
        <v>0</v>
      </c>
      <c r="J133" s="54"/>
    </row>
    <row r="134" spans="2:10" x14ac:dyDescent="0.25">
      <c r="B134" s="21"/>
      <c r="C134" s="21"/>
      <c r="D134" s="20"/>
      <c r="E134" s="28"/>
      <c r="F134" s="125"/>
      <c r="G134" s="7"/>
      <c r="H134" s="19">
        <f t="shared" si="5"/>
        <v>0</v>
      </c>
      <c r="J134" s="54"/>
    </row>
    <row r="135" spans="2:10" x14ac:dyDescent="0.25">
      <c r="B135" s="21"/>
      <c r="C135" s="21"/>
      <c r="D135" s="20"/>
      <c r="E135" s="28"/>
      <c r="F135" s="125"/>
      <c r="G135" s="7"/>
      <c r="H135" s="19">
        <f t="shared" si="5"/>
        <v>0</v>
      </c>
      <c r="J135" s="54"/>
    </row>
    <row r="136" spans="2:10" x14ac:dyDescent="0.25">
      <c r="B136" s="21"/>
      <c r="C136" s="21"/>
      <c r="D136" s="20"/>
      <c r="E136" s="28"/>
      <c r="F136" s="125"/>
      <c r="G136" s="7"/>
      <c r="H136" s="19">
        <f t="shared" si="5"/>
        <v>0</v>
      </c>
      <c r="J136" s="54"/>
    </row>
    <row r="137" spans="2:10" x14ac:dyDescent="0.25">
      <c r="B137" s="21"/>
      <c r="C137" s="21"/>
      <c r="D137" s="20"/>
      <c r="E137" s="28"/>
      <c r="F137" s="125"/>
      <c r="G137" s="7"/>
      <c r="H137" s="19">
        <f t="shared" si="5"/>
        <v>0</v>
      </c>
      <c r="J137" s="54"/>
    </row>
    <row r="138" spans="2:10" x14ac:dyDescent="0.25">
      <c r="B138" s="21"/>
      <c r="C138" s="21"/>
      <c r="D138" s="20"/>
      <c r="E138" s="28"/>
      <c r="F138" s="6"/>
      <c r="G138" s="7"/>
      <c r="H138" s="19">
        <f t="shared" si="5"/>
        <v>0</v>
      </c>
      <c r="J138" s="54"/>
    </row>
    <row r="139" spans="2:10" x14ac:dyDescent="0.25">
      <c r="B139" s="21"/>
      <c r="C139" s="21"/>
      <c r="D139" s="20"/>
      <c r="E139" s="28"/>
      <c r="F139" s="6"/>
      <c r="G139" s="7"/>
      <c r="H139" s="19">
        <f t="shared" si="5"/>
        <v>0</v>
      </c>
      <c r="J139" s="54"/>
    </row>
    <row r="140" spans="2:10" x14ac:dyDescent="0.25">
      <c r="B140" s="21"/>
      <c r="C140" s="21"/>
      <c r="D140" s="20"/>
      <c r="E140" s="28"/>
      <c r="F140" s="6"/>
      <c r="G140" s="7"/>
      <c r="H140" s="19">
        <f t="shared" si="5"/>
        <v>0</v>
      </c>
      <c r="J140" s="54"/>
    </row>
    <row r="141" spans="2:10" x14ac:dyDescent="0.25">
      <c r="B141" s="21"/>
      <c r="C141" s="21"/>
      <c r="D141" s="20"/>
      <c r="E141" s="28"/>
      <c r="F141" s="6"/>
      <c r="G141" s="7"/>
      <c r="H141" s="19">
        <f t="shared" si="5"/>
        <v>0</v>
      </c>
      <c r="J141" s="54"/>
    </row>
    <row r="142" spans="2:10" x14ac:dyDescent="0.25">
      <c r="B142" s="21"/>
      <c r="C142" s="21"/>
      <c r="D142" s="20"/>
      <c r="E142" s="28"/>
      <c r="F142" s="6"/>
      <c r="G142" s="7"/>
      <c r="H142" s="19">
        <f t="shared" si="5"/>
        <v>0</v>
      </c>
      <c r="J142" s="54"/>
    </row>
    <row r="143" spans="2:10" x14ac:dyDescent="0.25">
      <c r="B143" s="21"/>
      <c r="C143" s="21"/>
      <c r="D143" s="20"/>
      <c r="E143" s="28"/>
      <c r="F143" s="6"/>
      <c r="G143" s="7"/>
      <c r="H143" s="19">
        <f t="shared" si="5"/>
        <v>0</v>
      </c>
      <c r="J143" s="54"/>
    </row>
    <row r="144" spans="2:10" x14ac:dyDescent="0.25">
      <c r="B144" s="21"/>
      <c r="C144" s="21"/>
      <c r="D144" s="20"/>
      <c r="E144" s="28"/>
      <c r="F144" s="6"/>
      <c r="G144" s="7"/>
      <c r="H144" s="19">
        <f t="shared" si="5"/>
        <v>0</v>
      </c>
      <c r="J144" s="54"/>
    </row>
    <row r="145" spans="2:10" x14ac:dyDescent="0.25">
      <c r="B145" s="21"/>
      <c r="C145" s="21"/>
      <c r="D145" s="20"/>
      <c r="E145" s="28"/>
      <c r="F145" s="6"/>
      <c r="G145" s="7"/>
      <c r="H145" s="19">
        <f t="shared" si="5"/>
        <v>0</v>
      </c>
      <c r="J145" s="54"/>
    </row>
    <row r="146" spans="2:10" x14ac:dyDescent="0.25">
      <c r="B146" s="21"/>
      <c r="C146" s="21"/>
      <c r="D146" s="20"/>
      <c r="E146" s="28"/>
      <c r="F146" s="6"/>
      <c r="G146" s="7"/>
      <c r="H146" s="19">
        <f t="shared" si="5"/>
        <v>0</v>
      </c>
      <c r="J146" s="54"/>
    </row>
    <row r="147" spans="2:10" x14ac:dyDescent="0.25">
      <c r="B147" s="21"/>
      <c r="C147" s="21"/>
      <c r="D147" s="20"/>
      <c r="E147" s="28"/>
      <c r="F147" s="6"/>
      <c r="G147" s="7"/>
      <c r="H147" s="19">
        <f t="shared" si="5"/>
        <v>0</v>
      </c>
      <c r="J147" s="54"/>
    </row>
    <row r="148" spans="2:10" x14ac:dyDescent="0.25">
      <c r="B148" s="21"/>
      <c r="C148" s="21"/>
      <c r="D148" s="20"/>
      <c r="E148" s="28"/>
      <c r="F148" s="6"/>
      <c r="G148" s="7"/>
      <c r="H148" s="19">
        <f t="shared" si="5"/>
        <v>0</v>
      </c>
      <c r="J148" s="54"/>
    </row>
    <row r="149" spans="2:10" x14ac:dyDescent="0.25">
      <c r="B149" s="21"/>
      <c r="C149" s="21"/>
      <c r="D149" s="20"/>
      <c r="E149" s="28"/>
      <c r="F149" s="6"/>
      <c r="G149" s="7"/>
      <c r="H149" s="19">
        <f t="shared" si="5"/>
        <v>0</v>
      </c>
      <c r="J149" s="54"/>
    </row>
    <row r="150" spans="2:10" x14ac:dyDescent="0.25">
      <c r="B150" s="21"/>
      <c r="C150" s="21"/>
      <c r="D150" s="20"/>
      <c r="E150" s="28"/>
      <c r="F150" s="6"/>
      <c r="G150" s="7"/>
      <c r="H150" s="19">
        <f t="shared" si="5"/>
        <v>0</v>
      </c>
      <c r="J150" s="54"/>
    </row>
    <row r="151" spans="2:10" x14ac:dyDescent="0.25">
      <c r="B151" s="21"/>
      <c r="C151" s="21"/>
      <c r="D151" s="20"/>
      <c r="E151" s="28"/>
      <c r="F151" s="6"/>
      <c r="G151" s="7"/>
      <c r="H151" s="19">
        <f t="shared" si="5"/>
        <v>0</v>
      </c>
      <c r="J151" s="54"/>
    </row>
    <row r="152" spans="2:10" x14ac:dyDescent="0.25">
      <c r="B152" s="21"/>
      <c r="C152" s="21"/>
      <c r="D152" s="20"/>
      <c r="E152" s="28"/>
      <c r="F152" s="6"/>
      <c r="G152" s="7"/>
      <c r="H152" s="19">
        <f t="shared" si="5"/>
        <v>0</v>
      </c>
      <c r="J152" s="54"/>
    </row>
    <row r="153" spans="2:10" x14ac:dyDescent="0.25">
      <c r="B153" s="21"/>
      <c r="C153" s="21"/>
      <c r="D153" s="20"/>
      <c r="E153" s="28"/>
      <c r="F153" s="6"/>
      <c r="G153" s="7"/>
      <c r="H153" s="19">
        <f t="shared" si="5"/>
        <v>0</v>
      </c>
      <c r="J153" s="54"/>
    </row>
    <row r="154" spans="2:10" x14ac:dyDescent="0.25">
      <c r="B154" s="21"/>
      <c r="C154" s="21"/>
      <c r="D154" s="20"/>
      <c r="E154" s="28"/>
      <c r="F154" s="6"/>
      <c r="G154" s="7"/>
      <c r="H154" s="19">
        <f t="shared" si="5"/>
        <v>0</v>
      </c>
      <c r="J154" s="54"/>
    </row>
    <row r="155" spans="2:10" x14ac:dyDescent="0.25">
      <c r="B155" s="21"/>
      <c r="C155" s="21"/>
      <c r="D155" s="20"/>
      <c r="E155" s="28"/>
      <c r="F155" s="6"/>
      <c r="G155" s="7"/>
      <c r="H155" s="19">
        <f t="shared" si="5"/>
        <v>0</v>
      </c>
      <c r="J155" s="54"/>
    </row>
    <row r="156" spans="2:10" x14ac:dyDescent="0.25">
      <c r="B156" s="21"/>
      <c r="C156" s="21"/>
      <c r="D156" s="20"/>
      <c r="E156" s="28"/>
      <c r="F156" s="6"/>
      <c r="G156" s="7"/>
      <c r="H156" s="19">
        <f t="shared" si="5"/>
        <v>0</v>
      </c>
      <c r="J156" s="54"/>
    </row>
    <row r="157" spans="2:10" x14ac:dyDescent="0.25">
      <c r="B157" s="21"/>
      <c r="C157" s="21"/>
      <c r="D157" s="20"/>
      <c r="E157" s="28"/>
      <c r="F157" s="6"/>
      <c r="G157" s="7"/>
      <c r="H157" s="19">
        <f t="shared" si="5"/>
        <v>0</v>
      </c>
      <c r="J157" s="54"/>
    </row>
    <row r="158" spans="2:10" x14ac:dyDescent="0.25">
      <c r="B158" s="21"/>
      <c r="C158" s="21"/>
      <c r="D158" s="20"/>
      <c r="E158" s="28"/>
      <c r="F158" s="6"/>
      <c r="G158" s="7"/>
      <c r="H158" s="19">
        <f t="shared" si="5"/>
        <v>0</v>
      </c>
    </row>
    <row r="159" spans="2:10" ht="15" thickBot="1" x14ac:dyDescent="0.3">
      <c r="B159" s="21"/>
      <c r="C159" s="21"/>
      <c r="D159" s="20"/>
      <c r="E159" s="28"/>
      <c r="F159" s="6"/>
      <c r="G159" s="7"/>
      <c r="H159" s="19">
        <f t="shared" si="5"/>
        <v>0</v>
      </c>
    </row>
    <row r="160" spans="2:10" ht="15" thickBot="1" x14ac:dyDescent="0.3">
      <c r="E160" s="70"/>
      <c r="F160" s="62">
        <f>SUM(F119:F159)</f>
        <v>0</v>
      </c>
      <c r="G160" s="36"/>
      <c r="H160" s="63">
        <f>SUM(H119:H159)</f>
        <v>0</v>
      </c>
    </row>
    <row r="161" spans="2:14" x14ac:dyDescent="0.25">
      <c r="E161" s="38" t="s">
        <v>8</v>
      </c>
      <c r="F161" s="39">
        <f>TOTAL!N11</f>
        <v>30000</v>
      </c>
      <c r="G161" s="40" t="s">
        <v>16</v>
      </c>
      <c r="H161" s="71">
        <f>H160/F161%</f>
        <v>0</v>
      </c>
      <c r="I161" s="58" t="s">
        <v>10</v>
      </c>
    </row>
    <row r="162" spans="2:14" ht="15" thickBot="1" x14ac:dyDescent="0.3">
      <c r="B162" s="79"/>
      <c r="C162" s="79"/>
      <c r="D162" s="80"/>
      <c r="E162" s="81"/>
      <c r="F162" s="82"/>
      <c r="G162" s="7"/>
      <c r="H162" s="74"/>
    </row>
    <row r="163" spans="2:14" ht="18.75" thickTop="1" x14ac:dyDescent="0.25">
      <c r="B163" s="75" t="s">
        <v>44</v>
      </c>
      <c r="C163" s="76"/>
      <c r="D163" s="83"/>
      <c r="E163" s="77"/>
      <c r="F163" s="84"/>
      <c r="G163" s="78"/>
      <c r="H163" s="50"/>
      <c r="J163" s="14"/>
    </row>
    <row r="164" spans="2:14" x14ac:dyDescent="0.25">
      <c r="B164" s="9" t="s">
        <v>1</v>
      </c>
      <c r="C164" s="9" t="s">
        <v>2</v>
      </c>
      <c r="D164" s="10" t="s">
        <v>3</v>
      </c>
      <c r="E164" s="11" t="s">
        <v>4</v>
      </c>
      <c r="F164" s="12" t="s">
        <v>5</v>
      </c>
      <c r="G164" s="7" t="s">
        <v>12</v>
      </c>
      <c r="H164" s="13" t="s">
        <v>7</v>
      </c>
    </row>
    <row r="165" spans="2:14" s="14" customFormat="1" x14ac:dyDescent="0.25">
      <c r="B165" s="21"/>
      <c r="C165" s="21"/>
      <c r="D165" s="20"/>
      <c r="E165" s="28"/>
      <c r="F165" s="6"/>
      <c r="G165" s="7"/>
      <c r="H165" s="19">
        <f t="shared" ref="H165:H176" si="6">F165-G165</f>
        <v>0</v>
      </c>
      <c r="I165" s="1"/>
      <c r="J165" s="1"/>
      <c r="K165" s="1"/>
      <c r="L165" s="1"/>
      <c r="M165" s="1"/>
      <c r="N165" s="1"/>
    </row>
    <row r="166" spans="2:14" s="14" customFormat="1" x14ac:dyDescent="0.25">
      <c r="B166" s="21"/>
      <c r="C166" s="21"/>
      <c r="D166" s="20"/>
      <c r="E166" s="28"/>
      <c r="F166" s="6"/>
      <c r="G166" s="7"/>
      <c r="H166" s="19">
        <f t="shared" si="6"/>
        <v>0</v>
      </c>
      <c r="I166" s="1"/>
      <c r="J166" s="1"/>
      <c r="K166" s="1"/>
      <c r="L166" s="1"/>
      <c r="M166" s="1"/>
      <c r="N166" s="1"/>
    </row>
    <row r="167" spans="2:14" s="14" customFormat="1" x14ac:dyDescent="0.25">
      <c r="B167" s="21"/>
      <c r="C167" s="21"/>
      <c r="D167" s="20"/>
      <c r="E167" s="28"/>
      <c r="F167" s="6"/>
      <c r="G167" s="7"/>
      <c r="H167" s="19">
        <f t="shared" si="6"/>
        <v>0</v>
      </c>
      <c r="I167" s="1"/>
      <c r="J167" s="1"/>
    </row>
    <row r="168" spans="2:14" s="14" customFormat="1" x14ac:dyDescent="0.25">
      <c r="B168" s="21"/>
      <c r="C168" s="21"/>
      <c r="D168" s="20"/>
      <c r="E168" s="28"/>
      <c r="F168" s="6"/>
      <c r="G168" s="7"/>
      <c r="H168" s="19">
        <f t="shared" si="6"/>
        <v>0</v>
      </c>
      <c r="I168" s="58"/>
      <c r="J168" s="54"/>
    </row>
    <row r="169" spans="2:14" s="14" customFormat="1" x14ac:dyDescent="0.25">
      <c r="B169" s="21"/>
      <c r="C169" s="21"/>
      <c r="D169" s="20"/>
      <c r="E169" s="28"/>
      <c r="F169" s="6"/>
      <c r="G169" s="7"/>
      <c r="H169" s="19">
        <f t="shared" si="6"/>
        <v>0</v>
      </c>
      <c r="J169" s="1"/>
    </row>
    <row r="170" spans="2:14" s="14" customFormat="1" x14ac:dyDescent="0.25">
      <c r="B170" s="22"/>
      <c r="C170" s="141"/>
      <c r="D170" s="141"/>
      <c r="E170" s="23"/>
      <c r="F170" s="6"/>
      <c r="G170" s="7"/>
      <c r="H170" s="19">
        <f t="shared" si="6"/>
        <v>0</v>
      </c>
      <c r="J170" s="54"/>
    </row>
    <row r="171" spans="2:14" s="14" customFormat="1" x14ac:dyDescent="0.25">
      <c r="B171" s="21"/>
      <c r="C171" s="21"/>
      <c r="D171" s="20"/>
      <c r="E171" s="28"/>
      <c r="F171" s="6"/>
      <c r="G171" s="7"/>
      <c r="H171" s="19">
        <f t="shared" si="6"/>
        <v>0</v>
      </c>
      <c r="J171" s="54"/>
    </row>
    <row r="172" spans="2:14" s="14" customFormat="1" x14ac:dyDescent="0.25">
      <c r="B172" s="21"/>
      <c r="C172" s="21"/>
      <c r="D172" s="20"/>
      <c r="E172" s="28"/>
      <c r="F172" s="6"/>
      <c r="G172" s="7"/>
      <c r="H172" s="19">
        <f t="shared" si="6"/>
        <v>0</v>
      </c>
      <c r="J172" s="54"/>
    </row>
    <row r="173" spans="2:14" s="14" customFormat="1" x14ac:dyDescent="0.25">
      <c r="B173" s="21"/>
      <c r="C173" s="21"/>
      <c r="D173" s="20"/>
      <c r="E173" s="28"/>
      <c r="F173" s="6"/>
      <c r="G173" s="7"/>
      <c r="H173" s="19">
        <f t="shared" si="6"/>
        <v>0</v>
      </c>
      <c r="J173" s="1"/>
    </row>
    <row r="174" spans="2:14" s="14" customFormat="1" x14ac:dyDescent="0.25">
      <c r="B174" s="21"/>
      <c r="C174" s="21"/>
      <c r="D174" s="20"/>
      <c r="E174" s="28"/>
      <c r="F174" s="6"/>
      <c r="G174" s="7"/>
      <c r="H174" s="19">
        <f t="shared" si="6"/>
        <v>0</v>
      </c>
      <c r="J174" s="1"/>
    </row>
    <row r="175" spans="2:14" s="14" customFormat="1" x14ac:dyDescent="0.25">
      <c r="B175" s="21"/>
      <c r="C175" s="21"/>
      <c r="D175" s="20"/>
      <c r="E175" s="28"/>
      <c r="F175" s="6"/>
      <c r="G175" s="7"/>
      <c r="H175" s="19">
        <f t="shared" si="6"/>
        <v>0</v>
      </c>
      <c r="J175" s="1"/>
    </row>
    <row r="176" spans="2:14" ht="15" thickBot="1" x14ac:dyDescent="0.3">
      <c r="B176" s="21"/>
      <c r="C176" s="21"/>
      <c r="D176" s="20"/>
      <c r="E176" s="28"/>
      <c r="F176" s="6"/>
      <c r="G176" s="7"/>
      <c r="H176" s="19">
        <f t="shared" si="6"/>
        <v>0</v>
      </c>
      <c r="I176" s="101">
        <f>SUM(H167,H160,H119,H91,H66,H49,H36)</f>
        <v>0</v>
      </c>
      <c r="K176" s="14"/>
      <c r="L176" s="14"/>
      <c r="M176" s="14"/>
      <c r="N176" s="14"/>
    </row>
    <row r="177" spans="1:14" ht="15" thickBot="1" x14ac:dyDescent="0.3">
      <c r="B177" s="85"/>
      <c r="C177" s="85"/>
      <c r="D177" s="14"/>
      <c r="E177" s="86"/>
      <c r="F177" s="62">
        <f>SUM(F165:F176)</f>
        <v>0</v>
      </c>
      <c r="G177" s="36">
        <f>SUM(G165:G176)</f>
        <v>0</v>
      </c>
      <c r="H177" s="63">
        <f>SUM(H165:H176)</f>
        <v>0</v>
      </c>
      <c r="I177" s="14"/>
      <c r="K177" s="14"/>
      <c r="L177" s="14"/>
      <c r="M177" s="14"/>
      <c r="N177" s="14"/>
    </row>
    <row r="178" spans="1:14" x14ac:dyDescent="0.25">
      <c r="E178" s="38" t="s">
        <v>8</v>
      </c>
      <c r="F178" s="39">
        <f>TOTAL!N12</f>
        <v>4500</v>
      </c>
      <c r="G178" s="40" t="s">
        <v>16</v>
      </c>
      <c r="H178" s="71">
        <f>H177/F178%</f>
        <v>0</v>
      </c>
      <c r="I178" s="58" t="s">
        <v>10</v>
      </c>
    </row>
    <row r="179" spans="1:14" ht="15" thickBot="1" x14ac:dyDescent="0.3">
      <c r="B179" s="3"/>
      <c r="C179" s="3"/>
      <c r="D179" s="87"/>
      <c r="E179" s="88"/>
      <c r="F179" s="89"/>
      <c r="G179" s="90"/>
      <c r="H179" s="8"/>
      <c r="I179" s="14"/>
    </row>
    <row r="180" spans="1:14" ht="15" thickBot="1" x14ac:dyDescent="0.3">
      <c r="D180" s="288" t="s">
        <v>56</v>
      </c>
      <c r="E180" s="288"/>
      <c r="F180" s="288"/>
      <c r="G180" s="288"/>
      <c r="H180" s="91">
        <f>SUM(SUM(H3:H7)+SUM(H49)+SUM(H66:H70)+SUM(H91:H92)+SUM(H119:H121)+SUM(H165:H166))</f>
        <v>0</v>
      </c>
      <c r="I180" s="14"/>
    </row>
    <row r="181" spans="1:14" ht="15" thickBot="1" x14ac:dyDescent="0.3">
      <c r="D181" s="285" t="s">
        <v>57</v>
      </c>
      <c r="E181" s="285"/>
      <c r="F181" s="285"/>
      <c r="G181" s="285"/>
      <c r="H181" s="92">
        <f>SUM(SUM(H8:H11)+SUM(H93:H94)+SUM(H122:H136)+SUM(H167))</f>
        <v>0</v>
      </c>
      <c r="I181" s="14"/>
    </row>
    <row r="182" spans="1:14" ht="15" thickBot="1" x14ac:dyDescent="0.3">
      <c r="D182" s="286" t="s">
        <v>58</v>
      </c>
      <c r="E182" s="286"/>
      <c r="F182" s="286"/>
      <c r="G182" s="286"/>
      <c r="H182" s="93">
        <f>SUM(SUM(H12:H21)+SUM(H50:H52)+SUM(H71:H72)+SUM(H95:H98)+SUM(H137:H141)+SUM(H168:H171))</f>
        <v>0</v>
      </c>
      <c r="I182" s="14"/>
    </row>
    <row r="183" spans="1:14" ht="15" thickBot="1" x14ac:dyDescent="0.3">
      <c r="D183" s="287" t="s">
        <v>59</v>
      </c>
      <c r="E183" s="287"/>
      <c r="F183" s="287"/>
      <c r="G183" s="287"/>
      <c r="H183" s="94">
        <f>SUM(SUM(H22:H25)+SUM(H53)+SUM(H73:H81)+SUM(H142:H156)+SUM(H172:H173))</f>
        <v>0</v>
      </c>
      <c r="I183" s="14"/>
    </row>
    <row r="184" spans="1:14" ht="15" thickBot="1" x14ac:dyDescent="0.3">
      <c r="D184" s="283" t="s">
        <v>60</v>
      </c>
      <c r="E184" s="283"/>
      <c r="F184" s="283"/>
      <c r="G184" s="283"/>
      <c r="H184" s="95">
        <f>SUM(SUM(H99:H101)+SUM(H157:H158))</f>
        <v>0</v>
      </c>
      <c r="I184" s="14"/>
    </row>
    <row r="185" spans="1:14" ht="15" thickBot="1" x14ac:dyDescent="0.3">
      <c r="D185" s="96"/>
      <c r="E185" s="97"/>
      <c r="F185" s="98"/>
      <c r="G185" s="99"/>
      <c r="H185" s="100">
        <f>SUM(H180:H184)</f>
        <v>0</v>
      </c>
      <c r="I185" s="101">
        <f>SUM(H31,H44,H61,H86,H114,H160,H177)</f>
        <v>0</v>
      </c>
    </row>
    <row r="186" spans="1:14" x14ac:dyDescent="0.25">
      <c r="I186" s="42"/>
    </row>
    <row r="187" spans="1:14" x14ac:dyDescent="0.25">
      <c r="B187" s="1"/>
      <c r="C187" s="1"/>
      <c r="E187" s="70"/>
    </row>
    <row r="192" spans="1:14" s="104" customFormat="1" x14ac:dyDescent="0.25">
      <c r="A192" s="1"/>
      <c r="B192" s="69"/>
      <c r="C192" s="69"/>
      <c r="D192" s="1"/>
      <c r="E192" s="70"/>
      <c r="F192" s="73"/>
      <c r="G192" s="103"/>
      <c r="I192" s="1"/>
      <c r="J192" s="1"/>
    </row>
    <row r="199" spans="1:10" s="104" customFormat="1" x14ac:dyDescent="0.25">
      <c r="A199" s="1"/>
      <c r="B199" s="69"/>
      <c r="C199" s="69"/>
      <c r="D199" s="1"/>
      <c r="E199" s="70"/>
      <c r="F199" s="73"/>
      <c r="G199" s="103"/>
      <c r="I199" s="1"/>
      <c r="J199" s="1"/>
    </row>
  </sheetData>
  <mergeCells count="6">
    <mergeCell ref="D184:G184"/>
    <mergeCell ref="J1:N1"/>
    <mergeCell ref="D180:G180"/>
    <mergeCell ref="D181:G181"/>
    <mergeCell ref="D182:G182"/>
    <mergeCell ref="D183:G183"/>
  </mergeCells>
  <phoneticPr fontId="38" type="noConversion"/>
  <pageMargins left="0.75" right="0.75" top="1" bottom="1" header="0.49212598499999999" footer="0.49212598499999999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O37"/>
  <sheetViews>
    <sheetView workbookViewId="0">
      <selection activeCell="N11" sqref="N11"/>
    </sheetView>
  </sheetViews>
  <sheetFormatPr defaultRowHeight="15" x14ac:dyDescent="0.25"/>
  <cols>
    <col min="1" max="1" width="1" style="126" customWidth="1"/>
    <col min="2" max="2" width="17.28515625" style="127" customWidth="1"/>
    <col min="3" max="8" width="12.7109375" style="127" bestFit="1" customWidth="1"/>
    <col min="9" max="9" width="14.42578125" style="127" bestFit="1" customWidth="1"/>
    <col min="10" max="14" width="12.7109375" style="127" bestFit="1" customWidth="1"/>
    <col min="15" max="15" width="14.42578125" style="127" bestFit="1" customWidth="1"/>
    <col min="16" max="16384" width="9.140625" style="126"/>
  </cols>
  <sheetData>
    <row r="6" spans="2:15" ht="21" x14ac:dyDescent="0.35">
      <c r="F6" s="305" t="s">
        <v>80</v>
      </c>
      <c r="G6" s="305"/>
      <c r="H6" s="305"/>
      <c r="I6" s="305"/>
      <c r="J6" s="305"/>
    </row>
    <row r="7" spans="2:15" x14ac:dyDescent="0.25">
      <c r="B7" s="129" t="s">
        <v>17</v>
      </c>
      <c r="C7" s="113" t="s">
        <v>18</v>
      </c>
      <c r="D7" s="113" t="s">
        <v>19</v>
      </c>
      <c r="E7" s="113" t="s">
        <v>20</v>
      </c>
      <c r="F7" s="114" t="s">
        <v>21</v>
      </c>
      <c r="G7" s="114" t="s">
        <v>22</v>
      </c>
      <c r="H7" s="114" t="s">
        <v>45</v>
      </c>
      <c r="I7" s="115" t="s">
        <v>46</v>
      </c>
      <c r="J7" s="115" t="s">
        <v>23</v>
      </c>
      <c r="K7" s="115" t="s">
        <v>24</v>
      </c>
      <c r="L7" s="114" t="s">
        <v>25</v>
      </c>
      <c r="M7" s="114" t="s">
        <v>26</v>
      </c>
      <c r="N7" s="114" t="s">
        <v>27</v>
      </c>
      <c r="O7" s="128" t="s">
        <v>28</v>
      </c>
    </row>
    <row r="8" spans="2:15" x14ac:dyDescent="0.25">
      <c r="B8" s="105" t="s">
        <v>29</v>
      </c>
      <c r="C8" s="106">
        <v>155620</v>
      </c>
      <c r="D8" s="106">
        <v>435000</v>
      </c>
      <c r="E8" s="106">
        <v>570000</v>
      </c>
      <c r="F8" s="106">
        <v>459000</v>
      </c>
      <c r="G8" s="106">
        <v>520000</v>
      </c>
      <c r="H8" s="106">
        <v>450000</v>
      </c>
      <c r="I8" s="106">
        <v>550000</v>
      </c>
      <c r="J8" s="106">
        <v>595000</v>
      </c>
      <c r="K8" s="106">
        <v>565000</v>
      </c>
      <c r="L8" s="106">
        <v>650000</v>
      </c>
      <c r="M8" s="106">
        <v>665000</v>
      </c>
      <c r="N8" s="106">
        <v>350000</v>
      </c>
      <c r="O8" s="147">
        <f>SUM(C8:N8)</f>
        <v>5964620</v>
      </c>
    </row>
    <row r="9" spans="2:15" x14ac:dyDescent="0.25">
      <c r="B9" s="107" t="s">
        <v>30</v>
      </c>
      <c r="C9" s="108">
        <v>0</v>
      </c>
      <c r="D9" s="108">
        <v>0</v>
      </c>
      <c r="E9" s="108">
        <v>0</v>
      </c>
      <c r="F9" s="108">
        <v>0</v>
      </c>
      <c r="G9" s="108">
        <v>0</v>
      </c>
      <c r="H9" s="108">
        <v>0</v>
      </c>
      <c r="I9" s="108">
        <v>0</v>
      </c>
      <c r="J9" s="108">
        <v>0</v>
      </c>
      <c r="K9" s="108">
        <v>0</v>
      </c>
      <c r="L9" s="108">
        <v>0</v>
      </c>
      <c r="M9" s="108">
        <v>0</v>
      </c>
      <c r="N9" s="108">
        <v>0</v>
      </c>
      <c r="O9" s="147">
        <f>SUM(C9:N9)</f>
        <v>0</v>
      </c>
    </row>
    <row r="10" spans="2:15" x14ac:dyDescent="0.25">
      <c r="B10" s="111" t="s">
        <v>48</v>
      </c>
      <c r="C10" s="112">
        <v>9870</v>
      </c>
      <c r="D10" s="112">
        <v>29000</v>
      </c>
      <c r="E10" s="112">
        <v>45000</v>
      </c>
      <c r="F10" s="112">
        <v>65000</v>
      </c>
      <c r="G10" s="112">
        <v>60000</v>
      </c>
      <c r="H10" s="112">
        <v>60000</v>
      </c>
      <c r="I10" s="112">
        <v>65000</v>
      </c>
      <c r="J10" s="112">
        <v>20000</v>
      </c>
      <c r="K10" s="112">
        <v>40000</v>
      </c>
      <c r="L10" s="112">
        <v>55000</v>
      </c>
      <c r="M10" s="112">
        <v>45000</v>
      </c>
      <c r="N10" s="112">
        <v>36000</v>
      </c>
      <c r="O10" s="147">
        <f>SUM(C10:N10)</f>
        <v>529870</v>
      </c>
    </row>
    <row r="11" spans="2:15" x14ac:dyDescent="0.25">
      <c r="B11" s="109" t="s">
        <v>47</v>
      </c>
      <c r="C11" s="110">
        <v>18600</v>
      </c>
      <c r="D11" s="110">
        <v>32000</v>
      </c>
      <c r="E11" s="110">
        <v>44000</v>
      </c>
      <c r="F11" s="110">
        <v>70000</v>
      </c>
      <c r="G11" s="110">
        <v>56000</v>
      </c>
      <c r="H11" s="110">
        <v>56000</v>
      </c>
      <c r="I11" s="110">
        <v>46000</v>
      </c>
      <c r="J11" s="110">
        <v>29000</v>
      </c>
      <c r="K11" s="110">
        <v>35000</v>
      </c>
      <c r="L11" s="110">
        <v>45000</v>
      </c>
      <c r="M11" s="110">
        <v>35000</v>
      </c>
      <c r="N11" s="110">
        <v>30000</v>
      </c>
      <c r="O11" s="147">
        <f>SUM(C11:N11)</f>
        <v>496600</v>
      </c>
    </row>
    <row r="12" spans="2:15" x14ac:dyDescent="0.25">
      <c r="B12" s="111" t="s">
        <v>31</v>
      </c>
      <c r="C12" s="112">
        <v>660</v>
      </c>
      <c r="D12" s="112">
        <v>3700</v>
      </c>
      <c r="E12" s="112">
        <v>3900</v>
      </c>
      <c r="F12" s="112">
        <v>5515</v>
      </c>
      <c r="G12" s="112">
        <v>3500</v>
      </c>
      <c r="H12" s="112">
        <v>1470</v>
      </c>
      <c r="I12" s="112">
        <v>3900</v>
      </c>
      <c r="J12" s="112">
        <v>3500</v>
      </c>
      <c r="K12" s="112">
        <v>3900</v>
      </c>
      <c r="L12" s="112">
        <v>4000</v>
      </c>
      <c r="M12" s="112">
        <v>3500</v>
      </c>
      <c r="N12" s="112">
        <v>4500</v>
      </c>
      <c r="O12" s="147">
        <f>SUM(C12:N12)</f>
        <v>42045</v>
      </c>
    </row>
    <row r="13" spans="2:15" x14ac:dyDescent="0.25">
      <c r="B13" s="148" t="s">
        <v>32</v>
      </c>
      <c r="C13" s="149">
        <f t="shared" ref="C13:N13" si="0">SUM(C8:C12)</f>
        <v>184750</v>
      </c>
      <c r="D13" s="149">
        <f t="shared" si="0"/>
        <v>499700</v>
      </c>
      <c r="E13" s="149">
        <f t="shared" si="0"/>
        <v>662900</v>
      </c>
      <c r="F13" s="149">
        <f t="shared" si="0"/>
        <v>599515</v>
      </c>
      <c r="G13" s="149">
        <f t="shared" si="0"/>
        <v>639500</v>
      </c>
      <c r="H13" s="149">
        <f t="shared" si="0"/>
        <v>567470</v>
      </c>
      <c r="I13" s="149">
        <f t="shared" si="0"/>
        <v>664900</v>
      </c>
      <c r="J13" s="149">
        <f t="shared" si="0"/>
        <v>647500</v>
      </c>
      <c r="K13" s="149">
        <f t="shared" si="0"/>
        <v>643900</v>
      </c>
      <c r="L13" s="149">
        <f t="shared" si="0"/>
        <v>754000</v>
      </c>
      <c r="M13" s="149">
        <f t="shared" si="0"/>
        <v>748500</v>
      </c>
      <c r="N13" s="149">
        <f t="shared" si="0"/>
        <v>420500</v>
      </c>
      <c r="O13" s="147">
        <f>O8+O9+O10+O11+O12</f>
        <v>7033135</v>
      </c>
    </row>
    <row r="15" spans="2:15" ht="21" x14ac:dyDescent="0.35">
      <c r="F15" s="305" t="s">
        <v>81</v>
      </c>
      <c r="G15" s="305"/>
      <c r="H15" s="305"/>
      <c r="I15" s="305"/>
      <c r="J15" s="305"/>
    </row>
    <row r="16" spans="2:15" x14ac:dyDescent="0.25">
      <c r="B16" s="129" t="s">
        <v>17</v>
      </c>
      <c r="C16" s="113" t="s">
        <v>18</v>
      </c>
      <c r="D16" s="113" t="s">
        <v>19</v>
      </c>
      <c r="E16" s="113" t="s">
        <v>20</v>
      </c>
      <c r="F16" s="114" t="s">
        <v>21</v>
      </c>
      <c r="G16" s="114" t="s">
        <v>22</v>
      </c>
      <c r="H16" s="114" t="s">
        <v>45</v>
      </c>
      <c r="I16" s="115" t="s">
        <v>46</v>
      </c>
      <c r="J16" s="115" t="s">
        <v>23</v>
      </c>
      <c r="K16" s="115" t="s">
        <v>24</v>
      </c>
      <c r="L16" s="114" t="s">
        <v>25</v>
      </c>
      <c r="M16" s="114" t="s">
        <v>26</v>
      </c>
      <c r="N16" s="114" t="s">
        <v>27</v>
      </c>
      <c r="O16" s="128" t="s">
        <v>28</v>
      </c>
    </row>
    <row r="17" spans="2:15" x14ac:dyDescent="0.25">
      <c r="B17" s="105" t="s">
        <v>29</v>
      </c>
      <c r="C17" s="106">
        <f>Janeiro!H15</f>
        <v>198894.52</v>
      </c>
      <c r="D17" s="106">
        <f>Fevereiro!H21</f>
        <v>458608.26</v>
      </c>
      <c r="E17" s="106">
        <f>Março!H24</f>
        <v>507813.83</v>
      </c>
      <c r="F17" s="106">
        <f>Abril!H27</f>
        <v>606419</v>
      </c>
      <c r="G17" s="106">
        <f>Maio!H20</f>
        <v>371450</v>
      </c>
      <c r="H17" s="106">
        <f>Junho!H33</f>
        <v>589943.84</v>
      </c>
      <c r="I17" s="106">
        <f>Julho!H32</f>
        <v>628723.76</v>
      </c>
      <c r="J17" s="106">
        <f>Agosto!H17</f>
        <v>332237</v>
      </c>
      <c r="K17" s="106">
        <f>Setembro!H34</f>
        <v>533660.93999999994</v>
      </c>
      <c r="L17" s="106">
        <f>Outubro!H26</f>
        <v>438850</v>
      </c>
      <c r="M17" s="106">
        <f>Novembro!H30</f>
        <v>486463.23</v>
      </c>
      <c r="N17" s="106">
        <f>Dezembro!H31</f>
        <v>0</v>
      </c>
      <c r="O17" s="147">
        <f t="shared" ref="O17:O22" si="1">SUM(C17:N17)</f>
        <v>5153064.3800000008</v>
      </c>
    </row>
    <row r="18" spans="2:15" x14ac:dyDescent="0.25">
      <c r="B18" s="107" t="s">
        <v>30</v>
      </c>
      <c r="C18" s="108">
        <f>Janeiro!H53</f>
        <v>15699.730000000001</v>
      </c>
      <c r="D18" s="108">
        <f>Fevereiro!H51</f>
        <v>29096.87</v>
      </c>
      <c r="E18" s="108">
        <f>Março!H56</f>
        <v>13564.25</v>
      </c>
      <c r="F18" s="108">
        <f>Abril!H59</f>
        <v>39679.07</v>
      </c>
      <c r="G18" s="108">
        <f>Maio!H55</f>
        <v>27707.29</v>
      </c>
      <c r="H18" s="108">
        <f>Junho!H73</f>
        <v>23554.600000000002</v>
      </c>
      <c r="I18" s="108">
        <f>Julho!H71</f>
        <v>2529.98</v>
      </c>
      <c r="J18" s="108">
        <f>Agosto!H52</f>
        <v>11861.119999999999</v>
      </c>
      <c r="K18" s="108">
        <f>Setembro!H89</f>
        <v>18819.939999999999</v>
      </c>
      <c r="L18" s="108">
        <f>Outubro!H67</f>
        <v>5223.9199999999992</v>
      </c>
      <c r="M18" s="108">
        <f>Novembro!H65</f>
        <v>2303.2799999999997</v>
      </c>
      <c r="N18" s="108">
        <f>Dezembro!H86</f>
        <v>0</v>
      </c>
      <c r="O18" s="147">
        <f t="shared" si="1"/>
        <v>190040.05000000002</v>
      </c>
    </row>
    <row r="19" spans="2:15" x14ac:dyDescent="0.25">
      <c r="B19" s="111" t="s">
        <v>48</v>
      </c>
      <c r="C19" s="112">
        <f>Janeiro!H78</f>
        <v>24572.480000000003</v>
      </c>
      <c r="D19" s="112">
        <f>Fevereiro!H72</f>
        <v>47581.250000000015</v>
      </c>
      <c r="E19" s="112">
        <f>Março!H86</f>
        <v>77836.97</v>
      </c>
      <c r="F19" s="112">
        <f>Abril!H90</f>
        <v>74521.87</v>
      </c>
      <c r="G19" s="112">
        <f>Maio!H81</f>
        <v>29556.670000000002</v>
      </c>
      <c r="H19" s="112">
        <f>Junho!H104</f>
        <v>71497.72</v>
      </c>
      <c r="I19" s="112">
        <f>Julho!H96</f>
        <v>14667.88</v>
      </c>
      <c r="J19" s="112">
        <f>Agosto!H93</f>
        <v>58535.759999999987</v>
      </c>
      <c r="K19" s="112">
        <f>Setembro!H122</f>
        <v>32316.070000000003</v>
      </c>
      <c r="L19" s="112">
        <f>Outubro!H99</f>
        <v>45702.29</v>
      </c>
      <c r="M19" s="112">
        <f>Novembro!H96</f>
        <v>51091.53</v>
      </c>
      <c r="N19" s="112">
        <f>Dezembro!H114</f>
        <v>0</v>
      </c>
      <c r="O19" s="147">
        <f t="shared" si="1"/>
        <v>527880.49</v>
      </c>
    </row>
    <row r="20" spans="2:15" x14ac:dyDescent="0.25">
      <c r="B20" s="109" t="s">
        <v>47</v>
      </c>
      <c r="C20" s="110">
        <f>Janeiro!H120</f>
        <v>25599</v>
      </c>
      <c r="D20" s="110">
        <f>Fevereiro!H115</f>
        <v>25454</v>
      </c>
      <c r="E20" s="110">
        <f>Março!H147</f>
        <v>54519.75</v>
      </c>
      <c r="F20" s="110">
        <f>Abril!H136</f>
        <v>61889.340000000004</v>
      </c>
      <c r="G20" s="110">
        <f>Maio!H151</f>
        <v>74465.95</v>
      </c>
      <c r="H20" s="110">
        <f>Junho!H154</f>
        <v>39450.639999999999</v>
      </c>
      <c r="I20" s="110">
        <f>Julho!H134</f>
        <v>19784.080000000002</v>
      </c>
      <c r="J20" s="110">
        <f>Agosto!H168</f>
        <v>49100.299999999996</v>
      </c>
      <c r="K20" s="110">
        <f>Setembro!H180</f>
        <v>28963.67</v>
      </c>
      <c r="L20" s="110">
        <f>Outubro!H169</f>
        <v>37153.32</v>
      </c>
      <c r="M20" s="110">
        <f>Novembro!H154</f>
        <v>27159.31</v>
      </c>
      <c r="N20" s="110">
        <f>Dezembro!H160</f>
        <v>0</v>
      </c>
      <c r="O20" s="147">
        <f t="shared" si="1"/>
        <v>443539.36</v>
      </c>
    </row>
    <row r="21" spans="2:15" x14ac:dyDescent="0.25">
      <c r="B21" s="111" t="s">
        <v>31</v>
      </c>
      <c r="C21" s="112">
        <f>Janeiro!H143</f>
        <v>3590</v>
      </c>
      <c r="D21" s="112">
        <f>Fevereiro!H134</f>
        <v>1015</v>
      </c>
      <c r="E21" s="112">
        <f>Março!H169</f>
        <v>2474.27</v>
      </c>
      <c r="F21" s="112">
        <f>Abril!H158</f>
        <v>2904.41</v>
      </c>
      <c r="G21" s="112">
        <f>Maio!H172</f>
        <v>1650</v>
      </c>
      <c r="H21" s="112">
        <f>Junho!H184</f>
        <v>5589.65</v>
      </c>
      <c r="I21" s="112">
        <f>Julho!H160</f>
        <v>4735</v>
      </c>
      <c r="J21" s="112">
        <f>Agosto!H195</f>
        <v>3150</v>
      </c>
      <c r="K21" s="112">
        <f>Setembro!H208</f>
        <v>2448.6999999999998</v>
      </c>
      <c r="L21" s="112">
        <f>Outubro!H193</f>
        <v>1460</v>
      </c>
      <c r="M21" s="112">
        <f>Novembro!H179</f>
        <v>2910</v>
      </c>
      <c r="N21" s="112">
        <f>Dezembro!H177</f>
        <v>0</v>
      </c>
      <c r="O21" s="147">
        <f t="shared" si="1"/>
        <v>31927.030000000002</v>
      </c>
    </row>
    <row r="22" spans="2:15" x14ac:dyDescent="0.25">
      <c r="B22" s="116" t="s">
        <v>33</v>
      </c>
      <c r="C22" s="117">
        <f>Janeiro!H24+Janeiro!H33+Janeiro!H129</f>
        <v>11309.54</v>
      </c>
      <c r="D22" s="117">
        <f>Fevereiro!H28+Fevereiro!H36+Fevereiro!H124</f>
        <v>29317.69</v>
      </c>
      <c r="E22" s="117">
        <f>Março!H32+Março!H40+Março!H156</f>
        <v>77282.48</v>
      </c>
      <c r="F22" s="117">
        <f>Abril!H35+Abril!H44</f>
        <v>2590</v>
      </c>
      <c r="G22" s="117">
        <f>Maio!H29+Maio!H38+Maio!H161</f>
        <v>37014</v>
      </c>
      <c r="H22" s="117">
        <f>Junho!H46+Junho!H58+Junho!H164</f>
        <v>76325.429999999993</v>
      </c>
      <c r="I22" s="117">
        <f>Julho!H40+Julho!H51+Julho!H144</f>
        <v>60412.85</v>
      </c>
      <c r="J22" s="117">
        <f>Agosto!H25+Agosto!H34+Agosto!H178</f>
        <v>104033.03</v>
      </c>
      <c r="K22" s="117">
        <f>Setembro!H47+Setembro!H64+Setembro!H191</f>
        <v>99024.93</v>
      </c>
      <c r="L22" s="117">
        <f>Outubro!H39+Outubro!H50+Outubro!H180</f>
        <v>68969.459999999992</v>
      </c>
      <c r="M22" s="117">
        <f>Novembro!H43+Novembro!H52+Novembro!H165</f>
        <v>99978.650000000009</v>
      </c>
      <c r="N22" s="117">
        <f>SUM(Dezembro!H44,Dezembro!H61)</f>
        <v>0</v>
      </c>
      <c r="O22" s="147">
        <f t="shared" si="1"/>
        <v>666258.06000000006</v>
      </c>
    </row>
    <row r="23" spans="2:15" x14ac:dyDescent="0.25">
      <c r="B23" s="148" t="s">
        <v>32</v>
      </c>
      <c r="C23" s="149">
        <f>SUM(C17:C22)</f>
        <v>279665.26999999996</v>
      </c>
      <c r="D23" s="149">
        <f>SUM(D17:D22)</f>
        <v>591073.06999999995</v>
      </c>
      <c r="E23" s="149">
        <f>SUM(E17:E22)</f>
        <v>733491.55</v>
      </c>
      <c r="F23" s="149">
        <f t="shared" ref="F23:N23" si="2">SUM(F17:F22)</f>
        <v>788003.69</v>
      </c>
      <c r="G23" s="149">
        <f t="shared" si="2"/>
        <v>541843.90999999992</v>
      </c>
      <c r="H23" s="149">
        <f t="shared" si="2"/>
        <v>806361.87999999989</v>
      </c>
      <c r="I23" s="149">
        <f t="shared" si="2"/>
        <v>730853.54999999993</v>
      </c>
      <c r="J23" s="149">
        <f t="shared" si="2"/>
        <v>558917.21</v>
      </c>
      <c r="K23" s="149">
        <f t="shared" si="2"/>
        <v>715234.24999999977</v>
      </c>
      <c r="L23" s="149">
        <f t="shared" si="2"/>
        <v>597358.98999999987</v>
      </c>
      <c r="M23" s="149">
        <f t="shared" si="2"/>
        <v>669906.00000000012</v>
      </c>
      <c r="N23" s="149">
        <f t="shared" si="2"/>
        <v>0</v>
      </c>
      <c r="O23" s="147">
        <f>SUM(O17:O22)</f>
        <v>7012709.370000001</v>
      </c>
    </row>
    <row r="24" spans="2:15" ht="15.75" x14ac:dyDescent="0.25">
      <c r="B24" s="130" t="s">
        <v>34</v>
      </c>
    </row>
    <row r="25" spans="2:15" ht="21.75" thickBot="1" x14ac:dyDescent="0.4">
      <c r="F25" s="305" t="s">
        <v>726</v>
      </c>
      <c r="G25" s="305"/>
      <c r="H25" s="305"/>
      <c r="I25" s="305"/>
      <c r="J25" s="305"/>
    </row>
    <row r="26" spans="2:15" x14ac:dyDescent="0.25">
      <c r="B26" s="118"/>
      <c r="C26" s="313" t="s">
        <v>35</v>
      </c>
      <c r="D26" s="313"/>
      <c r="E26" s="313"/>
      <c r="F26" s="314" t="s">
        <v>36</v>
      </c>
      <c r="G26" s="314"/>
      <c r="H26" s="314"/>
      <c r="I26" s="313" t="s">
        <v>37</v>
      </c>
      <c r="J26" s="313"/>
      <c r="K26" s="313"/>
      <c r="L26" s="314" t="s">
        <v>38</v>
      </c>
      <c r="M26" s="314"/>
      <c r="N26" s="315"/>
      <c r="O26" s="150" t="s">
        <v>32</v>
      </c>
    </row>
    <row r="27" spans="2:15" x14ac:dyDescent="0.25">
      <c r="B27" s="119" t="s">
        <v>8</v>
      </c>
      <c r="C27" s="316">
        <f>C13+D13+E13</f>
        <v>1347350</v>
      </c>
      <c r="D27" s="317"/>
      <c r="E27" s="317"/>
      <c r="F27" s="316">
        <f>F13+G13+H13</f>
        <v>1806485</v>
      </c>
      <c r="G27" s="317"/>
      <c r="H27" s="317"/>
      <c r="I27" s="318">
        <f>I13+J13+K13</f>
        <v>1956300</v>
      </c>
      <c r="J27" s="317"/>
      <c r="K27" s="317"/>
      <c r="L27" s="316">
        <f>L13+M13+N13</f>
        <v>1923000</v>
      </c>
      <c r="M27" s="317"/>
      <c r="N27" s="319"/>
      <c r="O27" s="151">
        <f>C27+F27+I27+L27</f>
        <v>7033135</v>
      </c>
    </row>
    <row r="28" spans="2:15" ht="15.75" thickBot="1" x14ac:dyDescent="0.3">
      <c r="B28" s="120" t="s">
        <v>39</v>
      </c>
      <c r="C28" s="310">
        <f>C23+D23+E23</f>
        <v>1604229.89</v>
      </c>
      <c r="D28" s="311"/>
      <c r="E28" s="311"/>
      <c r="F28" s="310">
        <f>F23+G23+H23</f>
        <v>2136209.4799999995</v>
      </c>
      <c r="G28" s="311"/>
      <c r="H28" s="311"/>
      <c r="I28" s="310">
        <f>I23+J23+K23</f>
        <v>2005005.0099999995</v>
      </c>
      <c r="J28" s="311"/>
      <c r="K28" s="311"/>
      <c r="L28" s="310">
        <f>L23+M23+N23</f>
        <v>1267264.99</v>
      </c>
      <c r="M28" s="311"/>
      <c r="N28" s="312"/>
      <c r="O28" s="151">
        <f>C28+F28+I28+L28</f>
        <v>7012709.3699999992</v>
      </c>
    </row>
    <row r="29" spans="2:15" x14ac:dyDescent="0.25">
      <c r="N29" s="121" t="s">
        <v>40</v>
      </c>
      <c r="O29" s="122">
        <f>O28/O27</f>
        <v>0.99709580009483667</v>
      </c>
    </row>
    <row r="30" spans="2:15" x14ac:dyDescent="0.25">
      <c r="N30" s="123" t="s">
        <v>41</v>
      </c>
      <c r="O30" s="124">
        <f>O27-O28</f>
        <v>20425.63000000082</v>
      </c>
    </row>
    <row r="32" spans="2:15" ht="21.75" thickBot="1" x14ac:dyDescent="0.4">
      <c r="F32" s="305" t="s">
        <v>727</v>
      </c>
      <c r="G32" s="305"/>
      <c r="H32" s="305"/>
      <c r="I32" s="305"/>
      <c r="J32" s="305"/>
    </row>
    <row r="33" spans="2:15" x14ac:dyDescent="0.25">
      <c r="B33" s="118"/>
      <c r="C33" s="306" t="s">
        <v>728</v>
      </c>
      <c r="D33" s="307"/>
      <c r="E33" s="307"/>
      <c r="F33" s="307"/>
      <c r="G33" s="307"/>
      <c r="H33" s="308"/>
      <c r="I33" s="306" t="s">
        <v>729</v>
      </c>
      <c r="J33" s="307"/>
      <c r="K33" s="307"/>
      <c r="L33" s="307"/>
      <c r="M33" s="307"/>
      <c r="N33" s="309"/>
      <c r="O33" s="150" t="s">
        <v>32</v>
      </c>
    </row>
    <row r="34" spans="2:15" x14ac:dyDescent="0.25">
      <c r="B34" s="119" t="s">
        <v>8</v>
      </c>
      <c r="C34" s="295">
        <f>SUM(C13:H13)</f>
        <v>3153835</v>
      </c>
      <c r="D34" s="296"/>
      <c r="E34" s="296"/>
      <c r="F34" s="296"/>
      <c r="G34" s="296"/>
      <c r="H34" s="297"/>
      <c r="I34" s="301">
        <f>SUM(I13:N13)</f>
        <v>3879300</v>
      </c>
      <c r="J34" s="302"/>
      <c r="K34" s="302"/>
      <c r="L34" s="302"/>
      <c r="M34" s="302"/>
      <c r="N34" s="303"/>
      <c r="O34" s="151">
        <f>SUM(C34:N34)</f>
        <v>7033135</v>
      </c>
    </row>
    <row r="35" spans="2:15" ht="15.75" thickBot="1" x14ac:dyDescent="0.3">
      <c r="B35" s="120" t="s">
        <v>39</v>
      </c>
      <c r="C35" s="298">
        <f>SUM(C23:H23)</f>
        <v>3740439.37</v>
      </c>
      <c r="D35" s="299"/>
      <c r="E35" s="299"/>
      <c r="F35" s="299"/>
      <c r="G35" s="299"/>
      <c r="H35" s="300"/>
      <c r="I35" s="298">
        <f>SUM(I23:N23)</f>
        <v>3272269.9999999995</v>
      </c>
      <c r="J35" s="299"/>
      <c r="K35" s="299"/>
      <c r="L35" s="299"/>
      <c r="M35" s="299"/>
      <c r="N35" s="304"/>
      <c r="O35" s="151">
        <f>SUM(C35:N35)</f>
        <v>7012709.3699999992</v>
      </c>
    </row>
    <row r="36" spans="2:15" x14ac:dyDescent="0.25">
      <c r="N36" s="121" t="s">
        <v>40</v>
      </c>
      <c r="O36" s="122">
        <f>O35/O34</f>
        <v>0.99709580009483667</v>
      </c>
    </row>
    <row r="37" spans="2:15" x14ac:dyDescent="0.25">
      <c r="N37" s="123" t="s">
        <v>41</v>
      </c>
      <c r="O37" s="124">
        <f>O34-O35</f>
        <v>20425.63000000082</v>
      </c>
    </row>
  </sheetData>
  <mergeCells count="22">
    <mergeCell ref="C28:E28"/>
    <mergeCell ref="F28:H28"/>
    <mergeCell ref="I28:K28"/>
    <mergeCell ref="L28:N28"/>
    <mergeCell ref="F6:J6"/>
    <mergeCell ref="F15:J15"/>
    <mergeCell ref="F25:J25"/>
    <mergeCell ref="C26:E26"/>
    <mergeCell ref="F26:H26"/>
    <mergeCell ref="I26:K26"/>
    <mergeCell ref="L26:N26"/>
    <mergeCell ref="C27:E27"/>
    <mergeCell ref="F27:H27"/>
    <mergeCell ref="I27:K27"/>
    <mergeCell ref="L27:N27"/>
    <mergeCell ref="C34:H34"/>
    <mergeCell ref="C35:H35"/>
    <mergeCell ref="I34:N34"/>
    <mergeCell ref="I35:N35"/>
    <mergeCell ref="F32:J32"/>
    <mergeCell ref="C33:H33"/>
    <mergeCell ref="I33:N33"/>
  </mergeCells>
  <phoneticPr fontId="38" type="noConversion"/>
  <pageMargins left="0.51181102362204722" right="0.51181102362204722" top="0.78740157480314965" bottom="0.78740157480314965" header="0.31496062992125984" footer="0.31496062992125984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6"/>
  <sheetViews>
    <sheetView showGridLines="0" zoomScale="85" zoomScaleNormal="85" workbookViewId="0">
      <selection activeCell="D18" sqref="D18"/>
    </sheetView>
  </sheetViews>
  <sheetFormatPr defaultRowHeight="14.25" x14ac:dyDescent="0.25"/>
  <cols>
    <col min="1" max="1" width="9.140625" style="1" customWidth="1"/>
    <col min="2" max="2" width="11.5703125" style="205" customWidth="1"/>
    <col min="3" max="3" width="22" style="69" customWidth="1"/>
    <col min="4" max="4" width="60.28515625" style="1" bestFit="1" customWidth="1"/>
    <col min="5" max="5" width="18.7109375" style="72" customWidth="1"/>
    <col min="6" max="6" width="16.28515625" style="73" customWidth="1"/>
    <col min="7" max="7" width="16.5703125" style="103" customWidth="1"/>
    <col min="8" max="8" width="23.42578125" style="104" customWidth="1"/>
    <col min="9" max="9" width="69.28515625" style="1" customWidth="1"/>
    <col min="10" max="14" width="15.7109375" style="1" customWidth="1"/>
    <col min="15" max="16384" width="9.140625" style="1"/>
  </cols>
  <sheetData>
    <row r="1" spans="1:14" ht="18" x14ac:dyDescent="0.25">
      <c r="B1" s="198" t="s">
        <v>0</v>
      </c>
      <c r="C1" s="3"/>
      <c r="D1" s="4"/>
      <c r="E1" s="5"/>
      <c r="F1" s="6"/>
      <c r="G1" s="7"/>
      <c r="H1" s="8"/>
      <c r="J1" s="284" t="s">
        <v>43</v>
      </c>
      <c r="K1" s="284"/>
      <c r="L1" s="284"/>
      <c r="M1" s="284"/>
      <c r="N1" s="284"/>
    </row>
    <row r="2" spans="1:14" x14ac:dyDescent="0.25">
      <c r="B2" s="199" t="s">
        <v>1</v>
      </c>
      <c r="C2" s="9" t="s">
        <v>2</v>
      </c>
      <c r="D2" s="10" t="s">
        <v>3</v>
      </c>
      <c r="E2" s="11" t="s">
        <v>4</v>
      </c>
      <c r="F2" s="12" t="s">
        <v>5</v>
      </c>
      <c r="G2" s="7" t="s">
        <v>6</v>
      </c>
      <c r="H2" s="13" t="s">
        <v>7</v>
      </c>
      <c r="I2" s="136" t="s">
        <v>42</v>
      </c>
      <c r="J2" s="136" t="s">
        <v>50</v>
      </c>
      <c r="K2" s="136" t="s">
        <v>53</v>
      </c>
      <c r="L2" s="136" t="s">
        <v>51</v>
      </c>
      <c r="M2" s="136" t="s">
        <v>52</v>
      </c>
      <c r="N2" s="136" t="s">
        <v>54</v>
      </c>
    </row>
    <row r="3" spans="1:14" s="14" customFormat="1" x14ac:dyDescent="0.25">
      <c r="B3" s="185">
        <v>4505</v>
      </c>
      <c r="C3" s="21" t="s">
        <v>102</v>
      </c>
      <c r="D3" s="16" t="s">
        <v>180</v>
      </c>
      <c r="E3" s="17">
        <v>42405</v>
      </c>
      <c r="F3" s="6">
        <v>17150</v>
      </c>
      <c r="G3" s="175">
        <v>108.24</v>
      </c>
      <c r="H3" s="19">
        <f t="shared" ref="H3:H20" si="0">F3-G3</f>
        <v>17041.759999999998</v>
      </c>
      <c r="I3" s="137" t="s">
        <v>332</v>
      </c>
      <c r="J3" s="138">
        <v>174.29</v>
      </c>
      <c r="K3" s="138">
        <v>90.93</v>
      </c>
      <c r="L3" s="138">
        <v>113.66</v>
      </c>
      <c r="M3" s="138"/>
      <c r="N3" s="138"/>
    </row>
    <row r="4" spans="1:14" s="14" customFormat="1" x14ac:dyDescent="0.25">
      <c r="A4" s="20"/>
      <c r="B4" s="194">
        <v>1188</v>
      </c>
      <c r="C4" s="141" t="s">
        <v>102</v>
      </c>
      <c r="D4" s="141" t="s">
        <v>167</v>
      </c>
      <c r="E4" s="23">
        <v>42405</v>
      </c>
      <c r="F4" s="24">
        <v>26119</v>
      </c>
      <c r="G4" s="25"/>
      <c r="H4" s="19">
        <f t="shared" si="0"/>
        <v>26119</v>
      </c>
      <c r="I4" s="137" t="s">
        <v>341</v>
      </c>
      <c r="J4" s="138">
        <v>187.38</v>
      </c>
      <c r="K4" s="138">
        <v>97.76</v>
      </c>
      <c r="L4" s="138"/>
      <c r="M4" s="138">
        <v>97.06</v>
      </c>
      <c r="N4" s="138"/>
    </row>
    <row r="5" spans="1:14" s="14" customFormat="1" x14ac:dyDescent="0.25">
      <c r="A5" s="20"/>
      <c r="B5" s="230">
        <v>4506</v>
      </c>
      <c r="C5" s="231" t="s">
        <v>181</v>
      </c>
      <c r="D5" s="231" t="s">
        <v>182</v>
      </c>
      <c r="E5" s="232">
        <v>42410</v>
      </c>
      <c r="F5" s="237">
        <v>17800</v>
      </c>
      <c r="G5" s="175"/>
      <c r="H5" s="19">
        <f t="shared" si="0"/>
        <v>17800</v>
      </c>
      <c r="I5" s="137" t="s">
        <v>342</v>
      </c>
      <c r="J5" s="138">
        <v>91.09</v>
      </c>
      <c r="K5" s="138">
        <v>47.53</v>
      </c>
      <c r="L5" s="138">
        <v>59.41</v>
      </c>
      <c r="M5" s="138"/>
      <c r="N5" s="138"/>
    </row>
    <row r="6" spans="1:14" s="14" customFormat="1" x14ac:dyDescent="0.25">
      <c r="A6" s="20"/>
      <c r="B6" s="194">
        <v>1195</v>
      </c>
      <c r="C6" s="141" t="s">
        <v>181</v>
      </c>
      <c r="D6" s="141" t="s">
        <v>183</v>
      </c>
      <c r="E6" s="23">
        <v>42411</v>
      </c>
      <c r="F6" s="26">
        <v>20200</v>
      </c>
      <c r="G6" s="7">
        <v>102.5</v>
      </c>
      <c r="H6" s="19">
        <f t="shared" si="0"/>
        <v>20097.5</v>
      </c>
      <c r="I6" s="137" t="s">
        <v>331</v>
      </c>
      <c r="J6" s="138">
        <v>203.64</v>
      </c>
      <c r="K6" s="138">
        <v>106.25</v>
      </c>
      <c r="L6" s="138"/>
      <c r="M6" s="138">
        <v>132.81</v>
      </c>
      <c r="N6" s="138">
        <v>450</v>
      </c>
    </row>
    <row r="7" spans="1:14" x14ac:dyDescent="0.25">
      <c r="A7" s="20"/>
      <c r="B7" s="194">
        <v>4513</v>
      </c>
      <c r="C7" s="141" t="s">
        <v>181</v>
      </c>
      <c r="D7" s="141" t="s">
        <v>186</v>
      </c>
      <c r="E7" s="23">
        <v>42419</v>
      </c>
      <c r="F7" s="26">
        <v>29800</v>
      </c>
      <c r="G7" s="175"/>
      <c r="H7" s="19">
        <f t="shared" si="0"/>
        <v>29800</v>
      </c>
      <c r="I7" s="137" t="s">
        <v>325</v>
      </c>
      <c r="J7" s="138">
        <v>203.68</v>
      </c>
      <c r="K7" s="138">
        <v>106.27</v>
      </c>
      <c r="L7" s="138">
        <v>132.83000000000001</v>
      </c>
      <c r="M7" s="138"/>
      <c r="N7" s="138"/>
    </row>
    <row r="8" spans="1:14" x14ac:dyDescent="0.25">
      <c r="A8" s="20"/>
      <c r="B8" s="194">
        <v>1196</v>
      </c>
      <c r="C8" s="231" t="s">
        <v>181</v>
      </c>
      <c r="D8" s="231" t="s">
        <v>191</v>
      </c>
      <c r="E8" s="232">
        <v>42412</v>
      </c>
      <c r="F8" s="237">
        <f>34900+9900</f>
        <v>44800</v>
      </c>
      <c r="G8" s="52"/>
      <c r="H8" s="19">
        <f t="shared" si="0"/>
        <v>44800</v>
      </c>
      <c r="I8" s="137" t="s">
        <v>336</v>
      </c>
      <c r="J8" s="138">
        <v>457.86</v>
      </c>
      <c r="K8" s="138">
        <v>53.98</v>
      </c>
      <c r="L8" s="138"/>
      <c r="M8" s="138">
        <v>298.61</v>
      </c>
      <c r="N8" s="138">
        <v>1500</v>
      </c>
    </row>
    <row r="9" spans="1:14" x14ac:dyDescent="0.25">
      <c r="A9" s="20"/>
      <c r="B9" s="185">
        <v>1197</v>
      </c>
      <c r="C9" s="21" t="s">
        <v>181</v>
      </c>
      <c r="D9" s="20" t="s">
        <v>192</v>
      </c>
      <c r="E9" s="28">
        <v>42415</v>
      </c>
      <c r="F9" s="6">
        <v>19900</v>
      </c>
      <c r="G9" s="7"/>
      <c r="H9" s="19">
        <f t="shared" si="0"/>
        <v>19900</v>
      </c>
      <c r="I9" s="137" t="s">
        <v>343</v>
      </c>
      <c r="J9" s="138">
        <v>207.98</v>
      </c>
      <c r="K9" s="138">
        <v>108.51</v>
      </c>
      <c r="L9" s="138"/>
      <c r="M9" s="138">
        <v>135.63999999999999</v>
      </c>
      <c r="N9" s="138">
        <v>450</v>
      </c>
    </row>
    <row r="10" spans="1:14" x14ac:dyDescent="0.25">
      <c r="A10" s="20"/>
      <c r="B10" s="182">
        <v>1201</v>
      </c>
      <c r="C10" s="29" t="s">
        <v>181</v>
      </c>
      <c r="D10" s="30" t="s">
        <v>194</v>
      </c>
      <c r="E10" s="31">
        <v>42416</v>
      </c>
      <c r="F10" s="177">
        <v>20900</v>
      </c>
      <c r="G10" s="175"/>
      <c r="H10" s="19">
        <f t="shared" si="0"/>
        <v>20900</v>
      </c>
      <c r="I10" s="137" t="s">
        <v>329</v>
      </c>
      <c r="J10" s="138">
        <v>218.43</v>
      </c>
      <c r="K10" s="138">
        <v>113.96</v>
      </c>
      <c r="L10" s="138"/>
      <c r="M10" s="138">
        <v>142.44999999999999</v>
      </c>
      <c r="N10" s="138"/>
    </row>
    <row r="11" spans="1:14" x14ac:dyDescent="0.25">
      <c r="A11" s="20"/>
      <c r="B11" s="182">
        <v>1211</v>
      </c>
      <c r="C11" s="29" t="s">
        <v>181</v>
      </c>
      <c r="D11" s="30" t="s">
        <v>196</v>
      </c>
      <c r="E11" s="31">
        <v>42422</v>
      </c>
      <c r="F11" s="18">
        <v>34800</v>
      </c>
      <c r="G11" s="175"/>
      <c r="H11" s="19">
        <f t="shared" si="0"/>
        <v>34800</v>
      </c>
      <c r="I11" s="137" t="s">
        <v>337</v>
      </c>
      <c r="J11" s="138">
        <v>358.76</v>
      </c>
      <c r="K11" s="138">
        <v>187.18</v>
      </c>
      <c r="L11" s="138"/>
      <c r="M11" s="138">
        <v>233.97</v>
      </c>
      <c r="N11" s="138"/>
    </row>
    <row r="12" spans="1:14" x14ac:dyDescent="0.25">
      <c r="A12" s="20"/>
      <c r="B12" s="182">
        <v>4522</v>
      </c>
      <c r="C12" s="29" t="s">
        <v>181</v>
      </c>
      <c r="D12" s="30" t="s">
        <v>197</v>
      </c>
      <c r="E12" s="31">
        <v>42422</v>
      </c>
      <c r="F12" s="223">
        <v>9900</v>
      </c>
      <c r="G12" s="175"/>
      <c r="H12" s="19">
        <f t="shared" si="0"/>
        <v>9900</v>
      </c>
      <c r="I12" s="139" t="s">
        <v>344</v>
      </c>
      <c r="J12" s="138"/>
      <c r="K12" s="138"/>
      <c r="L12" s="138"/>
      <c r="M12" s="138"/>
      <c r="N12" s="138"/>
    </row>
    <row r="13" spans="1:14" x14ac:dyDescent="0.25">
      <c r="A13" s="20"/>
      <c r="B13" s="238">
        <v>4524</v>
      </c>
      <c r="C13" s="238" t="s">
        <v>181</v>
      </c>
      <c r="D13" s="239" t="s">
        <v>198</v>
      </c>
      <c r="E13" s="235">
        <v>42423</v>
      </c>
      <c r="F13" s="240">
        <v>27800</v>
      </c>
      <c r="G13" s="175"/>
      <c r="H13" s="19">
        <f t="shared" si="0"/>
        <v>27800</v>
      </c>
      <c r="I13" s="139" t="s">
        <v>338</v>
      </c>
      <c r="J13" s="138">
        <v>218.75</v>
      </c>
      <c r="K13" s="138">
        <v>114.13</v>
      </c>
      <c r="L13" s="138">
        <v>142.66999999999999</v>
      </c>
      <c r="M13" s="138"/>
      <c r="N13" s="138"/>
    </row>
    <row r="14" spans="1:14" x14ac:dyDescent="0.25">
      <c r="A14" s="20"/>
      <c r="B14" s="185">
        <v>4526</v>
      </c>
      <c r="C14" s="21" t="s">
        <v>181</v>
      </c>
      <c r="D14" s="20" t="s">
        <v>180</v>
      </c>
      <c r="E14" s="28">
        <v>42423</v>
      </c>
      <c r="F14" s="224">
        <v>17200</v>
      </c>
      <c r="G14" s="7"/>
      <c r="H14" s="19">
        <f t="shared" si="0"/>
        <v>17200</v>
      </c>
      <c r="I14" s="139" t="s">
        <v>330</v>
      </c>
      <c r="J14" s="138">
        <v>174.8</v>
      </c>
      <c r="K14" s="138">
        <v>91.2</v>
      </c>
      <c r="L14" s="138">
        <v>114</v>
      </c>
      <c r="M14" s="138"/>
      <c r="N14" s="138"/>
    </row>
    <row r="15" spans="1:14" x14ac:dyDescent="0.25">
      <c r="A15" s="20"/>
      <c r="B15" s="182">
        <v>4527</v>
      </c>
      <c r="C15" s="29" t="s">
        <v>181</v>
      </c>
      <c r="D15" s="20" t="s">
        <v>180</v>
      </c>
      <c r="E15" s="28">
        <v>42423</v>
      </c>
      <c r="F15" s="224">
        <v>28500</v>
      </c>
      <c r="G15" s="7"/>
      <c r="H15" s="19">
        <f t="shared" si="0"/>
        <v>28500</v>
      </c>
      <c r="I15" s="139" t="s">
        <v>327</v>
      </c>
      <c r="J15" s="138">
        <v>289.97000000000003</v>
      </c>
      <c r="K15" s="138">
        <v>151.29</v>
      </c>
      <c r="L15" s="138">
        <v>189.11</v>
      </c>
      <c r="M15" s="138"/>
      <c r="N15" s="138"/>
    </row>
    <row r="16" spans="1:14" x14ac:dyDescent="0.25">
      <c r="B16" s="185">
        <v>1213</v>
      </c>
      <c r="C16" s="21" t="s">
        <v>181</v>
      </c>
      <c r="D16" s="20" t="s">
        <v>209</v>
      </c>
      <c r="E16" s="28">
        <v>42423</v>
      </c>
      <c r="F16" s="6">
        <v>8900</v>
      </c>
      <c r="G16" s="7"/>
      <c r="H16" s="19">
        <f t="shared" si="0"/>
        <v>8900</v>
      </c>
      <c r="I16" s="139" t="s">
        <v>345</v>
      </c>
      <c r="J16" s="138">
        <v>93.02</v>
      </c>
      <c r="K16" s="138">
        <v>48.53</v>
      </c>
      <c r="L16" s="138"/>
      <c r="M16" s="138">
        <v>60.66</v>
      </c>
      <c r="N16" s="138"/>
    </row>
    <row r="17" spans="2:14" x14ac:dyDescent="0.25">
      <c r="B17" s="185">
        <v>1223</v>
      </c>
      <c r="C17" s="21" t="s">
        <v>181</v>
      </c>
      <c r="D17" s="20" t="s">
        <v>215</v>
      </c>
      <c r="E17" s="28">
        <v>42425</v>
      </c>
      <c r="F17" s="6">
        <v>34900</v>
      </c>
      <c r="G17" s="7"/>
      <c r="H17" s="19">
        <f t="shared" si="0"/>
        <v>34900</v>
      </c>
      <c r="I17" s="140" t="s">
        <v>346</v>
      </c>
      <c r="J17" s="138">
        <v>358.24</v>
      </c>
      <c r="K17" s="138">
        <v>186.91</v>
      </c>
      <c r="L17" s="138"/>
      <c r="M17" s="138">
        <v>230.41</v>
      </c>
      <c r="N17" s="138"/>
    </row>
    <row r="18" spans="2:14" x14ac:dyDescent="0.25">
      <c r="B18" s="185">
        <v>4532</v>
      </c>
      <c r="C18" s="21" t="s">
        <v>181</v>
      </c>
      <c r="D18" s="20" t="s">
        <v>217</v>
      </c>
      <c r="E18" s="28">
        <v>42425</v>
      </c>
      <c r="F18" s="6">
        <v>100150</v>
      </c>
      <c r="G18" s="52"/>
      <c r="H18" s="19">
        <f t="shared" si="0"/>
        <v>100150</v>
      </c>
      <c r="I18" s="140" t="s">
        <v>347</v>
      </c>
      <c r="J18" s="138">
        <v>993.41</v>
      </c>
      <c r="K18" s="138">
        <v>518.29999999999995</v>
      </c>
      <c r="L18" s="138">
        <v>647.88</v>
      </c>
      <c r="M18" s="138"/>
      <c r="N18" s="138"/>
    </row>
    <row r="19" spans="2:14" x14ac:dyDescent="0.25">
      <c r="B19" s="185"/>
      <c r="C19" s="21"/>
      <c r="D19" s="20"/>
      <c r="E19" s="28"/>
      <c r="F19" s="6"/>
      <c r="G19" s="7"/>
      <c r="H19" s="19">
        <f t="shared" si="0"/>
        <v>0</v>
      </c>
      <c r="I19" s="66"/>
      <c r="J19" s="132"/>
      <c r="K19" s="132"/>
      <c r="L19" s="132"/>
      <c r="M19" s="132"/>
      <c r="N19" s="132"/>
    </row>
    <row r="20" spans="2:14" ht="15" thickBot="1" x14ac:dyDescent="0.3">
      <c r="B20" s="185"/>
      <c r="C20" s="21"/>
      <c r="D20" s="20"/>
      <c r="E20" s="28"/>
      <c r="F20" s="6"/>
      <c r="G20" s="7"/>
      <c r="H20" s="19">
        <f t="shared" si="0"/>
        <v>0</v>
      </c>
      <c r="I20" s="66"/>
      <c r="J20" s="132"/>
      <c r="K20" s="132"/>
      <c r="L20" s="132"/>
      <c r="M20" s="132"/>
      <c r="N20" s="132"/>
    </row>
    <row r="21" spans="2:14" ht="15" thickBot="1" x14ac:dyDescent="0.3">
      <c r="B21" s="200"/>
      <c r="C21" s="32"/>
      <c r="D21" s="33"/>
      <c r="E21" s="34"/>
      <c r="F21" s="35">
        <f>SUM(F3:F20)</f>
        <v>458819</v>
      </c>
      <c r="G21" s="36">
        <f>SUM(G3:G20)</f>
        <v>210.74</v>
      </c>
      <c r="H21" s="37">
        <f>SUM(H3:H20)</f>
        <v>458608.26</v>
      </c>
      <c r="I21" s="66"/>
      <c r="J21" s="135">
        <f>SUM(J3:J20)</f>
        <v>4231.3</v>
      </c>
      <c r="K21" s="135">
        <f>SUM(K3:K20)</f>
        <v>2022.73</v>
      </c>
      <c r="L21" s="135">
        <f>SUM(L3:L20)</f>
        <v>1399.56</v>
      </c>
      <c r="M21" s="135">
        <f>SUM(M3:M20)</f>
        <v>1331.6100000000001</v>
      </c>
      <c r="N21" s="135">
        <f>SUM(N3:N20)</f>
        <v>2400</v>
      </c>
    </row>
    <row r="22" spans="2:14" x14ac:dyDescent="0.25">
      <c r="B22" s="201"/>
      <c r="C22" s="3"/>
      <c r="D22" s="4"/>
      <c r="E22" s="38" t="s">
        <v>8</v>
      </c>
      <c r="F22" s="39">
        <f>TOTAL!D8</f>
        <v>435000</v>
      </c>
      <c r="G22" s="40" t="s">
        <v>9</v>
      </c>
      <c r="H22" s="41">
        <f>H21/F22%</f>
        <v>105.42718620689655</v>
      </c>
      <c r="I22" s="58" t="s">
        <v>10</v>
      </c>
    </row>
    <row r="23" spans="2:14" ht="15" thickBot="1" x14ac:dyDescent="0.3">
      <c r="B23" s="202"/>
      <c r="C23" s="43"/>
      <c r="D23" s="44"/>
      <c r="E23" s="45"/>
      <c r="F23" s="46"/>
      <c r="G23" s="47"/>
      <c r="H23" s="48"/>
      <c r="I23" s="14"/>
    </row>
    <row r="24" spans="2:14" ht="18.75" thickTop="1" x14ac:dyDescent="0.25">
      <c r="B24" s="198" t="s">
        <v>11</v>
      </c>
      <c r="C24" s="49"/>
      <c r="D24" s="4"/>
      <c r="E24" s="5"/>
      <c r="F24" s="6"/>
      <c r="G24" s="7"/>
      <c r="H24" s="50"/>
      <c r="I24" s="14"/>
    </row>
    <row r="25" spans="2:14" x14ac:dyDescent="0.25">
      <c r="B25" s="199" t="s">
        <v>1</v>
      </c>
      <c r="C25" s="9" t="s">
        <v>2</v>
      </c>
      <c r="D25" s="10" t="s">
        <v>3</v>
      </c>
      <c r="E25" s="11" t="s">
        <v>4</v>
      </c>
      <c r="F25" s="12" t="s">
        <v>5</v>
      </c>
      <c r="G25" s="7" t="s">
        <v>12</v>
      </c>
      <c r="H25" s="13" t="s">
        <v>7</v>
      </c>
      <c r="I25" s="14"/>
    </row>
    <row r="26" spans="2:14" s="14" customFormat="1" x14ac:dyDescent="0.25">
      <c r="B26" s="182"/>
      <c r="C26" s="29"/>
      <c r="D26" s="30"/>
      <c r="E26" s="31"/>
      <c r="F26" s="6"/>
      <c r="G26" s="7"/>
      <c r="H26" s="19">
        <f t="shared" ref="H26:H27" si="1">F26-G26</f>
        <v>0</v>
      </c>
    </row>
    <row r="27" spans="2:14" ht="15" thickBot="1" x14ac:dyDescent="0.3">
      <c r="B27" s="182"/>
      <c r="C27" s="29"/>
      <c r="D27" s="30"/>
      <c r="E27" s="31"/>
      <c r="F27" s="6"/>
      <c r="G27" s="7"/>
      <c r="H27" s="19">
        <f t="shared" si="1"/>
        <v>0</v>
      </c>
    </row>
    <row r="28" spans="2:14" ht="15" thickBot="1" x14ac:dyDescent="0.3">
      <c r="B28" s="182"/>
      <c r="C28" s="29"/>
      <c r="D28" s="30"/>
      <c r="E28" s="31"/>
      <c r="F28" s="35"/>
      <c r="G28" s="36"/>
      <c r="H28" s="37">
        <f>SUM(H26:H27)</f>
        <v>0</v>
      </c>
    </row>
    <row r="29" spans="2:14" x14ac:dyDescent="0.25">
      <c r="B29" s="182"/>
      <c r="C29" s="29"/>
      <c r="D29" s="30"/>
      <c r="E29" s="31"/>
      <c r="F29" s="51"/>
      <c r="G29" s="52"/>
      <c r="H29" s="53"/>
    </row>
    <row r="30" spans="2:14" ht="15" thickBot="1" x14ac:dyDescent="0.3">
      <c r="B30" s="202"/>
      <c r="C30" s="43"/>
      <c r="D30" s="44"/>
      <c r="E30" s="45"/>
      <c r="F30" s="46"/>
      <c r="G30" s="47"/>
      <c r="H30" s="48"/>
      <c r="I30" s="14"/>
    </row>
    <row r="31" spans="2:14" ht="18.75" thickTop="1" x14ac:dyDescent="0.25">
      <c r="B31" s="198" t="s">
        <v>13</v>
      </c>
      <c r="C31" s="49"/>
      <c r="D31" s="4"/>
      <c r="E31" s="5"/>
      <c r="F31" s="6"/>
      <c r="G31" s="7"/>
      <c r="H31" s="50"/>
      <c r="I31" s="14"/>
    </row>
    <row r="32" spans="2:14" x14ac:dyDescent="0.25">
      <c r="B32" s="199" t="s">
        <v>1</v>
      </c>
      <c r="C32" s="9" t="s">
        <v>2</v>
      </c>
      <c r="D32" s="10" t="s">
        <v>3</v>
      </c>
      <c r="E32" s="11" t="s">
        <v>4</v>
      </c>
      <c r="F32" s="12" t="s">
        <v>5</v>
      </c>
      <c r="G32" s="7" t="s">
        <v>12</v>
      </c>
      <c r="H32" s="13" t="s">
        <v>7</v>
      </c>
      <c r="I32" s="14"/>
    </row>
    <row r="33" spans="2:14" s="14" customFormat="1" x14ac:dyDescent="0.25">
      <c r="B33" s="182"/>
      <c r="C33" s="29"/>
      <c r="D33" s="30"/>
      <c r="E33" s="31"/>
      <c r="F33" s="6"/>
      <c r="G33" s="7"/>
      <c r="H33" s="19">
        <f t="shared" ref="H33:H35" si="2">F33-G33</f>
        <v>0</v>
      </c>
    </row>
    <row r="34" spans="2:14" s="14" customFormat="1" x14ac:dyDescent="0.25">
      <c r="B34" s="185"/>
      <c r="C34" s="21"/>
      <c r="D34" s="16"/>
      <c r="E34" s="17"/>
      <c r="F34" s="6"/>
      <c r="G34" s="7"/>
      <c r="H34" s="19">
        <f t="shared" si="2"/>
        <v>0</v>
      </c>
    </row>
    <row r="35" spans="2:14" ht="15" thickBot="1" x14ac:dyDescent="0.3">
      <c r="B35" s="182"/>
      <c r="C35" s="29"/>
      <c r="D35" s="30"/>
      <c r="E35" s="31"/>
      <c r="F35" s="6"/>
      <c r="G35" s="7"/>
      <c r="H35" s="19">
        <f t="shared" si="2"/>
        <v>0</v>
      </c>
    </row>
    <row r="36" spans="2:14" ht="15" thickBot="1" x14ac:dyDescent="0.3">
      <c r="B36" s="203"/>
      <c r="C36" s="55"/>
      <c r="D36" s="56"/>
      <c r="E36" s="57"/>
      <c r="F36" s="35">
        <f>SUM(F33:F35)</f>
        <v>0</v>
      </c>
      <c r="G36" s="36">
        <f>SUM(G33:G35)</f>
        <v>0</v>
      </c>
      <c r="H36" s="37">
        <f>SUM(H33:H35)</f>
        <v>0</v>
      </c>
    </row>
    <row r="37" spans="2:14" x14ac:dyDescent="0.25">
      <c r="B37" s="203"/>
      <c r="C37" s="55"/>
      <c r="D37" s="56"/>
      <c r="E37" s="38"/>
      <c r="F37" s="39"/>
      <c r="G37" s="40"/>
      <c r="H37" s="41"/>
    </row>
    <row r="38" spans="2:14" ht="15" thickBot="1" x14ac:dyDescent="0.3">
      <c r="B38" s="202"/>
      <c r="C38" s="43"/>
      <c r="D38" s="44"/>
      <c r="E38" s="59"/>
      <c r="F38" s="46"/>
      <c r="G38" s="47"/>
      <c r="H38" s="48"/>
      <c r="I38" s="14"/>
    </row>
    <row r="39" spans="2:14" ht="18.75" thickTop="1" x14ac:dyDescent="0.25">
      <c r="B39" s="198" t="s">
        <v>14</v>
      </c>
      <c r="C39" s="49"/>
      <c r="D39" s="4"/>
      <c r="E39" s="5"/>
      <c r="F39" s="6"/>
      <c r="G39" s="7"/>
      <c r="H39" s="50"/>
      <c r="I39" s="14"/>
    </row>
    <row r="40" spans="2:14" x14ac:dyDescent="0.25">
      <c r="B40" s="199" t="s">
        <v>1</v>
      </c>
      <c r="C40" s="9" t="s">
        <v>2</v>
      </c>
      <c r="D40" s="10" t="s">
        <v>3</v>
      </c>
      <c r="E40" s="11" t="s">
        <v>4</v>
      </c>
      <c r="F40" s="12" t="s">
        <v>5</v>
      </c>
      <c r="G40" s="7" t="s">
        <v>12</v>
      </c>
      <c r="H40" s="13" t="s">
        <v>7</v>
      </c>
      <c r="I40" s="14"/>
    </row>
    <row r="41" spans="2:14" s="14" customFormat="1" x14ac:dyDescent="0.25">
      <c r="B41" s="185">
        <v>1199</v>
      </c>
      <c r="C41" s="21" t="s">
        <v>102</v>
      </c>
      <c r="D41" s="20" t="s">
        <v>207</v>
      </c>
      <c r="E41" s="28">
        <v>42415</v>
      </c>
      <c r="F41" s="6">
        <v>600</v>
      </c>
      <c r="G41" s="7"/>
      <c r="H41" s="19">
        <f t="shared" ref="H41:H50" si="3">F41-G41</f>
        <v>600</v>
      </c>
      <c r="J41" s="1"/>
      <c r="K41" s="1"/>
      <c r="L41" s="1"/>
      <c r="M41" s="1"/>
      <c r="N41" s="1"/>
    </row>
    <row r="42" spans="2:14" s="14" customFormat="1" x14ac:dyDescent="0.25">
      <c r="B42" s="182">
        <v>1200</v>
      </c>
      <c r="C42" s="29" t="s">
        <v>102</v>
      </c>
      <c r="D42" s="30" t="s">
        <v>193</v>
      </c>
      <c r="E42" s="31">
        <v>42416</v>
      </c>
      <c r="F42" s="6">
        <v>80</v>
      </c>
      <c r="G42" s="7"/>
      <c r="H42" s="19">
        <f t="shared" si="3"/>
        <v>80</v>
      </c>
      <c r="J42" s="1"/>
      <c r="K42" s="1"/>
      <c r="L42" s="1"/>
      <c r="M42" s="1"/>
      <c r="N42" s="1"/>
    </row>
    <row r="43" spans="2:14" s="14" customFormat="1" x14ac:dyDescent="0.25">
      <c r="B43" s="195">
        <v>1212</v>
      </c>
      <c r="C43" s="15" t="s">
        <v>102</v>
      </c>
      <c r="D43" s="15" t="s">
        <v>208</v>
      </c>
      <c r="E43" s="17">
        <v>42423</v>
      </c>
      <c r="F43" s="18">
        <v>1745.15</v>
      </c>
      <c r="G43" s="60"/>
      <c r="H43" s="19">
        <f t="shared" si="3"/>
        <v>1745.15</v>
      </c>
    </row>
    <row r="44" spans="2:14" s="14" customFormat="1" x14ac:dyDescent="0.25">
      <c r="B44" s="194">
        <v>1217</v>
      </c>
      <c r="C44" s="141" t="s">
        <v>102</v>
      </c>
      <c r="D44" s="141" t="s">
        <v>211</v>
      </c>
      <c r="E44" s="23">
        <v>42424</v>
      </c>
      <c r="F44" s="26">
        <v>3363.56</v>
      </c>
      <c r="G44" s="7"/>
      <c r="H44" s="19">
        <f t="shared" si="3"/>
        <v>3363.56</v>
      </c>
    </row>
    <row r="45" spans="2:14" s="14" customFormat="1" x14ac:dyDescent="0.25">
      <c r="B45" s="194">
        <v>1219</v>
      </c>
      <c r="C45" s="141" t="s">
        <v>102</v>
      </c>
      <c r="D45" s="141" t="s">
        <v>212</v>
      </c>
      <c r="E45" s="23">
        <v>42424</v>
      </c>
      <c r="F45" s="26">
        <v>11980</v>
      </c>
      <c r="G45" s="7"/>
      <c r="H45" s="19">
        <f t="shared" si="3"/>
        <v>11980</v>
      </c>
    </row>
    <row r="46" spans="2:14" s="14" customFormat="1" x14ac:dyDescent="0.25">
      <c r="B46" s="194">
        <v>1221</v>
      </c>
      <c r="C46" s="141" t="s">
        <v>102</v>
      </c>
      <c r="D46" s="141" t="s">
        <v>213</v>
      </c>
      <c r="E46" s="23">
        <v>42425</v>
      </c>
      <c r="F46" s="26">
        <v>281.8</v>
      </c>
      <c r="G46" s="7"/>
      <c r="H46" s="19">
        <f t="shared" si="3"/>
        <v>281.8</v>
      </c>
    </row>
    <row r="47" spans="2:14" s="14" customFormat="1" x14ac:dyDescent="0.25">
      <c r="B47" s="194">
        <v>1222</v>
      </c>
      <c r="C47" s="141" t="s">
        <v>102</v>
      </c>
      <c r="D47" s="16" t="s">
        <v>214</v>
      </c>
      <c r="E47" s="17">
        <v>42425</v>
      </c>
      <c r="F47" s="18">
        <v>10952.14</v>
      </c>
      <c r="G47" s="7"/>
      <c r="H47" s="19">
        <f t="shared" si="3"/>
        <v>10952.14</v>
      </c>
    </row>
    <row r="48" spans="2:14" s="14" customFormat="1" x14ac:dyDescent="0.25">
      <c r="B48" s="195">
        <v>1225</v>
      </c>
      <c r="C48" s="15" t="s">
        <v>102</v>
      </c>
      <c r="D48" s="16" t="s">
        <v>227</v>
      </c>
      <c r="E48" s="17">
        <v>42426</v>
      </c>
      <c r="F48" s="6">
        <v>94.22</v>
      </c>
      <c r="G48" s="7"/>
      <c r="H48" s="19">
        <f t="shared" si="3"/>
        <v>94.22</v>
      </c>
    </row>
    <row r="49" spans="2:14" s="14" customFormat="1" x14ac:dyDescent="0.25">
      <c r="B49" s="195"/>
      <c r="C49" s="15"/>
      <c r="D49" s="16"/>
      <c r="E49" s="17"/>
      <c r="F49" s="18"/>
      <c r="G49" s="7"/>
      <c r="H49" s="19">
        <f t="shared" si="3"/>
        <v>0</v>
      </c>
    </row>
    <row r="50" spans="2:14" ht="15" thickBot="1" x14ac:dyDescent="0.3">
      <c r="B50" s="185"/>
      <c r="C50" s="21"/>
      <c r="D50" s="21"/>
      <c r="E50" s="28"/>
      <c r="F50" s="6"/>
      <c r="G50" s="7"/>
      <c r="H50" s="19">
        <f t="shared" si="3"/>
        <v>0</v>
      </c>
    </row>
    <row r="51" spans="2:14" ht="15" thickBot="1" x14ac:dyDescent="0.3">
      <c r="B51" s="201"/>
      <c r="C51" s="3"/>
      <c r="D51" s="4"/>
      <c r="E51" s="61"/>
      <c r="F51" s="62">
        <f>SUM(F41:F50)</f>
        <v>29096.87</v>
      </c>
      <c r="G51" s="36">
        <f>SUM(G41:G50)</f>
        <v>0</v>
      </c>
      <c r="H51" s="63">
        <f>SUM(H41:H50)</f>
        <v>29096.87</v>
      </c>
    </row>
    <row r="52" spans="2:14" x14ac:dyDescent="0.25">
      <c r="B52" s="204"/>
      <c r="C52" s="3"/>
      <c r="D52" s="65"/>
      <c r="E52" s="38" t="s">
        <v>8</v>
      </c>
      <c r="F52" s="39">
        <f>TOTAL!D9</f>
        <v>0</v>
      </c>
      <c r="G52" s="40" t="s">
        <v>9</v>
      </c>
      <c r="H52" s="41" t="e">
        <f>H51/F52%</f>
        <v>#DIV/0!</v>
      </c>
      <c r="I52" s="58" t="s">
        <v>10</v>
      </c>
    </row>
    <row r="53" spans="2:14" ht="15" thickBot="1" x14ac:dyDescent="0.3">
      <c r="B53" s="202"/>
      <c r="C53" s="43"/>
      <c r="D53" s="44"/>
      <c r="E53" s="59"/>
      <c r="F53" s="46"/>
      <c r="G53" s="47"/>
      <c r="H53" s="48"/>
      <c r="I53" s="14"/>
      <c r="J53" s="54"/>
    </row>
    <row r="54" spans="2:14" ht="18.75" thickTop="1" x14ac:dyDescent="0.25">
      <c r="B54" s="198" t="s">
        <v>15</v>
      </c>
      <c r="C54" s="49"/>
      <c r="D54" s="4"/>
      <c r="E54" s="5"/>
      <c r="F54" s="6"/>
      <c r="G54" s="7"/>
      <c r="H54" s="50"/>
      <c r="I54" s="14"/>
    </row>
    <row r="55" spans="2:14" x14ac:dyDescent="0.25">
      <c r="B55" s="199" t="s">
        <v>1</v>
      </c>
      <c r="C55" s="9" t="s">
        <v>2</v>
      </c>
      <c r="D55" s="10" t="s">
        <v>3</v>
      </c>
      <c r="E55" s="11" t="s">
        <v>4</v>
      </c>
      <c r="F55" s="12" t="s">
        <v>5</v>
      </c>
      <c r="G55" s="7" t="s">
        <v>12</v>
      </c>
      <c r="H55" s="13" t="s">
        <v>7</v>
      </c>
      <c r="I55" s="14"/>
    </row>
    <row r="56" spans="2:14" s="14" customFormat="1" x14ac:dyDescent="0.25">
      <c r="B56" s="185">
        <v>1189</v>
      </c>
      <c r="C56" s="21" t="s">
        <v>102</v>
      </c>
      <c r="D56" s="20" t="s">
        <v>152</v>
      </c>
      <c r="E56" s="28">
        <v>42410</v>
      </c>
      <c r="F56" s="6">
        <v>5539.36</v>
      </c>
      <c r="G56" s="7"/>
      <c r="H56" s="19">
        <f t="shared" ref="H56:H71" si="4">F56-G56</f>
        <v>5539.36</v>
      </c>
      <c r="J56" s="1"/>
      <c r="K56" s="1"/>
      <c r="L56" s="1"/>
      <c r="M56" s="1"/>
      <c r="N56" s="1"/>
    </row>
    <row r="57" spans="2:14" s="14" customFormat="1" x14ac:dyDescent="0.25">
      <c r="B57" s="195">
        <v>1190</v>
      </c>
      <c r="C57" s="15" t="s">
        <v>102</v>
      </c>
      <c r="D57" s="15" t="s">
        <v>152</v>
      </c>
      <c r="E57" s="17">
        <v>42410</v>
      </c>
      <c r="F57" s="18">
        <v>2940</v>
      </c>
      <c r="G57" s="60"/>
      <c r="H57" s="19">
        <f t="shared" si="4"/>
        <v>2940</v>
      </c>
      <c r="J57" s="1"/>
      <c r="K57" s="1"/>
      <c r="L57" s="1"/>
      <c r="M57" s="1"/>
      <c r="N57" s="1"/>
    </row>
    <row r="58" spans="2:14" s="14" customFormat="1" x14ac:dyDescent="0.25">
      <c r="B58" s="194">
        <v>4510</v>
      </c>
      <c r="C58" s="141" t="s">
        <v>102</v>
      </c>
      <c r="D58" s="141" t="s">
        <v>104</v>
      </c>
      <c r="E58" s="23">
        <v>42418</v>
      </c>
      <c r="F58" s="26">
        <v>2815.56</v>
      </c>
      <c r="G58" s="175">
        <v>60.56</v>
      </c>
      <c r="H58" s="19">
        <f t="shared" si="4"/>
        <v>2755</v>
      </c>
    </row>
    <row r="59" spans="2:14" s="14" customFormat="1" x14ac:dyDescent="0.25">
      <c r="B59" s="194">
        <v>4514</v>
      </c>
      <c r="C59" s="141" t="s">
        <v>102</v>
      </c>
      <c r="D59" s="141" t="s">
        <v>187</v>
      </c>
      <c r="E59" s="23">
        <v>42419</v>
      </c>
      <c r="F59" s="26">
        <v>1248.31</v>
      </c>
      <c r="G59" s="175">
        <v>49</v>
      </c>
      <c r="H59" s="19">
        <f t="shared" si="4"/>
        <v>1199.31</v>
      </c>
    </row>
    <row r="60" spans="2:14" s="14" customFormat="1" x14ac:dyDescent="0.25">
      <c r="B60" s="194">
        <v>4518</v>
      </c>
      <c r="C60" s="141" t="s">
        <v>102</v>
      </c>
      <c r="D60" s="16" t="s">
        <v>188</v>
      </c>
      <c r="E60" s="17">
        <v>42419</v>
      </c>
      <c r="F60" s="18">
        <v>3110.24</v>
      </c>
      <c r="G60" s="7"/>
      <c r="H60" s="19">
        <f t="shared" si="4"/>
        <v>3110.24</v>
      </c>
    </row>
    <row r="61" spans="2:14" s="14" customFormat="1" x14ac:dyDescent="0.25">
      <c r="B61" s="194">
        <v>1086</v>
      </c>
      <c r="C61" s="185" t="s">
        <v>102</v>
      </c>
      <c r="D61" s="196" t="s">
        <v>190</v>
      </c>
      <c r="E61" s="197">
        <v>42416</v>
      </c>
      <c r="F61" s="179">
        <v>8265.84</v>
      </c>
      <c r="G61" s="7"/>
      <c r="H61" s="19">
        <f t="shared" si="4"/>
        <v>8265.84</v>
      </c>
    </row>
    <row r="62" spans="2:14" s="14" customFormat="1" x14ac:dyDescent="0.25">
      <c r="B62" s="194">
        <v>1198</v>
      </c>
      <c r="C62" s="141" t="s">
        <v>102</v>
      </c>
      <c r="D62" s="16" t="s">
        <v>189</v>
      </c>
      <c r="E62" s="17">
        <v>42415</v>
      </c>
      <c r="F62" s="18">
        <v>6423.76</v>
      </c>
      <c r="G62" s="7"/>
      <c r="H62" s="19">
        <f t="shared" si="4"/>
        <v>6423.76</v>
      </c>
    </row>
    <row r="63" spans="2:14" s="14" customFormat="1" x14ac:dyDescent="0.25">
      <c r="B63" s="195">
        <v>1214</v>
      </c>
      <c r="C63" s="15" t="s">
        <v>102</v>
      </c>
      <c r="D63" s="16" t="s">
        <v>210</v>
      </c>
      <c r="E63" s="17">
        <v>42423</v>
      </c>
      <c r="F63" s="18">
        <v>1549</v>
      </c>
      <c r="G63" s="7"/>
      <c r="H63" s="19">
        <f t="shared" si="4"/>
        <v>1549</v>
      </c>
    </row>
    <row r="64" spans="2:14" s="14" customFormat="1" x14ac:dyDescent="0.25">
      <c r="B64" s="195">
        <v>4529</v>
      </c>
      <c r="C64" s="15" t="s">
        <v>102</v>
      </c>
      <c r="D64" s="16" t="s">
        <v>216</v>
      </c>
      <c r="E64" s="17">
        <v>42424</v>
      </c>
      <c r="F64" s="18">
        <v>6709.28</v>
      </c>
      <c r="G64" s="7">
        <v>100.94</v>
      </c>
      <c r="H64" s="19">
        <f t="shared" si="4"/>
        <v>6608.34</v>
      </c>
    </row>
    <row r="65" spans="2:14" s="14" customFormat="1" x14ac:dyDescent="0.25">
      <c r="B65" s="195">
        <v>4530</v>
      </c>
      <c r="C65" s="15" t="s">
        <v>102</v>
      </c>
      <c r="D65" s="16" t="s">
        <v>205</v>
      </c>
      <c r="E65" s="17">
        <v>42424</v>
      </c>
      <c r="F65" s="18">
        <v>285</v>
      </c>
      <c r="G65" s="175"/>
      <c r="H65" s="19">
        <f t="shared" si="4"/>
        <v>285</v>
      </c>
      <c r="I65" s="1"/>
    </row>
    <row r="66" spans="2:14" s="14" customFormat="1" x14ac:dyDescent="0.25">
      <c r="B66" s="195">
        <v>4531</v>
      </c>
      <c r="C66" s="15" t="s">
        <v>102</v>
      </c>
      <c r="D66" s="16" t="s">
        <v>198</v>
      </c>
      <c r="E66" s="17">
        <v>42425</v>
      </c>
      <c r="F66" s="18">
        <v>255</v>
      </c>
      <c r="G66" s="7">
        <v>37.090000000000003</v>
      </c>
      <c r="H66" s="19">
        <f t="shared" si="4"/>
        <v>217.91</v>
      </c>
      <c r="I66" s="1"/>
    </row>
    <row r="67" spans="2:14" s="14" customFormat="1" x14ac:dyDescent="0.25">
      <c r="B67" s="195">
        <v>4535</v>
      </c>
      <c r="C67" s="15" t="s">
        <v>102</v>
      </c>
      <c r="D67" s="16" t="s">
        <v>218</v>
      </c>
      <c r="E67" s="17">
        <v>42425</v>
      </c>
      <c r="F67" s="18">
        <v>1921.76</v>
      </c>
      <c r="G67" s="7"/>
      <c r="H67" s="19">
        <f t="shared" si="4"/>
        <v>1921.76</v>
      </c>
      <c r="I67" s="1"/>
    </row>
    <row r="68" spans="2:14" x14ac:dyDescent="0.25">
      <c r="B68" s="185">
        <v>1226</v>
      </c>
      <c r="C68" s="21" t="s">
        <v>102</v>
      </c>
      <c r="D68" s="21" t="s">
        <v>228</v>
      </c>
      <c r="E68" s="28">
        <v>42426</v>
      </c>
      <c r="F68" s="6">
        <v>1185</v>
      </c>
      <c r="G68" s="7">
        <v>85</v>
      </c>
      <c r="H68" s="19">
        <f t="shared" si="4"/>
        <v>1100</v>
      </c>
      <c r="J68" s="14"/>
      <c r="K68" s="14"/>
      <c r="L68" s="14"/>
      <c r="M68" s="14"/>
      <c r="N68" s="14"/>
    </row>
    <row r="69" spans="2:14" x14ac:dyDescent="0.25">
      <c r="B69" s="185">
        <v>4536</v>
      </c>
      <c r="C69" s="21" t="s">
        <v>102</v>
      </c>
      <c r="D69" s="21" t="s">
        <v>230</v>
      </c>
      <c r="E69" s="28">
        <v>42429</v>
      </c>
      <c r="F69" s="6">
        <v>5725.13</v>
      </c>
      <c r="G69" s="7">
        <v>59.4</v>
      </c>
      <c r="H69" s="19">
        <f t="shared" si="4"/>
        <v>5665.7300000000005</v>
      </c>
      <c r="J69" s="14"/>
      <c r="K69" s="14"/>
      <c r="L69" s="14"/>
      <c r="M69" s="14"/>
      <c r="N69" s="14"/>
    </row>
    <row r="70" spans="2:14" x14ac:dyDescent="0.25">
      <c r="B70" s="185"/>
      <c r="C70" s="21"/>
      <c r="D70" s="20"/>
      <c r="E70" s="28"/>
      <c r="F70" s="6"/>
      <c r="G70" s="7"/>
      <c r="H70" s="19">
        <f t="shared" si="4"/>
        <v>0</v>
      </c>
      <c r="I70" s="58"/>
    </row>
    <row r="71" spans="2:14" ht="15" thickBot="1" x14ac:dyDescent="0.3">
      <c r="B71" s="185"/>
      <c r="C71" s="21"/>
      <c r="D71" s="20"/>
      <c r="E71" s="28"/>
      <c r="F71" s="6"/>
      <c r="G71" s="7"/>
      <c r="H71" s="19">
        <f t="shared" si="4"/>
        <v>0</v>
      </c>
    </row>
    <row r="72" spans="2:14" ht="15" thickBot="1" x14ac:dyDescent="0.3">
      <c r="B72" s="201"/>
      <c r="C72" s="3"/>
      <c r="D72" s="4"/>
      <c r="E72" s="61"/>
      <c r="F72" s="62">
        <f>SUM(F56:F71)</f>
        <v>47973.24</v>
      </c>
      <c r="G72" s="36">
        <f>SUM(G56:G71)</f>
        <v>391.99</v>
      </c>
      <c r="H72" s="63">
        <f>SUM(H56:H71)</f>
        <v>47581.250000000015</v>
      </c>
    </row>
    <row r="73" spans="2:14" x14ac:dyDescent="0.25">
      <c r="B73" s="204"/>
      <c r="C73" s="3"/>
      <c r="D73" s="65"/>
      <c r="E73" s="38" t="s">
        <v>8</v>
      </c>
      <c r="F73" s="39">
        <f>TOTAL!D10</f>
        <v>29000</v>
      </c>
      <c r="G73" s="40" t="s">
        <v>9</v>
      </c>
      <c r="H73" s="41">
        <f>H72/F73%</f>
        <v>164.07327586206901</v>
      </c>
      <c r="I73" s="58" t="s">
        <v>10</v>
      </c>
    </row>
    <row r="74" spans="2:14" ht="15" thickBot="1" x14ac:dyDescent="0.3">
      <c r="B74" s="202"/>
      <c r="C74" s="43"/>
      <c r="D74" s="44"/>
      <c r="E74" s="45"/>
      <c r="F74" s="67"/>
      <c r="G74" s="47"/>
      <c r="H74" s="48"/>
      <c r="I74" s="14"/>
      <c r="J74" s="54"/>
    </row>
    <row r="75" spans="2:14" ht="18.75" thickTop="1" x14ac:dyDescent="0.25">
      <c r="B75" s="198" t="s">
        <v>49</v>
      </c>
      <c r="C75" s="49"/>
      <c r="D75" s="4"/>
      <c r="E75" s="5"/>
      <c r="F75" s="6"/>
      <c r="G75" s="7"/>
      <c r="H75" s="50"/>
      <c r="I75" s="14"/>
    </row>
    <row r="76" spans="2:14" x14ac:dyDescent="0.25">
      <c r="B76" s="199" t="s">
        <v>1</v>
      </c>
      <c r="C76" s="9" t="s">
        <v>2</v>
      </c>
      <c r="D76" s="10" t="s">
        <v>3</v>
      </c>
      <c r="E76" s="11" t="s">
        <v>4</v>
      </c>
      <c r="F76" s="12" t="s">
        <v>5</v>
      </c>
      <c r="G76" s="7" t="s">
        <v>12</v>
      </c>
      <c r="H76" s="13" t="s">
        <v>7</v>
      </c>
      <c r="I76" s="14"/>
    </row>
    <row r="77" spans="2:14" s="14" customFormat="1" x14ac:dyDescent="0.25">
      <c r="B77" s="195" t="s">
        <v>168</v>
      </c>
      <c r="C77" s="15" t="s">
        <v>84</v>
      </c>
      <c r="D77" s="16" t="s">
        <v>169</v>
      </c>
      <c r="E77" s="17">
        <v>42412</v>
      </c>
      <c r="F77" s="125">
        <v>290</v>
      </c>
      <c r="G77" s="7"/>
      <c r="H77" s="19">
        <f t="shared" ref="H77:H114" si="5">F77-G77</f>
        <v>290</v>
      </c>
      <c r="J77" s="1"/>
      <c r="K77" s="1"/>
      <c r="L77" s="1"/>
      <c r="M77" s="1"/>
      <c r="N77" s="1"/>
    </row>
    <row r="78" spans="2:14" s="14" customFormat="1" x14ac:dyDescent="0.25">
      <c r="B78" s="195">
        <v>1071</v>
      </c>
      <c r="C78" s="15" t="s">
        <v>86</v>
      </c>
      <c r="D78" s="16" t="s">
        <v>170</v>
      </c>
      <c r="E78" s="17">
        <v>42402</v>
      </c>
      <c r="F78" s="125">
        <v>1089</v>
      </c>
      <c r="G78" s="7"/>
      <c r="H78" s="19">
        <f t="shared" si="5"/>
        <v>1089</v>
      </c>
      <c r="J78" s="1"/>
      <c r="K78" s="1"/>
      <c r="L78" s="1"/>
      <c r="M78" s="1"/>
      <c r="N78" s="1"/>
    </row>
    <row r="79" spans="2:14" s="14" customFormat="1" x14ac:dyDescent="0.25">
      <c r="B79" s="195">
        <v>1072</v>
      </c>
      <c r="C79" s="15" t="s">
        <v>86</v>
      </c>
      <c r="D79" s="16" t="s">
        <v>171</v>
      </c>
      <c r="E79" s="17">
        <v>42402</v>
      </c>
      <c r="F79" s="51">
        <v>730</v>
      </c>
      <c r="G79" s="7"/>
      <c r="H79" s="19">
        <f t="shared" si="5"/>
        <v>730</v>
      </c>
      <c r="J79" s="68"/>
    </row>
    <row r="80" spans="2:14" s="14" customFormat="1" x14ac:dyDescent="0.25">
      <c r="B80" s="195">
        <v>1073</v>
      </c>
      <c r="C80" s="15" t="s">
        <v>84</v>
      </c>
      <c r="D80" s="16" t="s">
        <v>172</v>
      </c>
      <c r="E80" s="17">
        <v>42403</v>
      </c>
      <c r="F80" s="51">
        <v>290</v>
      </c>
      <c r="G80" s="7"/>
      <c r="H80" s="19">
        <f t="shared" si="5"/>
        <v>290</v>
      </c>
      <c r="I80" s="1"/>
    </row>
    <row r="81" spans="2:14" s="14" customFormat="1" x14ac:dyDescent="0.25">
      <c r="B81" s="195">
        <v>1074</v>
      </c>
      <c r="C81" s="15" t="s">
        <v>86</v>
      </c>
      <c r="D81" s="16" t="s">
        <v>173</v>
      </c>
      <c r="E81" s="17">
        <v>42412</v>
      </c>
      <c r="F81" s="51">
        <v>440</v>
      </c>
      <c r="G81" s="7"/>
      <c r="H81" s="19">
        <f t="shared" si="5"/>
        <v>440</v>
      </c>
      <c r="I81" s="1"/>
    </row>
    <row r="82" spans="2:14" s="14" customFormat="1" x14ac:dyDescent="0.25">
      <c r="B82" s="185">
        <v>1075</v>
      </c>
      <c r="C82" s="21" t="s">
        <v>86</v>
      </c>
      <c r="D82" s="20" t="s">
        <v>174</v>
      </c>
      <c r="E82" s="28">
        <v>42412</v>
      </c>
      <c r="F82" s="125">
        <v>730</v>
      </c>
      <c r="G82" s="7"/>
      <c r="H82" s="19">
        <f t="shared" si="5"/>
        <v>730</v>
      </c>
      <c r="I82" s="1"/>
    </row>
    <row r="83" spans="2:14" x14ac:dyDescent="0.25">
      <c r="B83" s="195">
        <v>1076</v>
      </c>
      <c r="C83" s="15" t="s">
        <v>86</v>
      </c>
      <c r="D83" s="16" t="s">
        <v>175</v>
      </c>
      <c r="E83" s="17">
        <v>42412</v>
      </c>
      <c r="F83" s="51">
        <v>350</v>
      </c>
      <c r="G83" s="7"/>
      <c r="H83" s="19">
        <f t="shared" si="5"/>
        <v>350</v>
      </c>
      <c r="J83" s="14"/>
      <c r="K83" s="14"/>
      <c r="L83" s="14"/>
      <c r="M83" s="14"/>
      <c r="N83" s="14"/>
    </row>
    <row r="84" spans="2:14" x14ac:dyDescent="0.25">
      <c r="B84" s="185">
        <v>1077</v>
      </c>
      <c r="C84" s="21" t="s">
        <v>84</v>
      </c>
      <c r="D84" s="20" t="s">
        <v>176</v>
      </c>
      <c r="E84" s="28">
        <v>42412</v>
      </c>
      <c r="F84" s="125">
        <v>350</v>
      </c>
      <c r="G84" s="7"/>
      <c r="H84" s="19">
        <f t="shared" si="5"/>
        <v>350</v>
      </c>
      <c r="J84" s="14"/>
      <c r="K84" s="14"/>
      <c r="L84" s="14"/>
      <c r="M84" s="14"/>
      <c r="N84" s="14"/>
    </row>
    <row r="85" spans="2:14" x14ac:dyDescent="0.25">
      <c r="B85" s="185">
        <v>1079</v>
      </c>
      <c r="C85" s="21" t="s">
        <v>86</v>
      </c>
      <c r="D85" s="20" t="s">
        <v>177</v>
      </c>
      <c r="E85" s="28">
        <v>42412</v>
      </c>
      <c r="F85" s="125">
        <v>1400</v>
      </c>
      <c r="G85" s="7"/>
      <c r="H85" s="19">
        <f t="shared" si="5"/>
        <v>1400</v>
      </c>
    </row>
    <row r="86" spans="2:14" x14ac:dyDescent="0.25">
      <c r="B86" s="185">
        <v>1080</v>
      </c>
      <c r="C86" s="21" t="s">
        <v>86</v>
      </c>
      <c r="D86" s="20" t="s">
        <v>178</v>
      </c>
      <c r="E86" s="28">
        <v>42412</v>
      </c>
      <c r="F86" s="125">
        <v>550</v>
      </c>
      <c r="G86" s="7"/>
      <c r="H86" s="19">
        <f t="shared" si="5"/>
        <v>550</v>
      </c>
    </row>
    <row r="87" spans="2:14" x14ac:dyDescent="0.25">
      <c r="B87" s="185">
        <v>1081</v>
      </c>
      <c r="C87" s="21" t="s">
        <v>86</v>
      </c>
      <c r="D87" s="20" t="s">
        <v>179</v>
      </c>
      <c r="E87" s="28">
        <v>42412</v>
      </c>
      <c r="F87" s="125">
        <v>430</v>
      </c>
      <c r="G87" s="7"/>
      <c r="H87" s="19">
        <f t="shared" si="5"/>
        <v>430</v>
      </c>
      <c r="J87" s="54"/>
    </row>
    <row r="88" spans="2:14" x14ac:dyDescent="0.25">
      <c r="B88" s="185">
        <v>1082</v>
      </c>
      <c r="C88" s="21" t="s">
        <v>86</v>
      </c>
      <c r="D88" s="20" t="s">
        <v>85</v>
      </c>
      <c r="E88" s="28">
        <v>42412</v>
      </c>
      <c r="F88" s="125">
        <v>260</v>
      </c>
      <c r="G88" s="7"/>
      <c r="H88" s="19">
        <f t="shared" si="5"/>
        <v>260</v>
      </c>
      <c r="J88" s="54"/>
    </row>
    <row r="89" spans="2:14" x14ac:dyDescent="0.25">
      <c r="B89" s="185">
        <v>1083</v>
      </c>
      <c r="C89" s="21" t="s">
        <v>86</v>
      </c>
      <c r="D89" s="20" t="s">
        <v>152</v>
      </c>
      <c r="E89" s="28">
        <v>42412</v>
      </c>
      <c r="F89" s="125">
        <v>2370</v>
      </c>
      <c r="G89" s="7"/>
      <c r="H89" s="19">
        <f t="shared" si="5"/>
        <v>2370</v>
      </c>
      <c r="J89" s="54"/>
    </row>
    <row r="90" spans="2:14" x14ac:dyDescent="0.25">
      <c r="B90" s="185">
        <v>1093</v>
      </c>
      <c r="C90" s="21" t="s">
        <v>86</v>
      </c>
      <c r="D90" s="20" t="s">
        <v>184</v>
      </c>
      <c r="E90" s="28">
        <v>42418</v>
      </c>
      <c r="F90" s="125">
        <v>160</v>
      </c>
      <c r="G90" s="7"/>
      <c r="H90" s="19">
        <f t="shared" si="5"/>
        <v>160</v>
      </c>
      <c r="J90" s="54"/>
    </row>
    <row r="91" spans="2:14" x14ac:dyDescent="0.25">
      <c r="B91" s="185" t="s">
        <v>168</v>
      </c>
      <c r="C91" s="21" t="s">
        <v>86</v>
      </c>
      <c r="D91" s="20" t="s">
        <v>185</v>
      </c>
      <c r="E91" s="28">
        <v>42419</v>
      </c>
      <c r="F91" s="125">
        <v>250</v>
      </c>
      <c r="G91" s="7"/>
      <c r="H91" s="19">
        <f t="shared" si="5"/>
        <v>250</v>
      </c>
      <c r="J91" s="54"/>
    </row>
    <row r="92" spans="2:14" x14ac:dyDescent="0.25">
      <c r="B92" s="185">
        <v>1085</v>
      </c>
      <c r="C92" s="21" t="s">
        <v>86</v>
      </c>
      <c r="D92" s="20" t="s">
        <v>189</v>
      </c>
      <c r="E92" s="28">
        <v>42415</v>
      </c>
      <c r="F92" s="125">
        <v>650</v>
      </c>
      <c r="G92" s="7"/>
      <c r="H92" s="19">
        <f t="shared" si="5"/>
        <v>650</v>
      </c>
      <c r="J92" s="54"/>
    </row>
    <row r="93" spans="2:14" x14ac:dyDescent="0.25">
      <c r="B93" s="185">
        <v>1086</v>
      </c>
      <c r="C93" s="185" t="s">
        <v>86</v>
      </c>
      <c r="D93" s="186" t="s">
        <v>190</v>
      </c>
      <c r="E93" s="176">
        <v>42416</v>
      </c>
      <c r="F93" s="177">
        <v>2380</v>
      </c>
      <c r="G93" s="7"/>
      <c r="H93" s="19">
        <f t="shared" si="5"/>
        <v>2380</v>
      </c>
      <c r="J93" s="54"/>
    </row>
    <row r="94" spans="2:14" x14ac:dyDescent="0.25">
      <c r="B94" s="185">
        <v>1088</v>
      </c>
      <c r="C94" s="21" t="s">
        <v>86</v>
      </c>
      <c r="D94" s="20" t="s">
        <v>187</v>
      </c>
      <c r="E94" s="28">
        <v>42419</v>
      </c>
      <c r="F94" s="125">
        <v>730</v>
      </c>
      <c r="G94" s="7"/>
      <c r="H94" s="19">
        <f t="shared" si="5"/>
        <v>730</v>
      </c>
      <c r="J94" s="54"/>
    </row>
    <row r="95" spans="2:14" x14ac:dyDescent="0.25">
      <c r="B95" s="185">
        <v>1089</v>
      </c>
      <c r="C95" s="21" t="s">
        <v>86</v>
      </c>
      <c r="D95" s="20" t="s">
        <v>188</v>
      </c>
      <c r="E95" s="28">
        <v>42419</v>
      </c>
      <c r="F95" s="6">
        <v>430</v>
      </c>
      <c r="G95" s="7"/>
      <c r="H95" s="19">
        <f t="shared" si="5"/>
        <v>430</v>
      </c>
      <c r="J95" s="54"/>
    </row>
    <row r="96" spans="2:14" x14ac:dyDescent="0.25">
      <c r="B96" s="185">
        <v>1091</v>
      </c>
      <c r="C96" s="21" t="s">
        <v>95</v>
      </c>
      <c r="D96" s="20" t="s">
        <v>199</v>
      </c>
      <c r="E96" s="28">
        <v>42423</v>
      </c>
      <c r="F96" s="6">
        <v>900</v>
      </c>
      <c r="G96" s="7"/>
      <c r="H96" s="19">
        <f t="shared" si="5"/>
        <v>900</v>
      </c>
      <c r="J96" s="54"/>
    </row>
    <row r="97" spans="2:10" x14ac:dyDescent="0.25">
      <c r="B97" s="185">
        <v>1092</v>
      </c>
      <c r="C97" s="21" t="s">
        <v>86</v>
      </c>
      <c r="D97" s="20" t="s">
        <v>200</v>
      </c>
      <c r="E97" s="28">
        <v>42423</v>
      </c>
      <c r="F97" s="6">
        <v>880</v>
      </c>
      <c r="G97" s="7"/>
      <c r="H97" s="19">
        <f t="shared" si="5"/>
        <v>880</v>
      </c>
      <c r="J97" s="54"/>
    </row>
    <row r="98" spans="2:10" x14ac:dyDescent="0.25">
      <c r="B98" s="185">
        <v>1094</v>
      </c>
      <c r="C98" s="21" t="s">
        <v>86</v>
      </c>
      <c r="D98" s="20" t="s">
        <v>201</v>
      </c>
      <c r="E98" s="28">
        <v>42424</v>
      </c>
      <c r="F98" s="6">
        <v>890</v>
      </c>
      <c r="G98" s="7"/>
      <c r="H98" s="19">
        <f t="shared" si="5"/>
        <v>890</v>
      </c>
      <c r="J98" s="54"/>
    </row>
    <row r="99" spans="2:10" x14ac:dyDescent="0.25">
      <c r="B99" s="185">
        <v>1095</v>
      </c>
      <c r="C99" s="21" t="s">
        <v>86</v>
      </c>
      <c r="D99" s="20" t="s">
        <v>202</v>
      </c>
      <c r="E99" s="28">
        <v>42424</v>
      </c>
      <c r="F99" s="6">
        <v>430</v>
      </c>
      <c r="G99" s="7"/>
      <c r="H99" s="19">
        <f t="shared" si="5"/>
        <v>430</v>
      </c>
      <c r="J99" s="54"/>
    </row>
    <row r="100" spans="2:10" x14ac:dyDescent="0.25">
      <c r="B100" s="185">
        <v>1096</v>
      </c>
      <c r="C100" s="21" t="s">
        <v>95</v>
      </c>
      <c r="D100" s="20" t="s">
        <v>203</v>
      </c>
      <c r="E100" s="28">
        <v>42424</v>
      </c>
      <c r="F100" s="6">
        <v>550</v>
      </c>
      <c r="G100" s="7"/>
      <c r="H100" s="19">
        <f t="shared" si="5"/>
        <v>550</v>
      </c>
      <c r="J100" s="54"/>
    </row>
    <row r="101" spans="2:10" x14ac:dyDescent="0.25">
      <c r="B101" s="185">
        <v>1097</v>
      </c>
      <c r="C101" s="21" t="s">
        <v>86</v>
      </c>
      <c r="D101" s="20" t="s">
        <v>204</v>
      </c>
      <c r="E101" s="28">
        <v>42424</v>
      </c>
      <c r="F101" s="6">
        <v>479</v>
      </c>
      <c r="G101" s="7"/>
      <c r="H101" s="19">
        <f t="shared" si="5"/>
        <v>479</v>
      </c>
      <c r="J101" s="54"/>
    </row>
    <row r="102" spans="2:10" x14ac:dyDescent="0.25">
      <c r="B102" s="185">
        <v>1098</v>
      </c>
      <c r="C102" s="21" t="s">
        <v>86</v>
      </c>
      <c r="D102" s="20" t="s">
        <v>205</v>
      </c>
      <c r="E102" s="28">
        <v>42424</v>
      </c>
      <c r="F102" s="6">
        <v>350</v>
      </c>
      <c r="G102" s="7"/>
      <c r="H102" s="19">
        <f t="shared" si="5"/>
        <v>350</v>
      </c>
      <c r="J102" s="54"/>
    </row>
    <row r="103" spans="2:10" x14ac:dyDescent="0.25">
      <c r="B103" s="185">
        <v>1099</v>
      </c>
      <c r="C103" s="21" t="s">
        <v>86</v>
      </c>
      <c r="D103" s="20" t="s">
        <v>206</v>
      </c>
      <c r="E103" s="28">
        <v>42425</v>
      </c>
      <c r="F103" s="6">
        <v>730</v>
      </c>
      <c r="G103" s="7"/>
      <c r="H103" s="19">
        <f t="shared" si="5"/>
        <v>730</v>
      </c>
      <c r="J103" s="54"/>
    </row>
    <row r="104" spans="2:10" x14ac:dyDescent="0.25">
      <c r="B104" s="185">
        <v>1100</v>
      </c>
      <c r="C104" s="21" t="s">
        <v>95</v>
      </c>
      <c r="D104" s="20" t="s">
        <v>219</v>
      </c>
      <c r="E104" s="28">
        <v>42429</v>
      </c>
      <c r="F104" s="6">
        <v>890</v>
      </c>
      <c r="G104" s="7"/>
      <c r="H104" s="19">
        <f t="shared" si="5"/>
        <v>890</v>
      </c>
      <c r="J104" s="54"/>
    </row>
    <row r="105" spans="2:10" x14ac:dyDescent="0.25">
      <c r="B105" s="185">
        <v>1101</v>
      </c>
      <c r="C105" s="21" t="s">
        <v>86</v>
      </c>
      <c r="D105" s="20" t="s">
        <v>220</v>
      </c>
      <c r="E105" s="28">
        <v>42429</v>
      </c>
      <c r="F105" s="6">
        <v>990</v>
      </c>
      <c r="G105" s="7"/>
      <c r="H105" s="19">
        <f t="shared" si="5"/>
        <v>990</v>
      </c>
      <c r="J105" s="54"/>
    </row>
    <row r="106" spans="2:10" x14ac:dyDescent="0.25">
      <c r="B106" s="185">
        <v>1102</v>
      </c>
      <c r="C106" s="21" t="s">
        <v>86</v>
      </c>
      <c r="D106" s="20" t="s">
        <v>221</v>
      </c>
      <c r="E106" s="28">
        <v>42429</v>
      </c>
      <c r="F106" s="6">
        <v>290</v>
      </c>
      <c r="G106" s="7"/>
      <c r="H106" s="19">
        <f t="shared" si="5"/>
        <v>290</v>
      </c>
      <c r="J106" s="54"/>
    </row>
    <row r="107" spans="2:10" x14ac:dyDescent="0.25">
      <c r="B107" s="185">
        <v>1103</v>
      </c>
      <c r="C107" s="21" t="s">
        <v>84</v>
      </c>
      <c r="D107" s="20" t="s">
        <v>222</v>
      </c>
      <c r="E107" s="28">
        <v>42429</v>
      </c>
      <c r="F107" s="6">
        <v>290</v>
      </c>
      <c r="G107" s="7"/>
      <c r="H107" s="19">
        <f t="shared" si="5"/>
        <v>290</v>
      </c>
      <c r="J107" s="54"/>
    </row>
    <row r="108" spans="2:10" x14ac:dyDescent="0.25">
      <c r="B108" s="185">
        <v>1104</v>
      </c>
      <c r="C108" s="21" t="s">
        <v>86</v>
      </c>
      <c r="D108" s="20" t="s">
        <v>223</v>
      </c>
      <c r="E108" s="28">
        <v>42429</v>
      </c>
      <c r="F108" s="6">
        <v>646</v>
      </c>
      <c r="G108" s="7"/>
      <c r="H108" s="19">
        <f t="shared" si="5"/>
        <v>646</v>
      </c>
      <c r="J108" s="54"/>
    </row>
    <row r="109" spans="2:10" x14ac:dyDescent="0.25">
      <c r="B109" s="185">
        <v>1105</v>
      </c>
      <c r="C109" s="21" t="s">
        <v>95</v>
      </c>
      <c r="D109" s="20" t="s">
        <v>224</v>
      </c>
      <c r="E109" s="28">
        <v>42429</v>
      </c>
      <c r="F109" s="6">
        <v>550</v>
      </c>
      <c r="G109" s="7"/>
      <c r="H109" s="19">
        <f t="shared" si="5"/>
        <v>550</v>
      </c>
      <c r="J109" s="54"/>
    </row>
    <row r="110" spans="2:10" x14ac:dyDescent="0.25">
      <c r="B110" s="185">
        <v>1106</v>
      </c>
      <c r="C110" s="21" t="s">
        <v>86</v>
      </c>
      <c r="D110" s="20" t="s">
        <v>225</v>
      </c>
      <c r="E110" s="28">
        <v>42429</v>
      </c>
      <c r="F110" s="6">
        <v>1200</v>
      </c>
      <c r="G110" s="7"/>
      <c r="H110" s="19">
        <f t="shared" si="5"/>
        <v>1200</v>
      </c>
      <c r="J110" s="54"/>
    </row>
    <row r="111" spans="2:10" x14ac:dyDescent="0.25">
      <c r="B111" s="185">
        <v>1107</v>
      </c>
      <c r="C111" s="21" t="s">
        <v>86</v>
      </c>
      <c r="D111" s="20" t="s">
        <v>226</v>
      </c>
      <c r="E111" s="28">
        <v>42429</v>
      </c>
      <c r="F111" s="6">
        <v>635</v>
      </c>
      <c r="G111" s="7"/>
      <c r="H111" s="19">
        <f t="shared" si="5"/>
        <v>635</v>
      </c>
      <c r="J111" s="54"/>
    </row>
    <row r="112" spans="2:10" x14ac:dyDescent="0.25">
      <c r="B112" s="185">
        <v>1108</v>
      </c>
      <c r="C112" s="21" t="s">
        <v>86</v>
      </c>
      <c r="D112" s="20" t="s">
        <v>226</v>
      </c>
      <c r="E112" s="28">
        <v>42429</v>
      </c>
      <c r="F112" s="6">
        <v>875</v>
      </c>
      <c r="G112" s="7"/>
      <c r="H112" s="19">
        <f t="shared" si="5"/>
        <v>875</v>
      </c>
      <c r="J112" s="54"/>
    </row>
    <row r="113" spans="2:10" x14ac:dyDescent="0.25">
      <c r="B113" s="185"/>
      <c r="C113" s="21"/>
      <c r="D113" s="20"/>
      <c r="E113" s="28"/>
      <c r="F113" s="6"/>
      <c r="G113" s="7"/>
      <c r="H113" s="19">
        <f t="shared" si="5"/>
        <v>0</v>
      </c>
      <c r="J113" s="54"/>
    </row>
    <row r="114" spans="2:10" ht="15" thickBot="1" x14ac:dyDescent="0.3">
      <c r="B114" s="185"/>
      <c r="C114" s="21"/>
      <c r="D114" s="20"/>
      <c r="E114" s="28"/>
      <c r="F114" s="6"/>
      <c r="G114" s="7"/>
      <c r="H114" s="19">
        <f t="shared" si="5"/>
        <v>0</v>
      </c>
    </row>
    <row r="115" spans="2:10" ht="15" thickBot="1" x14ac:dyDescent="0.3">
      <c r="E115" s="70"/>
      <c r="F115" s="62">
        <f>SUM(F77:F114)</f>
        <v>25454</v>
      </c>
      <c r="G115" s="36"/>
      <c r="H115" s="63">
        <f>SUM(H77:H114)</f>
        <v>25454</v>
      </c>
    </row>
    <row r="116" spans="2:10" x14ac:dyDescent="0.25">
      <c r="E116" s="38" t="s">
        <v>8</v>
      </c>
      <c r="F116" s="39">
        <f>TOTAL!D11</f>
        <v>32000</v>
      </c>
      <c r="G116" s="40" t="s">
        <v>16</v>
      </c>
      <c r="H116" s="71">
        <f>H115/F116%</f>
        <v>79.543750000000003</v>
      </c>
      <c r="I116" s="58" t="s">
        <v>10</v>
      </c>
    </row>
    <row r="117" spans="2:10" ht="15" thickBot="1" x14ac:dyDescent="0.3">
      <c r="E117" s="38"/>
      <c r="F117" s="39"/>
      <c r="G117" s="40"/>
      <c r="H117" s="71"/>
      <c r="I117" s="58"/>
    </row>
    <row r="118" spans="2:10" ht="18.75" thickTop="1" x14ac:dyDescent="0.25">
      <c r="B118" s="207" t="s">
        <v>150</v>
      </c>
      <c r="C118" s="76"/>
      <c r="D118" s="83"/>
      <c r="E118" s="77"/>
      <c r="F118" s="77"/>
      <c r="G118" s="77"/>
      <c r="H118" s="77"/>
      <c r="I118" s="58"/>
    </row>
    <row r="119" spans="2:10" x14ac:dyDescent="0.25">
      <c r="B119" s="199" t="s">
        <v>1</v>
      </c>
      <c r="C119" s="9" t="s">
        <v>2</v>
      </c>
      <c r="D119" s="10" t="s">
        <v>3</v>
      </c>
      <c r="E119" s="222" t="s">
        <v>4</v>
      </c>
      <c r="F119" s="12" t="s">
        <v>5</v>
      </c>
      <c r="G119" s="7" t="s">
        <v>12</v>
      </c>
      <c r="H119" s="13" t="s">
        <v>7</v>
      </c>
      <c r="I119" s="58"/>
    </row>
    <row r="120" spans="2:10" x14ac:dyDescent="0.25">
      <c r="B120" s="182">
        <v>1084</v>
      </c>
      <c r="C120" s="29" t="s">
        <v>151</v>
      </c>
      <c r="D120" s="30" t="s">
        <v>152</v>
      </c>
      <c r="E120" s="31">
        <v>42426</v>
      </c>
      <c r="F120" s="6">
        <v>1100</v>
      </c>
      <c r="G120" s="7"/>
      <c r="H120" s="19">
        <f t="shared" ref="H120:H123" si="6">F120-G120</f>
        <v>1100</v>
      </c>
      <c r="I120" s="58"/>
    </row>
    <row r="121" spans="2:10" x14ac:dyDescent="0.25">
      <c r="B121" s="182">
        <v>73</v>
      </c>
      <c r="C121" s="29" t="s">
        <v>151</v>
      </c>
      <c r="D121" s="30" t="s">
        <v>152</v>
      </c>
      <c r="E121" s="31">
        <v>42415</v>
      </c>
      <c r="F121" s="6">
        <v>15201.38</v>
      </c>
      <c r="G121" s="7"/>
      <c r="H121" s="19">
        <f t="shared" si="6"/>
        <v>15201.38</v>
      </c>
      <c r="I121" s="58"/>
    </row>
    <row r="122" spans="2:10" x14ac:dyDescent="0.25">
      <c r="B122" s="182">
        <v>74</v>
      </c>
      <c r="C122" s="29" t="s">
        <v>151</v>
      </c>
      <c r="D122" s="30" t="s">
        <v>152</v>
      </c>
      <c r="E122" s="31">
        <v>42417</v>
      </c>
      <c r="F122" s="6">
        <v>13016.31</v>
      </c>
      <c r="G122" s="7"/>
      <c r="H122" s="19">
        <f t="shared" si="6"/>
        <v>13016.31</v>
      </c>
      <c r="I122" s="58"/>
    </row>
    <row r="123" spans="2:10" ht="15" thickBot="1" x14ac:dyDescent="0.3">
      <c r="B123" s="182"/>
      <c r="C123" s="29"/>
      <c r="D123" s="30"/>
      <c r="E123" s="31"/>
      <c r="F123" s="6"/>
      <c r="G123" s="7"/>
      <c r="H123" s="19">
        <f t="shared" si="6"/>
        <v>0</v>
      </c>
      <c r="I123" s="58"/>
    </row>
    <row r="124" spans="2:10" ht="15" thickBot="1" x14ac:dyDescent="0.3">
      <c r="B124" s="182"/>
      <c r="C124" s="29"/>
      <c r="D124" s="30"/>
      <c r="E124" s="31"/>
      <c r="F124" s="35"/>
      <c r="G124" s="36"/>
      <c r="H124" s="37">
        <f>SUM(H120:H123)</f>
        <v>29317.69</v>
      </c>
      <c r="I124" s="58"/>
    </row>
    <row r="125" spans="2:10" x14ac:dyDescent="0.25">
      <c r="E125" s="38"/>
      <c r="F125" s="39"/>
      <c r="G125" s="40"/>
      <c r="H125" s="71"/>
      <c r="I125" s="58"/>
    </row>
    <row r="126" spans="2:10" ht="15" thickBot="1" x14ac:dyDescent="0.3">
      <c r="B126" s="206"/>
      <c r="C126" s="79"/>
      <c r="D126" s="80"/>
      <c r="E126" s="81"/>
      <c r="F126" s="82"/>
      <c r="G126" s="7"/>
      <c r="H126" s="74"/>
    </row>
    <row r="127" spans="2:10" ht="18.75" thickTop="1" x14ac:dyDescent="0.25">
      <c r="B127" s="207" t="s">
        <v>44</v>
      </c>
      <c r="C127" s="76"/>
      <c r="D127" s="83"/>
      <c r="E127" s="77"/>
      <c r="F127" s="84"/>
      <c r="G127" s="78"/>
      <c r="H127" s="50"/>
      <c r="J127" s="14"/>
    </row>
    <row r="128" spans="2:10" x14ac:dyDescent="0.25">
      <c r="B128" s="199" t="s">
        <v>1</v>
      </c>
      <c r="C128" s="9" t="s">
        <v>2</v>
      </c>
      <c r="D128" s="10" t="s">
        <v>3</v>
      </c>
      <c r="E128" s="11" t="s">
        <v>4</v>
      </c>
      <c r="F128" s="12" t="s">
        <v>5</v>
      </c>
      <c r="G128" s="7" t="s">
        <v>12</v>
      </c>
      <c r="H128" s="13" t="s">
        <v>7</v>
      </c>
    </row>
    <row r="129" spans="2:14" s="14" customFormat="1" x14ac:dyDescent="0.25">
      <c r="B129" s="185">
        <v>1205</v>
      </c>
      <c r="C129" s="21" t="s">
        <v>102</v>
      </c>
      <c r="D129" s="20" t="s">
        <v>195</v>
      </c>
      <c r="E129" s="28">
        <v>42417</v>
      </c>
      <c r="F129" s="6">
        <v>450</v>
      </c>
      <c r="G129" s="7"/>
      <c r="H129" s="19">
        <f t="shared" ref="H129:H133" si="7">F129-G129</f>
        <v>450</v>
      </c>
      <c r="I129" s="1"/>
      <c r="J129" s="1"/>
      <c r="K129" s="1"/>
      <c r="L129" s="1"/>
      <c r="M129" s="1"/>
      <c r="N129" s="1"/>
    </row>
    <row r="130" spans="2:14" s="14" customFormat="1" x14ac:dyDescent="0.25">
      <c r="B130" s="185"/>
      <c r="C130" s="21"/>
      <c r="D130" s="20"/>
      <c r="E130" s="28"/>
      <c r="F130" s="6">
        <v>90</v>
      </c>
      <c r="G130" s="7"/>
      <c r="H130" s="19">
        <f t="shared" si="7"/>
        <v>90</v>
      </c>
      <c r="I130" s="1"/>
      <c r="J130" s="1"/>
      <c r="K130" s="1"/>
      <c r="L130" s="1"/>
      <c r="M130" s="1"/>
      <c r="N130" s="1"/>
    </row>
    <row r="131" spans="2:14" s="14" customFormat="1" x14ac:dyDescent="0.25">
      <c r="B131" s="185">
        <v>1227</v>
      </c>
      <c r="C131" s="21" t="s">
        <v>102</v>
      </c>
      <c r="D131" s="20" t="s">
        <v>229</v>
      </c>
      <c r="E131" s="28">
        <v>42426</v>
      </c>
      <c r="F131" s="6">
        <v>475</v>
      </c>
      <c r="G131" s="7"/>
      <c r="H131" s="19">
        <f t="shared" si="7"/>
        <v>475</v>
      </c>
      <c r="I131" s="1"/>
      <c r="J131" s="1"/>
    </row>
    <row r="132" spans="2:14" s="14" customFormat="1" x14ac:dyDescent="0.25">
      <c r="B132" s="185"/>
      <c r="C132" s="21"/>
      <c r="D132" s="20"/>
      <c r="E132" s="28"/>
      <c r="F132" s="6"/>
      <c r="G132" s="7"/>
      <c r="H132" s="19">
        <f t="shared" si="7"/>
        <v>0</v>
      </c>
      <c r="I132" s="58"/>
      <c r="J132" s="54"/>
    </row>
    <row r="133" spans="2:14" ht="15" thickBot="1" x14ac:dyDescent="0.3">
      <c r="B133" s="185"/>
      <c r="C133" s="21"/>
      <c r="D133" s="20"/>
      <c r="E133" s="28"/>
      <c r="F133" s="6"/>
      <c r="G133" s="7"/>
      <c r="H133" s="19">
        <f t="shared" si="7"/>
        <v>0</v>
      </c>
      <c r="I133" s="101"/>
      <c r="K133" s="14"/>
      <c r="L133" s="14"/>
      <c r="M133" s="14"/>
      <c r="N133" s="14"/>
    </row>
    <row r="134" spans="2:14" ht="15" thickBot="1" x14ac:dyDescent="0.3">
      <c r="B134" s="208"/>
      <c r="C134" s="85"/>
      <c r="D134" s="14"/>
      <c r="E134" s="86"/>
      <c r="F134" s="62">
        <f>SUM(F129:F133)</f>
        <v>1015</v>
      </c>
      <c r="G134" s="36">
        <f>SUM(G129:G133)</f>
        <v>0</v>
      </c>
      <c r="H134" s="63">
        <f>SUM(H129:H133)</f>
        <v>1015</v>
      </c>
      <c r="I134" s="14"/>
      <c r="K134" s="14"/>
      <c r="L134" s="14"/>
      <c r="M134" s="14"/>
      <c r="N134" s="14"/>
    </row>
    <row r="135" spans="2:14" x14ac:dyDescent="0.25">
      <c r="E135" s="38" t="s">
        <v>8</v>
      </c>
      <c r="F135" s="39">
        <f>TOTAL!D12</f>
        <v>3700</v>
      </c>
      <c r="G135" s="40" t="s">
        <v>16</v>
      </c>
      <c r="H135" s="71">
        <f>H134/F135%</f>
        <v>27.432432432432432</v>
      </c>
      <c r="I135" s="58" t="s">
        <v>10</v>
      </c>
    </row>
    <row r="136" spans="2:14" ht="15" thickBot="1" x14ac:dyDescent="0.3">
      <c r="B136" s="201"/>
      <c r="C136" s="3"/>
      <c r="D136" s="87"/>
      <c r="E136" s="88"/>
      <c r="F136" s="89"/>
      <c r="G136" s="90"/>
      <c r="H136" s="8"/>
      <c r="I136" s="14"/>
    </row>
    <row r="137" spans="2:14" ht="15" thickBot="1" x14ac:dyDescent="0.3">
      <c r="D137" s="288" t="s">
        <v>62</v>
      </c>
      <c r="E137" s="288"/>
      <c r="F137" s="288"/>
      <c r="G137" s="288"/>
      <c r="H137" s="91">
        <f>SUM(SUM(H3:H4)+SUM(H33:H34)+SUM(H41)+SUM(H56:H57)+SUM(H129:H132))</f>
        <v>53255.119999999995</v>
      </c>
      <c r="I137" s="14"/>
    </row>
    <row r="138" spans="2:14" ht="15" thickBot="1" x14ac:dyDescent="0.3">
      <c r="D138" s="285" t="s">
        <v>63</v>
      </c>
      <c r="E138" s="285"/>
      <c r="F138" s="285"/>
      <c r="G138" s="285"/>
      <c r="H138" s="92" t="e">
        <f>SUM(SUM(H5)+SUM(#REF!)+SUM(H42)+SUM(H58:H62)+SUM(H77:H89)+SUM(#REF!))</f>
        <v>#REF!</v>
      </c>
      <c r="I138" s="14"/>
    </row>
    <row r="139" spans="2:14" ht="15" thickBot="1" x14ac:dyDescent="0.3">
      <c r="D139" s="286" t="s">
        <v>64</v>
      </c>
      <c r="E139" s="286"/>
      <c r="F139" s="286"/>
      <c r="G139" s="286"/>
      <c r="H139" s="93" t="e">
        <f>SUM(SUM(#REF!)+SUM(H63:H64)+SUM(H90:H109))</f>
        <v>#REF!</v>
      </c>
      <c r="I139" s="14"/>
    </row>
    <row r="140" spans="2:14" ht="15" thickBot="1" x14ac:dyDescent="0.3">
      <c r="D140" s="287" t="s">
        <v>65</v>
      </c>
      <c r="E140" s="287"/>
      <c r="F140" s="287"/>
      <c r="G140" s="287"/>
      <c r="H140" s="94">
        <v>0</v>
      </c>
      <c r="I140" s="14"/>
    </row>
    <row r="141" spans="2:14" ht="15" thickBot="1" x14ac:dyDescent="0.3">
      <c r="D141" s="96"/>
      <c r="E141" s="97"/>
      <c r="F141" s="98"/>
      <c r="G141" s="99"/>
      <c r="H141" s="100" t="e">
        <f>SUM(H137:H140)</f>
        <v>#REF!</v>
      </c>
      <c r="I141" s="101">
        <f>SUM(H134,H115,H72,H51,H36,H28,H21,H124)</f>
        <v>591073.06999999995</v>
      </c>
    </row>
    <row r="142" spans="2:14" x14ac:dyDescent="0.25">
      <c r="B142" s="180"/>
      <c r="C142" s="1"/>
      <c r="D142" s="96"/>
      <c r="E142" s="97"/>
      <c r="F142" s="98"/>
      <c r="G142" s="99"/>
      <c r="H142" s="102"/>
    </row>
    <row r="147" spans="1:14" s="104" customFormat="1" x14ac:dyDescent="0.25">
      <c r="A147" s="1"/>
      <c r="B147" s="205"/>
      <c r="C147" s="69"/>
      <c r="D147" s="1"/>
      <c r="E147" s="70"/>
      <c r="F147" s="73"/>
      <c r="G147" s="103"/>
      <c r="I147" s="1"/>
      <c r="J147" s="1"/>
      <c r="K147" s="1"/>
      <c r="L147" s="1"/>
      <c r="M147" s="1"/>
      <c r="N147" s="1"/>
    </row>
    <row r="149" spans="1:14" x14ac:dyDescent="0.25">
      <c r="K149" s="104"/>
      <c r="L149" s="104"/>
      <c r="M149" s="104"/>
      <c r="N149" s="104"/>
    </row>
    <row r="154" spans="1:14" s="104" customFormat="1" x14ac:dyDescent="0.25">
      <c r="A154" s="1"/>
      <c r="B154" s="205"/>
      <c r="C154" s="69"/>
      <c r="D154" s="1"/>
      <c r="E154" s="70"/>
      <c r="F154" s="73"/>
      <c r="G154" s="103"/>
      <c r="I154" s="1"/>
      <c r="J154" s="1"/>
      <c r="K154" s="1"/>
      <c r="L154" s="1"/>
      <c r="M154" s="1"/>
      <c r="N154" s="1"/>
    </row>
    <row r="156" spans="1:14" x14ac:dyDescent="0.25">
      <c r="K156" s="104"/>
      <c r="L156" s="104"/>
      <c r="M156" s="104"/>
      <c r="N156" s="104"/>
    </row>
  </sheetData>
  <mergeCells count="5">
    <mergeCell ref="D140:G140"/>
    <mergeCell ref="J1:N1"/>
    <mergeCell ref="D137:G137"/>
    <mergeCell ref="D138:G138"/>
    <mergeCell ref="D139:G139"/>
  </mergeCells>
  <phoneticPr fontId="38" type="noConversion"/>
  <pageMargins left="0.75" right="0.75" top="1" bottom="1" header="0.49212598499999999" footer="0.49212598499999999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89"/>
  <sheetViews>
    <sheetView showGridLines="0" zoomScale="85" zoomScaleNormal="85" workbookViewId="0"/>
  </sheetViews>
  <sheetFormatPr defaultRowHeight="14.25" x14ac:dyDescent="0.25"/>
  <cols>
    <col min="1" max="1" width="9.140625" style="1" customWidth="1"/>
    <col min="2" max="2" width="11.5703125" style="205" customWidth="1"/>
    <col min="3" max="3" width="22" style="69" customWidth="1"/>
    <col min="4" max="4" width="60.28515625" style="1" bestFit="1" customWidth="1"/>
    <col min="5" max="5" width="18.7109375" style="72" customWidth="1"/>
    <col min="6" max="6" width="16.28515625" style="73" customWidth="1"/>
    <col min="7" max="7" width="16.5703125" style="103" customWidth="1"/>
    <col min="8" max="8" width="23.42578125" style="104" customWidth="1"/>
    <col min="9" max="9" width="34" style="1" customWidth="1"/>
    <col min="10" max="14" width="15.7109375" style="1" customWidth="1"/>
    <col min="15" max="16384" width="9.140625" style="1"/>
  </cols>
  <sheetData>
    <row r="1" spans="1:14" ht="18" x14ac:dyDescent="0.25">
      <c r="B1" s="198" t="s">
        <v>0</v>
      </c>
      <c r="C1" s="3"/>
      <c r="D1" s="4"/>
      <c r="E1" s="5"/>
      <c r="F1" s="6"/>
      <c r="G1" s="7"/>
      <c r="H1" s="8"/>
      <c r="J1" s="284" t="s">
        <v>43</v>
      </c>
      <c r="K1" s="284"/>
      <c r="L1" s="284"/>
      <c r="M1" s="284"/>
      <c r="N1" s="284"/>
    </row>
    <row r="2" spans="1:14" x14ac:dyDescent="0.25">
      <c r="B2" s="199" t="s">
        <v>1</v>
      </c>
      <c r="C2" s="9" t="s">
        <v>2</v>
      </c>
      <c r="D2" s="10" t="s">
        <v>3</v>
      </c>
      <c r="E2" s="11" t="s">
        <v>4</v>
      </c>
      <c r="F2" s="12" t="s">
        <v>5</v>
      </c>
      <c r="G2" s="7" t="s">
        <v>6</v>
      </c>
      <c r="H2" s="13" t="s">
        <v>7</v>
      </c>
      <c r="I2" s="11" t="s">
        <v>42</v>
      </c>
      <c r="J2" s="11" t="s">
        <v>50</v>
      </c>
      <c r="K2" s="11" t="s">
        <v>53</v>
      </c>
      <c r="L2" s="11" t="s">
        <v>51</v>
      </c>
      <c r="M2" s="11" t="s">
        <v>52</v>
      </c>
      <c r="N2" s="11" t="s">
        <v>54</v>
      </c>
    </row>
    <row r="3" spans="1:14" s="14" customFormat="1" x14ac:dyDescent="0.25">
      <c r="B3" s="195">
        <v>1230</v>
      </c>
      <c r="C3" s="195" t="s">
        <v>102</v>
      </c>
      <c r="D3" s="196" t="s">
        <v>234</v>
      </c>
      <c r="E3" s="197">
        <v>42430</v>
      </c>
      <c r="F3" s="179">
        <v>37400</v>
      </c>
      <c r="G3" s="7"/>
      <c r="H3" s="19">
        <f t="shared" ref="H3:H21" si="0">F3-G3</f>
        <v>37400</v>
      </c>
      <c r="I3" s="137" t="s">
        <v>341</v>
      </c>
      <c r="J3" s="138">
        <v>386.16</v>
      </c>
      <c r="K3" s="138">
        <v>201.47</v>
      </c>
      <c r="L3" s="138"/>
      <c r="M3" s="138">
        <v>251.84</v>
      </c>
      <c r="N3" s="138"/>
    </row>
    <row r="4" spans="1:14" s="14" customFormat="1" x14ac:dyDescent="0.25">
      <c r="A4" s="20"/>
      <c r="B4" s="185">
        <v>4539</v>
      </c>
      <c r="C4" s="21" t="s">
        <v>181</v>
      </c>
      <c r="D4" s="16" t="s">
        <v>240</v>
      </c>
      <c r="E4" s="17">
        <v>42430</v>
      </c>
      <c r="F4" s="6">
        <v>27900</v>
      </c>
      <c r="G4" s="52"/>
      <c r="H4" s="19">
        <f t="shared" si="0"/>
        <v>27900</v>
      </c>
      <c r="I4" s="137" t="s">
        <v>348</v>
      </c>
      <c r="J4" s="138">
        <v>171.64</v>
      </c>
      <c r="K4" s="138">
        <v>89.55</v>
      </c>
      <c r="L4" s="138"/>
      <c r="M4" s="138">
        <v>111.94</v>
      </c>
      <c r="N4" s="138">
        <v>450</v>
      </c>
    </row>
    <row r="5" spans="1:14" s="14" customFormat="1" x14ac:dyDescent="0.25">
      <c r="A5" s="20"/>
      <c r="B5" s="195">
        <v>4543</v>
      </c>
      <c r="C5" s="15" t="s">
        <v>181</v>
      </c>
      <c r="D5" s="16" t="s">
        <v>241</v>
      </c>
      <c r="E5" s="17">
        <v>42432</v>
      </c>
      <c r="F5" s="18">
        <v>17900</v>
      </c>
      <c r="G5" s="175">
        <v>115</v>
      </c>
      <c r="H5" s="19">
        <f t="shared" si="0"/>
        <v>17785</v>
      </c>
      <c r="I5" s="137" t="s">
        <v>326</v>
      </c>
      <c r="J5" s="138">
        <v>175.86</v>
      </c>
      <c r="K5" s="138">
        <v>91.75</v>
      </c>
      <c r="L5" s="138">
        <v>114.69</v>
      </c>
      <c r="M5" s="138"/>
      <c r="N5" s="138"/>
    </row>
    <row r="6" spans="1:14" s="14" customFormat="1" x14ac:dyDescent="0.25">
      <c r="A6" s="20"/>
      <c r="B6" s="194">
        <v>4551</v>
      </c>
      <c r="C6" s="141" t="s">
        <v>181</v>
      </c>
      <c r="D6" s="141" t="s">
        <v>241</v>
      </c>
      <c r="E6" s="23">
        <v>42437</v>
      </c>
      <c r="F6" s="24">
        <v>17200</v>
      </c>
      <c r="G6" s="175">
        <v>100</v>
      </c>
      <c r="H6" s="19">
        <f t="shared" si="0"/>
        <v>17100</v>
      </c>
      <c r="I6" s="137" t="s">
        <v>330</v>
      </c>
      <c r="J6" s="138">
        <v>174.94</v>
      </c>
      <c r="K6" s="138">
        <v>91.27</v>
      </c>
      <c r="L6" s="138">
        <v>114.09</v>
      </c>
      <c r="M6" s="138"/>
      <c r="N6" s="143"/>
    </row>
    <row r="7" spans="1:14" x14ac:dyDescent="0.25">
      <c r="A7" s="20"/>
      <c r="B7" s="194">
        <v>4552</v>
      </c>
      <c r="C7" s="141" t="s">
        <v>181</v>
      </c>
      <c r="D7" s="141" t="s">
        <v>260</v>
      </c>
      <c r="E7" s="23">
        <v>42437</v>
      </c>
      <c r="F7" s="26">
        <v>21900</v>
      </c>
      <c r="G7" s="175"/>
      <c r="H7" s="19">
        <f t="shared" si="0"/>
        <v>21900</v>
      </c>
      <c r="I7" s="137" t="s">
        <v>349</v>
      </c>
      <c r="J7" s="138">
        <v>224.15</v>
      </c>
      <c r="K7" s="138">
        <v>116.95</v>
      </c>
      <c r="L7" s="138">
        <v>146.18</v>
      </c>
      <c r="M7" s="138"/>
      <c r="N7" s="138"/>
    </row>
    <row r="8" spans="1:14" x14ac:dyDescent="0.25">
      <c r="A8" s="20"/>
      <c r="B8" s="194">
        <v>4555</v>
      </c>
      <c r="C8" s="141" t="s">
        <v>181</v>
      </c>
      <c r="D8" s="141" t="s">
        <v>261</v>
      </c>
      <c r="E8" s="23">
        <v>42437</v>
      </c>
      <c r="F8" s="26">
        <v>29900</v>
      </c>
      <c r="G8" s="175"/>
      <c r="H8" s="19">
        <f t="shared" si="0"/>
        <v>29900</v>
      </c>
      <c r="I8" s="137" t="s">
        <v>323</v>
      </c>
      <c r="J8" s="138">
        <v>296.83</v>
      </c>
      <c r="K8" s="138">
        <v>154.87</v>
      </c>
      <c r="L8" s="138"/>
      <c r="M8" s="138">
        <v>193.58</v>
      </c>
      <c r="N8" s="144"/>
    </row>
    <row r="9" spans="1:14" x14ac:dyDescent="0.25">
      <c r="A9" s="20"/>
      <c r="B9" s="194">
        <v>4556</v>
      </c>
      <c r="C9" s="141" t="s">
        <v>181</v>
      </c>
      <c r="D9" s="141" t="s">
        <v>261</v>
      </c>
      <c r="E9" s="23">
        <v>42437</v>
      </c>
      <c r="F9" s="26">
        <v>46900</v>
      </c>
      <c r="G9" s="175"/>
      <c r="H9" s="19">
        <f t="shared" si="0"/>
        <v>46900</v>
      </c>
      <c r="I9" s="137" t="s">
        <v>324</v>
      </c>
      <c r="J9" s="138">
        <v>470.82</v>
      </c>
      <c r="K9" s="138">
        <v>245.65</v>
      </c>
      <c r="L9" s="138"/>
      <c r="M9" s="138">
        <v>307.06</v>
      </c>
      <c r="N9" s="138"/>
    </row>
    <row r="10" spans="1:14" x14ac:dyDescent="0.25">
      <c r="A10" s="20"/>
      <c r="B10" s="185">
        <v>4561</v>
      </c>
      <c r="C10" s="21" t="s">
        <v>181</v>
      </c>
      <c r="D10" s="20" t="s">
        <v>262</v>
      </c>
      <c r="E10" s="28">
        <v>42439</v>
      </c>
      <c r="F10" s="6">
        <v>19900</v>
      </c>
      <c r="G10" s="7">
        <v>369.31</v>
      </c>
      <c r="H10" s="19">
        <f t="shared" si="0"/>
        <v>19530.689999999999</v>
      </c>
      <c r="I10" s="137" t="s">
        <v>319</v>
      </c>
      <c r="J10" s="138">
        <v>199.42</v>
      </c>
      <c r="K10" s="138">
        <v>104.05</v>
      </c>
      <c r="L10" s="138"/>
      <c r="M10" s="138">
        <v>130.06</v>
      </c>
      <c r="N10" s="138">
        <v>450</v>
      </c>
    </row>
    <row r="11" spans="1:14" x14ac:dyDescent="0.25">
      <c r="A11" s="20"/>
      <c r="B11" s="194">
        <v>1237</v>
      </c>
      <c r="C11" s="141" t="s">
        <v>102</v>
      </c>
      <c r="D11" s="141" t="s">
        <v>234</v>
      </c>
      <c r="E11" s="23">
        <v>42440</v>
      </c>
      <c r="F11" s="24">
        <v>28900</v>
      </c>
      <c r="G11" s="173"/>
      <c r="H11" s="19">
        <f t="shared" si="0"/>
        <v>28900</v>
      </c>
      <c r="I11" s="137" t="s">
        <v>341</v>
      </c>
      <c r="J11" s="138">
        <v>298.13</v>
      </c>
      <c r="K11" s="138">
        <v>155.55000000000001</v>
      </c>
      <c r="L11" s="138"/>
      <c r="M11" s="138">
        <v>194.93</v>
      </c>
      <c r="N11" s="138"/>
    </row>
    <row r="12" spans="1:14" x14ac:dyDescent="0.25">
      <c r="A12" s="20"/>
      <c r="B12" s="182">
        <v>1253</v>
      </c>
      <c r="C12" s="29" t="s">
        <v>102</v>
      </c>
      <c r="D12" s="30" t="s">
        <v>234</v>
      </c>
      <c r="E12" s="31">
        <v>42446</v>
      </c>
      <c r="F12" s="6">
        <v>8200</v>
      </c>
      <c r="G12" s="7"/>
      <c r="H12" s="19">
        <f t="shared" si="0"/>
        <v>8200</v>
      </c>
      <c r="I12" s="137" t="s">
        <v>341</v>
      </c>
      <c r="J12" s="138"/>
      <c r="K12" s="138"/>
      <c r="L12" s="138"/>
      <c r="M12" s="138"/>
      <c r="N12" s="138"/>
    </row>
    <row r="13" spans="1:14" x14ac:dyDescent="0.25">
      <c r="A13" s="20"/>
      <c r="B13" s="182">
        <v>1255</v>
      </c>
      <c r="C13" s="29" t="s">
        <v>265</v>
      </c>
      <c r="D13" s="30" t="s">
        <v>234</v>
      </c>
      <c r="E13" s="31">
        <v>42446</v>
      </c>
      <c r="F13" s="18">
        <v>37100</v>
      </c>
      <c r="G13" s="7"/>
      <c r="H13" s="19">
        <f t="shared" si="0"/>
        <v>37100</v>
      </c>
      <c r="I13" s="137" t="s">
        <v>341</v>
      </c>
      <c r="J13" s="138">
        <v>298.13</v>
      </c>
      <c r="K13" s="138">
        <v>155.55000000000001</v>
      </c>
      <c r="L13" s="138"/>
      <c r="M13" s="138">
        <v>194.93</v>
      </c>
      <c r="N13" s="138"/>
    </row>
    <row r="14" spans="1:14" x14ac:dyDescent="0.25">
      <c r="A14" s="20"/>
      <c r="B14" s="182">
        <v>1256</v>
      </c>
      <c r="C14" s="29" t="s">
        <v>102</v>
      </c>
      <c r="D14" s="30" t="s">
        <v>234</v>
      </c>
      <c r="E14" s="28">
        <v>42446</v>
      </c>
      <c r="F14" s="6">
        <v>37100</v>
      </c>
      <c r="G14" s="7"/>
      <c r="H14" s="19">
        <f t="shared" si="0"/>
        <v>37100</v>
      </c>
      <c r="I14" s="137" t="s">
        <v>341</v>
      </c>
      <c r="J14" s="138">
        <v>298.13</v>
      </c>
      <c r="K14" s="138">
        <v>155.55000000000001</v>
      </c>
      <c r="L14" s="138"/>
      <c r="M14" s="138">
        <v>194.93</v>
      </c>
      <c r="N14" s="138"/>
    </row>
    <row r="15" spans="1:14" x14ac:dyDescent="0.25">
      <c r="A15" s="20"/>
      <c r="B15" s="185">
        <v>1257</v>
      </c>
      <c r="C15" s="21" t="s">
        <v>181</v>
      </c>
      <c r="D15" s="20" t="s">
        <v>266</v>
      </c>
      <c r="E15" s="28">
        <v>42446</v>
      </c>
      <c r="F15" s="6">
        <v>21900</v>
      </c>
      <c r="G15" s="7"/>
      <c r="H15" s="19">
        <f t="shared" si="0"/>
        <v>21900</v>
      </c>
      <c r="I15" s="137" t="s">
        <v>333</v>
      </c>
      <c r="J15" s="138">
        <v>226.79</v>
      </c>
      <c r="K15" s="138">
        <v>118.33</v>
      </c>
      <c r="L15" s="138"/>
      <c r="M15" s="138">
        <v>147.91</v>
      </c>
      <c r="N15" s="138"/>
    </row>
    <row r="16" spans="1:14" x14ac:dyDescent="0.25">
      <c r="B16" s="185">
        <v>4575</v>
      </c>
      <c r="C16" s="21" t="s">
        <v>181</v>
      </c>
      <c r="D16" s="20" t="s">
        <v>270</v>
      </c>
      <c r="E16" s="28">
        <v>42446</v>
      </c>
      <c r="F16" s="6">
        <v>32900</v>
      </c>
      <c r="G16" s="7">
        <v>1295</v>
      </c>
      <c r="H16" s="19">
        <f t="shared" si="0"/>
        <v>31605</v>
      </c>
      <c r="I16" s="137" t="s">
        <v>348</v>
      </c>
      <c r="J16" s="138">
        <v>283.76</v>
      </c>
      <c r="K16" s="138">
        <v>148.05000000000001</v>
      </c>
      <c r="L16" s="138"/>
      <c r="M16" s="138">
        <v>185.06</v>
      </c>
      <c r="N16" s="138"/>
    </row>
    <row r="17" spans="2:14" x14ac:dyDescent="0.25">
      <c r="B17" s="185">
        <v>4584</v>
      </c>
      <c r="C17" s="21" t="s">
        <v>181</v>
      </c>
      <c r="D17" s="20" t="s">
        <v>161</v>
      </c>
      <c r="E17" s="28">
        <v>42450</v>
      </c>
      <c r="F17" s="6">
        <v>17200</v>
      </c>
      <c r="G17" s="7">
        <v>96.86</v>
      </c>
      <c r="H17" s="19">
        <f t="shared" si="0"/>
        <v>17103.14</v>
      </c>
      <c r="I17" s="137" t="s">
        <v>330</v>
      </c>
      <c r="J17" s="138">
        <v>174.93</v>
      </c>
      <c r="K17" s="138">
        <v>91.27</v>
      </c>
      <c r="L17" s="138">
        <v>114.08</v>
      </c>
      <c r="M17" s="138"/>
      <c r="N17" s="138"/>
    </row>
    <row r="18" spans="2:14" x14ac:dyDescent="0.25">
      <c r="B18" s="185">
        <v>4590</v>
      </c>
      <c r="C18" s="21" t="s">
        <v>181</v>
      </c>
      <c r="D18" s="20" t="s">
        <v>294</v>
      </c>
      <c r="E18" s="28">
        <v>42452</v>
      </c>
      <c r="F18" s="6">
        <v>18900</v>
      </c>
      <c r="G18" s="7"/>
      <c r="H18" s="19">
        <f t="shared" si="0"/>
        <v>18900</v>
      </c>
      <c r="I18" s="140" t="s">
        <v>350</v>
      </c>
      <c r="J18" s="138">
        <v>193.44</v>
      </c>
      <c r="K18" s="138">
        <v>100.93</v>
      </c>
      <c r="L18" s="138"/>
      <c r="M18" s="138">
        <v>126.16</v>
      </c>
      <c r="N18" s="138"/>
    </row>
    <row r="19" spans="2:14" x14ac:dyDescent="0.25">
      <c r="B19" s="231">
        <v>4597</v>
      </c>
      <c r="C19" s="231" t="s">
        <v>181</v>
      </c>
      <c r="D19" s="234" t="s">
        <v>307</v>
      </c>
      <c r="E19" s="235">
        <v>42458</v>
      </c>
      <c r="F19" s="236">
        <f>20252-1352</f>
        <v>18900</v>
      </c>
      <c r="G19" s="7"/>
      <c r="H19" s="19">
        <f t="shared" si="0"/>
        <v>18900</v>
      </c>
      <c r="I19" s="140" t="s">
        <v>351</v>
      </c>
      <c r="J19" s="138">
        <v>207.28</v>
      </c>
      <c r="K19" s="138">
        <v>108.15</v>
      </c>
      <c r="L19" s="138">
        <v>135.18</v>
      </c>
      <c r="M19" s="138"/>
      <c r="N19" s="142"/>
    </row>
    <row r="20" spans="2:14" x14ac:dyDescent="0.25">
      <c r="B20" s="185">
        <v>4604</v>
      </c>
      <c r="C20" s="21" t="s">
        <v>181</v>
      </c>
      <c r="D20" s="20" t="s">
        <v>310</v>
      </c>
      <c r="E20" s="28">
        <v>42459</v>
      </c>
      <c r="F20" s="6">
        <v>27800</v>
      </c>
      <c r="G20" s="7"/>
      <c r="H20" s="19">
        <f t="shared" si="0"/>
        <v>27800</v>
      </c>
      <c r="I20" s="140" t="s">
        <v>348</v>
      </c>
      <c r="J20" s="138">
        <v>193.44</v>
      </c>
      <c r="K20" s="138">
        <v>100.93</v>
      </c>
      <c r="L20" s="138">
        <v>126.16</v>
      </c>
      <c r="M20" s="138"/>
      <c r="N20" s="138"/>
    </row>
    <row r="21" spans="2:14" x14ac:dyDescent="0.25">
      <c r="B21" s="185">
        <v>4605</v>
      </c>
      <c r="C21" s="21" t="s">
        <v>181</v>
      </c>
      <c r="D21" s="20" t="s">
        <v>311</v>
      </c>
      <c r="E21" s="28">
        <v>42459</v>
      </c>
      <c r="F21" s="6">
        <v>21900</v>
      </c>
      <c r="G21" s="7"/>
      <c r="H21" s="19">
        <f t="shared" si="0"/>
        <v>21900</v>
      </c>
      <c r="I21" s="137" t="s">
        <v>352</v>
      </c>
      <c r="J21" s="138">
        <v>219.2</v>
      </c>
      <c r="K21" s="138">
        <v>114.37</v>
      </c>
      <c r="L21" s="138">
        <v>142.96</v>
      </c>
      <c r="M21" s="138"/>
      <c r="N21" s="143"/>
    </row>
    <row r="22" spans="2:14" x14ac:dyDescent="0.25">
      <c r="B22" s="185"/>
      <c r="C22" s="21"/>
      <c r="D22" s="20" t="s">
        <v>366</v>
      </c>
      <c r="E22" s="28"/>
      <c r="F22" s="177">
        <v>19990</v>
      </c>
      <c r="G22" s="7"/>
      <c r="H22" s="19">
        <f t="shared" ref="H22:H23" si="1">F22-G22</f>
        <v>19990</v>
      </c>
      <c r="I22" s="140"/>
      <c r="J22" s="138">
        <v>203.69</v>
      </c>
      <c r="K22" s="138">
        <v>106.27</v>
      </c>
      <c r="L22" s="138">
        <v>132.83000000000001</v>
      </c>
      <c r="M22" s="138"/>
      <c r="N22" s="142"/>
    </row>
    <row r="23" spans="2:14" ht="15" thickBot="1" x14ac:dyDescent="0.3">
      <c r="B23" s="185"/>
      <c r="C23" s="21"/>
      <c r="D23" s="20"/>
      <c r="E23" s="28"/>
      <c r="F23" s="6"/>
      <c r="G23" s="7"/>
      <c r="H23" s="19">
        <f t="shared" si="1"/>
        <v>0</v>
      </c>
      <c r="I23" s="140"/>
      <c r="J23" s="138"/>
      <c r="K23" s="138"/>
      <c r="L23" s="138"/>
      <c r="M23" s="138"/>
      <c r="N23" s="143"/>
    </row>
    <row r="24" spans="2:14" ht="15" thickBot="1" x14ac:dyDescent="0.3">
      <c r="B24" s="200"/>
      <c r="C24" s="32"/>
      <c r="D24" s="33"/>
      <c r="E24" s="34"/>
      <c r="F24" s="35">
        <f>SUM(F3:F23)</f>
        <v>509790</v>
      </c>
      <c r="G24" s="36">
        <f>SUM(G3:G23)</f>
        <v>1976.1699999999998</v>
      </c>
      <c r="H24" s="37">
        <f>SUM(H3:H23)</f>
        <v>507813.83</v>
      </c>
      <c r="I24" s="66"/>
      <c r="J24" s="135">
        <f>SUM(J3:J23)</f>
        <v>4696.74</v>
      </c>
      <c r="K24" s="135">
        <f>SUM(K3:K23)</f>
        <v>2450.5099999999993</v>
      </c>
      <c r="L24" s="135">
        <f>SUM(L3:L23)</f>
        <v>1026.17</v>
      </c>
      <c r="M24" s="135">
        <f>SUM(M3:M23)</f>
        <v>2038.4000000000003</v>
      </c>
      <c r="N24" s="135">
        <f>SUM(N3:N23)</f>
        <v>900</v>
      </c>
    </row>
    <row r="25" spans="2:14" x14ac:dyDescent="0.25">
      <c r="B25" s="201"/>
      <c r="C25" s="3"/>
      <c r="D25" s="4"/>
      <c r="E25" s="38" t="s">
        <v>8</v>
      </c>
      <c r="F25" s="39">
        <f>TOTAL!E8</f>
        <v>570000</v>
      </c>
      <c r="G25" s="40" t="s">
        <v>9</v>
      </c>
      <c r="H25" s="41">
        <f>H24/F25%</f>
        <v>89.090145614035094</v>
      </c>
      <c r="I25" s="58" t="s">
        <v>10</v>
      </c>
    </row>
    <row r="26" spans="2:14" ht="15" thickBot="1" x14ac:dyDescent="0.3">
      <c r="B26" s="202"/>
      <c r="C26" s="43"/>
      <c r="D26" s="44"/>
      <c r="E26" s="45"/>
      <c r="F26" s="46"/>
      <c r="G26" s="47"/>
      <c r="H26" s="48"/>
      <c r="I26" s="14"/>
    </row>
    <row r="27" spans="2:14" ht="18.75" thickTop="1" x14ac:dyDescent="0.25">
      <c r="B27" s="198" t="s">
        <v>11</v>
      </c>
      <c r="C27" s="49"/>
      <c r="D27" s="4"/>
      <c r="E27" s="5"/>
      <c r="F27" s="6"/>
      <c r="G27" s="7"/>
      <c r="H27" s="50"/>
      <c r="I27" s="14"/>
    </row>
    <row r="28" spans="2:14" x14ac:dyDescent="0.25">
      <c r="B28" s="199" t="s">
        <v>1</v>
      </c>
      <c r="C28" s="9" t="s">
        <v>2</v>
      </c>
      <c r="D28" s="10" t="s">
        <v>3</v>
      </c>
      <c r="E28" s="11" t="s">
        <v>4</v>
      </c>
      <c r="F28" s="12" t="s">
        <v>5</v>
      </c>
      <c r="G28" s="7" t="s">
        <v>12</v>
      </c>
      <c r="H28" s="13" t="s">
        <v>7</v>
      </c>
      <c r="I28" s="216"/>
      <c r="J28" s="229"/>
      <c r="K28" s="217"/>
      <c r="L28" s="217"/>
      <c r="M28" s="217"/>
      <c r="N28" s="218"/>
    </row>
    <row r="29" spans="2:14" s="14" customFormat="1" x14ac:dyDescent="0.25">
      <c r="B29" s="185"/>
      <c r="C29" s="29"/>
      <c r="D29" s="30"/>
      <c r="E29" s="31"/>
      <c r="F29" s="6"/>
      <c r="G29" s="7"/>
      <c r="H29" s="19">
        <f t="shared" ref="H29:H31" si="2">F29-G29</f>
        <v>0</v>
      </c>
      <c r="I29" s="217"/>
      <c r="J29" s="219"/>
      <c r="K29" s="219"/>
      <c r="L29" s="219"/>
      <c r="M29" s="219"/>
      <c r="N29" s="217"/>
    </row>
    <row r="30" spans="2:14" x14ac:dyDescent="0.25">
      <c r="B30" s="182"/>
      <c r="C30" s="29"/>
      <c r="D30" s="30"/>
      <c r="E30" s="31"/>
      <c r="F30" s="6"/>
      <c r="G30" s="7"/>
      <c r="H30" s="19">
        <f t="shared" si="2"/>
        <v>0</v>
      </c>
    </row>
    <row r="31" spans="2:14" ht="15" thickBot="1" x14ac:dyDescent="0.3">
      <c r="B31" s="182"/>
      <c r="C31" s="29"/>
      <c r="D31" s="30"/>
      <c r="E31" s="31"/>
      <c r="F31" s="6"/>
      <c r="G31" s="7"/>
      <c r="H31" s="19">
        <f t="shared" si="2"/>
        <v>0</v>
      </c>
    </row>
    <row r="32" spans="2:14" ht="15" thickBot="1" x14ac:dyDescent="0.3">
      <c r="B32" s="182"/>
      <c r="C32" s="29"/>
      <c r="D32" s="30"/>
      <c r="E32" s="31"/>
      <c r="F32" s="35">
        <f>SUM(F29:F31)</f>
        <v>0</v>
      </c>
      <c r="G32" s="36"/>
      <c r="H32" s="37">
        <f>SUM(H29:H31)</f>
        <v>0</v>
      </c>
    </row>
    <row r="33" spans="2:9" x14ac:dyDescent="0.25">
      <c r="B33" s="182"/>
      <c r="C33" s="29"/>
      <c r="D33" s="30"/>
      <c r="E33" s="31"/>
      <c r="F33" s="51"/>
      <c r="G33" s="52"/>
      <c r="H33" s="53"/>
    </row>
    <row r="34" spans="2:9" ht="15" thickBot="1" x14ac:dyDescent="0.3">
      <c r="B34" s="202"/>
      <c r="C34" s="43"/>
      <c r="D34" s="44"/>
      <c r="E34" s="45"/>
      <c r="F34" s="46"/>
      <c r="G34" s="47"/>
      <c r="H34" s="48"/>
      <c r="I34" s="14"/>
    </row>
    <row r="35" spans="2:9" ht="18.75" thickTop="1" x14ac:dyDescent="0.25">
      <c r="B35" s="198" t="s">
        <v>13</v>
      </c>
      <c r="C35" s="49"/>
      <c r="D35" s="4"/>
      <c r="E35" s="5"/>
      <c r="F35" s="6"/>
      <c r="G35" s="7"/>
      <c r="H35" s="50"/>
      <c r="I35" s="14"/>
    </row>
    <row r="36" spans="2:9" x14ac:dyDescent="0.25">
      <c r="B36" s="199" t="s">
        <v>1</v>
      </c>
      <c r="C36" s="9" t="s">
        <v>2</v>
      </c>
      <c r="D36" s="10" t="s">
        <v>3</v>
      </c>
      <c r="E36" s="11" t="s">
        <v>4</v>
      </c>
      <c r="F36" s="12" t="s">
        <v>5</v>
      </c>
      <c r="G36" s="7" t="s">
        <v>12</v>
      </c>
      <c r="H36" s="13" t="s">
        <v>7</v>
      </c>
      <c r="I36" s="14"/>
    </row>
    <row r="37" spans="2:9" s="14" customFormat="1" x14ac:dyDescent="0.25">
      <c r="B37" s="185">
        <v>4575</v>
      </c>
      <c r="C37" s="21" t="s">
        <v>271</v>
      </c>
      <c r="D37" s="16" t="s">
        <v>270</v>
      </c>
      <c r="E37" s="17">
        <v>42446</v>
      </c>
      <c r="F37" s="6">
        <v>1295</v>
      </c>
      <c r="G37" s="175"/>
      <c r="H37" s="19">
        <f t="shared" ref="H37:H39" si="3">F37-G37</f>
        <v>1295</v>
      </c>
    </row>
    <row r="38" spans="2:9" s="14" customFormat="1" x14ac:dyDescent="0.25">
      <c r="B38" s="194"/>
      <c r="C38" s="141"/>
      <c r="D38" s="141"/>
      <c r="E38" s="23"/>
      <c r="F38" s="6"/>
      <c r="G38" s="7"/>
      <c r="H38" s="19">
        <f t="shared" si="3"/>
        <v>0</v>
      </c>
    </row>
    <row r="39" spans="2:9" ht="15" thickBot="1" x14ac:dyDescent="0.3">
      <c r="B39" s="182"/>
      <c r="C39" s="29"/>
      <c r="D39" s="30"/>
      <c r="E39" s="31"/>
      <c r="F39" s="6"/>
      <c r="G39" s="7"/>
      <c r="H39" s="19">
        <f t="shared" si="3"/>
        <v>0</v>
      </c>
    </row>
    <row r="40" spans="2:9" ht="15" thickBot="1" x14ac:dyDescent="0.3">
      <c r="B40" s="203"/>
      <c r="C40" s="55"/>
      <c r="D40" s="56"/>
      <c r="E40" s="57"/>
      <c r="F40" s="35">
        <f>SUM(F37:F39)</f>
        <v>1295</v>
      </c>
      <c r="G40" s="36">
        <f>SUM(G37:G39)</f>
        <v>0</v>
      </c>
      <c r="H40" s="37">
        <f>SUM(H37:H39)</f>
        <v>1295</v>
      </c>
    </row>
    <row r="41" spans="2:9" x14ac:dyDescent="0.25">
      <c r="B41" s="203"/>
      <c r="C41" s="55"/>
      <c r="D41" s="56"/>
      <c r="E41" s="38"/>
      <c r="F41" s="39"/>
      <c r="G41" s="40"/>
      <c r="H41" s="41"/>
    </row>
    <row r="42" spans="2:9" ht="15" thickBot="1" x14ac:dyDescent="0.3">
      <c r="B42" s="202"/>
      <c r="C42" s="43"/>
      <c r="D42" s="44"/>
      <c r="E42" s="59"/>
      <c r="F42" s="46"/>
      <c r="G42" s="47"/>
      <c r="H42" s="48"/>
      <c r="I42" s="14"/>
    </row>
    <row r="43" spans="2:9" ht="18.75" thickTop="1" x14ac:dyDescent="0.25">
      <c r="B43" s="198" t="s">
        <v>14</v>
      </c>
      <c r="C43" s="49"/>
      <c r="D43" s="4"/>
      <c r="E43" s="5"/>
      <c r="F43" s="6"/>
      <c r="G43" s="7"/>
      <c r="H43" s="50"/>
      <c r="I43" s="14"/>
    </row>
    <row r="44" spans="2:9" x14ac:dyDescent="0.25">
      <c r="B44" s="199" t="s">
        <v>1</v>
      </c>
      <c r="C44" s="9" t="s">
        <v>2</v>
      </c>
      <c r="D44" s="10" t="s">
        <v>3</v>
      </c>
      <c r="E44" s="11" t="s">
        <v>4</v>
      </c>
      <c r="F44" s="12" t="s">
        <v>5</v>
      </c>
      <c r="G44" s="7" t="s">
        <v>12</v>
      </c>
      <c r="H44" s="13" t="s">
        <v>7</v>
      </c>
      <c r="I44" s="14"/>
    </row>
    <row r="45" spans="2:9" s="14" customFormat="1" x14ac:dyDescent="0.25">
      <c r="B45" s="185">
        <v>1239</v>
      </c>
      <c r="C45" s="21" t="s">
        <v>102</v>
      </c>
      <c r="D45" s="20" t="s">
        <v>258</v>
      </c>
      <c r="E45" s="28">
        <v>42440</v>
      </c>
      <c r="F45" s="6">
        <v>353.11</v>
      </c>
      <c r="G45" s="7"/>
      <c r="H45" s="19">
        <f t="shared" ref="H45:H53" si="4">F45-G45</f>
        <v>353.11</v>
      </c>
    </row>
    <row r="46" spans="2:9" s="14" customFormat="1" x14ac:dyDescent="0.25">
      <c r="B46" s="182">
        <v>1242</v>
      </c>
      <c r="C46" s="29" t="s">
        <v>102</v>
      </c>
      <c r="D46" s="30" t="s">
        <v>258</v>
      </c>
      <c r="E46" s="31">
        <v>42443</v>
      </c>
      <c r="F46" s="6">
        <v>2975.08</v>
      </c>
      <c r="G46" s="7"/>
      <c r="H46" s="19">
        <f t="shared" si="4"/>
        <v>2975.08</v>
      </c>
    </row>
    <row r="47" spans="2:9" s="14" customFormat="1" x14ac:dyDescent="0.25">
      <c r="B47" s="195">
        <v>1243</v>
      </c>
      <c r="C47" s="15" t="s">
        <v>102</v>
      </c>
      <c r="D47" s="15" t="s">
        <v>139</v>
      </c>
      <c r="E47" s="17">
        <v>42443</v>
      </c>
      <c r="F47" s="18">
        <v>870.82</v>
      </c>
      <c r="G47" s="60"/>
      <c r="H47" s="19">
        <f t="shared" si="4"/>
        <v>870.82</v>
      </c>
    </row>
    <row r="48" spans="2:9" s="14" customFormat="1" x14ac:dyDescent="0.25">
      <c r="B48" s="194">
        <v>1245</v>
      </c>
      <c r="C48" s="141" t="s">
        <v>102</v>
      </c>
      <c r="D48" s="141" t="s">
        <v>142</v>
      </c>
      <c r="E48" s="23">
        <v>42443</v>
      </c>
      <c r="F48" s="26">
        <v>417.12</v>
      </c>
      <c r="G48" s="7"/>
      <c r="H48" s="19">
        <f t="shared" si="4"/>
        <v>417.12</v>
      </c>
    </row>
    <row r="49" spans="2:10" s="14" customFormat="1" x14ac:dyDescent="0.25">
      <c r="B49" s="194">
        <v>1246</v>
      </c>
      <c r="C49" s="141" t="s">
        <v>102</v>
      </c>
      <c r="D49" s="141" t="s">
        <v>142</v>
      </c>
      <c r="E49" s="23">
        <v>42443</v>
      </c>
      <c r="F49" s="26">
        <v>517.72</v>
      </c>
      <c r="G49" s="7"/>
      <c r="H49" s="19">
        <f t="shared" si="4"/>
        <v>517.72</v>
      </c>
    </row>
    <row r="50" spans="2:10" s="14" customFormat="1" x14ac:dyDescent="0.25">
      <c r="B50" s="195">
        <v>4586</v>
      </c>
      <c r="C50" s="15" t="s">
        <v>102</v>
      </c>
      <c r="D50" s="16" t="s">
        <v>292</v>
      </c>
      <c r="E50" s="17">
        <v>42451</v>
      </c>
      <c r="F50" s="6">
        <v>673.99</v>
      </c>
      <c r="G50" s="7"/>
      <c r="H50" s="19">
        <f t="shared" si="4"/>
        <v>673.99</v>
      </c>
    </row>
    <row r="51" spans="2:10" s="14" customFormat="1" x14ac:dyDescent="0.25">
      <c r="B51" s="194">
        <v>1262</v>
      </c>
      <c r="C51" s="141" t="s">
        <v>102</v>
      </c>
      <c r="D51" s="16" t="s">
        <v>291</v>
      </c>
      <c r="E51" s="17">
        <v>42452</v>
      </c>
      <c r="F51" s="18">
        <v>3537.62</v>
      </c>
      <c r="G51" s="175">
        <v>60</v>
      </c>
      <c r="H51" s="19">
        <f t="shared" si="4"/>
        <v>3477.62</v>
      </c>
    </row>
    <row r="52" spans="2:10" s="14" customFormat="1" x14ac:dyDescent="0.25">
      <c r="B52" s="195">
        <v>1267</v>
      </c>
      <c r="C52" s="15" t="s">
        <v>102</v>
      </c>
      <c r="D52" s="16" t="s">
        <v>303</v>
      </c>
      <c r="E52" s="17">
        <v>42457</v>
      </c>
      <c r="F52" s="18">
        <v>1870.28</v>
      </c>
      <c r="G52" s="7"/>
      <c r="H52" s="19">
        <f t="shared" si="4"/>
        <v>1870.28</v>
      </c>
    </row>
    <row r="53" spans="2:10" s="14" customFormat="1" x14ac:dyDescent="0.25">
      <c r="B53" s="195">
        <v>1273</v>
      </c>
      <c r="C53" s="15" t="s">
        <v>102</v>
      </c>
      <c r="D53" s="16" t="s">
        <v>258</v>
      </c>
      <c r="E53" s="17">
        <v>42459</v>
      </c>
      <c r="F53" s="18">
        <v>2408.5100000000002</v>
      </c>
      <c r="G53" s="7"/>
      <c r="H53" s="19">
        <f t="shared" si="4"/>
        <v>2408.5100000000002</v>
      </c>
      <c r="I53" s="1"/>
    </row>
    <row r="54" spans="2:10" s="14" customFormat="1" x14ac:dyDescent="0.25">
      <c r="B54" s="195"/>
      <c r="C54" s="15"/>
      <c r="D54" s="16"/>
      <c r="E54" s="17"/>
      <c r="F54" s="18"/>
      <c r="G54" s="7"/>
      <c r="H54" s="19">
        <f t="shared" ref="H54:H55" si="5">F54-G54</f>
        <v>0</v>
      </c>
      <c r="I54" s="1"/>
    </row>
    <row r="55" spans="2:10" ht="15" thickBot="1" x14ac:dyDescent="0.3">
      <c r="B55" s="185"/>
      <c r="C55" s="21"/>
      <c r="D55" s="21"/>
      <c r="E55" s="28"/>
      <c r="F55" s="6"/>
      <c r="G55" s="7"/>
      <c r="H55" s="19">
        <f t="shared" si="5"/>
        <v>0</v>
      </c>
    </row>
    <row r="56" spans="2:10" ht="15" thickBot="1" x14ac:dyDescent="0.3">
      <c r="B56" s="201"/>
      <c r="C56" s="3"/>
      <c r="D56" s="4"/>
      <c r="E56" s="61"/>
      <c r="F56" s="62">
        <f>SUM(F45:F55)</f>
        <v>13624.25</v>
      </c>
      <c r="G56" s="36">
        <f>SUM(G45:G55)</f>
        <v>60</v>
      </c>
      <c r="H56" s="63">
        <f>SUM(H45:H55)</f>
        <v>13564.25</v>
      </c>
      <c r="J56" s="54"/>
    </row>
    <row r="57" spans="2:10" x14ac:dyDescent="0.25">
      <c r="B57" s="204"/>
      <c r="C57" s="3"/>
      <c r="D57" s="65"/>
      <c r="E57" s="38" t="s">
        <v>8</v>
      </c>
      <c r="F57" s="39">
        <f>TOTAL!E9</f>
        <v>0</v>
      </c>
      <c r="G57" s="40" t="s">
        <v>9</v>
      </c>
      <c r="H57" s="41" t="e">
        <f>H56/F57%</f>
        <v>#DIV/0!</v>
      </c>
      <c r="I57" s="58" t="s">
        <v>10</v>
      </c>
    </row>
    <row r="58" spans="2:10" ht="15" thickBot="1" x14ac:dyDescent="0.3">
      <c r="B58" s="202"/>
      <c r="C58" s="43"/>
      <c r="D58" s="44"/>
      <c r="E58" s="59"/>
      <c r="F58" s="46"/>
      <c r="G58" s="47"/>
      <c r="H58" s="48"/>
      <c r="I58" s="14"/>
    </row>
    <row r="59" spans="2:10" ht="18.75" thickTop="1" x14ac:dyDescent="0.25">
      <c r="B59" s="198" t="s">
        <v>15</v>
      </c>
      <c r="C59" s="49"/>
      <c r="D59" s="4"/>
      <c r="E59" s="5"/>
      <c r="F59" s="6"/>
      <c r="G59" s="7"/>
      <c r="H59" s="50"/>
      <c r="I59" s="14"/>
    </row>
    <row r="60" spans="2:10" x14ac:dyDescent="0.25">
      <c r="B60" s="199" t="s">
        <v>1</v>
      </c>
      <c r="C60" s="9" t="s">
        <v>2</v>
      </c>
      <c r="D60" s="10" t="s">
        <v>3</v>
      </c>
      <c r="E60" s="11" t="s">
        <v>4</v>
      </c>
      <c r="F60" s="12" t="s">
        <v>5</v>
      </c>
      <c r="G60" s="7" t="s">
        <v>12</v>
      </c>
      <c r="H60" s="13" t="s">
        <v>7</v>
      </c>
      <c r="I60" s="14"/>
    </row>
    <row r="61" spans="2:10" s="14" customFormat="1" x14ac:dyDescent="0.25">
      <c r="B61" s="185">
        <v>4538</v>
      </c>
      <c r="C61" s="21" t="s">
        <v>102</v>
      </c>
      <c r="D61" s="20" t="s">
        <v>239</v>
      </c>
      <c r="E61" s="28">
        <v>42430</v>
      </c>
      <c r="F61" s="6">
        <v>425.77</v>
      </c>
      <c r="G61" s="7">
        <v>26</v>
      </c>
      <c r="H61" s="19">
        <f t="shared" ref="H61:H85" si="6">F61-G61</f>
        <v>399.77</v>
      </c>
    </row>
    <row r="62" spans="2:10" s="14" customFormat="1" x14ac:dyDescent="0.25">
      <c r="B62" s="195">
        <v>1231</v>
      </c>
      <c r="C62" s="15" t="s">
        <v>102</v>
      </c>
      <c r="D62" s="15" t="s">
        <v>255</v>
      </c>
      <c r="E62" s="17">
        <v>42432</v>
      </c>
      <c r="F62" s="18">
        <v>6122.96</v>
      </c>
      <c r="G62" s="7">
        <v>63.93</v>
      </c>
      <c r="H62" s="19">
        <f t="shared" si="6"/>
        <v>6059.03</v>
      </c>
    </row>
    <row r="63" spans="2:10" s="14" customFormat="1" x14ac:dyDescent="0.25">
      <c r="B63" s="195">
        <v>4545</v>
      </c>
      <c r="C63" s="15" t="s">
        <v>102</v>
      </c>
      <c r="D63" s="15" t="s">
        <v>242</v>
      </c>
      <c r="E63" s="17">
        <v>42433</v>
      </c>
      <c r="F63" s="18">
        <v>449.57</v>
      </c>
      <c r="G63" s="7">
        <v>49.8</v>
      </c>
      <c r="H63" s="19">
        <f t="shared" si="6"/>
        <v>399.77</v>
      </c>
    </row>
    <row r="64" spans="2:10" s="14" customFormat="1" x14ac:dyDescent="0.25">
      <c r="B64" s="195">
        <v>4546</v>
      </c>
      <c r="C64" s="15" t="s">
        <v>102</v>
      </c>
      <c r="D64" s="15" t="s">
        <v>238</v>
      </c>
      <c r="E64" s="17">
        <v>42433</v>
      </c>
      <c r="F64" s="18">
        <v>9360</v>
      </c>
      <c r="G64" s="7"/>
      <c r="H64" s="19">
        <f t="shared" si="6"/>
        <v>9360</v>
      </c>
    </row>
    <row r="65" spans="2:9" s="14" customFormat="1" x14ac:dyDescent="0.25">
      <c r="B65" s="194">
        <v>4548</v>
      </c>
      <c r="C65" s="141" t="s">
        <v>102</v>
      </c>
      <c r="D65" s="141" t="s">
        <v>259</v>
      </c>
      <c r="E65" s="23">
        <v>42436</v>
      </c>
      <c r="F65" s="26">
        <v>1221.31</v>
      </c>
      <c r="G65" s="7">
        <v>22</v>
      </c>
      <c r="H65" s="19">
        <f t="shared" si="6"/>
        <v>1199.31</v>
      </c>
    </row>
    <row r="66" spans="2:9" s="14" customFormat="1" x14ac:dyDescent="0.25">
      <c r="B66" s="194">
        <v>4549</v>
      </c>
      <c r="C66" s="141" t="s">
        <v>102</v>
      </c>
      <c r="D66" s="16" t="s">
        <v>246</v>
      </c>
      <c r="E66" s="17">
        <v>42436</v>
      </c>
      <c r="F66" s="18">
        <v>399.77</v>
      </c>
      <c r="G66" s="175"/>
      <c r="H66" s="19">
        <f t="shared" si="6"/>
        <v>399.77</v>
      </c>
    </row>
    <row r="67" spans="2:9" s="14" customFormat="1" x14ac:dyDescent="0.25">
      <c r="B67" s="195">
        <v>4560</v>
      </c>
      <c r="C67" s="15" t="s">
        <v>102</v>
      </c>
      <c r="D67" s="15" t="s">
        <v>170</v>
      </c>
      <c r="E67" s="17">
        <v>42439</v>
      </c>
      <c r="F67" s="18">
        <v>139.6</v>
      </c>
      <c r="G67" s="60"/>
      <c r="H67" s="19">
        <f t="shared" si="6"/>
        <v>139.6</v>
      </c>
    </row>
    <row r="68" spans="2:9" s="14" customFormat="1" x14ac:dyDescent="0.25">
      <c r="B68" s="194">
        <v>4567</v>
      </c>
      <c r="C68" s="141" t="s">
        <v>102</v>
      </c>
      <c r="D68" s="16" t="s">
        <v>234</v>
      </c>
      <c r="E68" s="17">
        <v>42440</v>
      </c>
      <c r="F68" s="18">
        <v>321.54000000000002</v>
      </c>
      <c r="G68" s="52"/>
      <c r="H68" s="19">
        <f t="shared" si="6"/>
        <v>321.54000000000002</v>
      </c>
    </row>
    <row r="69" spans="2:9" s="14" customFormat="1" x14ac:dyDescent="0.25">
      <c r="B69" s="195">
        <v>1241</v>
      </c>
      <c r="C69" s="15" t="s">
        <v>102</v>
      </c>
      <c r="D69" s="16" t="s">
        <v>114</v>
      </c>
      <c r="E69" s="17">
        <v>42443</v>
      </c>
      <c r="F69" s="6">
        <v>19633.39</v>
      </c>
      <c r="G69" s="52"/>
      <c r="H69" s="19">
        <f t="shared" si="6"/>
        <v>19633.39</v>
      </c>
    </row>
    <row r="70" spans="2:9" s="14" customFormat="1" x14ac:dyDescent="0.25">
      <c r="B70" s="195">
        <v>4570</v>
      </c>
      <c r="C70" s="15" t="s">
        <v>102</v>
      </c>
      <c r="D70" s="16" t="s">
        <v>268</v>
      </c>
      <c r="E70" s="17">
        <v>42444</v>
      </c>
      <c r="F70" s="18">
        <v>399.77</v>
      </c>
      <c r="G70" s="52"/>
      <c r="H70" s="19">
        <f t="shared" si="6"/>
        <v>399.77</v>
      </c>
      <c r="I70" s="1"/>
    </row>
    <row r="71" spans="2:9" s="14" customFormat="1" x14ac:dyDescent="0.25">
      <c r="B71" s="195">
        <v>4574</v>
      </c>
      <c r="C71" s="15" t="s">
        <v>102</v>
      </c>
      <c r="D71" s="16" t="s">
        <v>269</v>
      </c>
      <c r="E71" s="17">
        <v>42446</v>
      </c>
      <c r="F71" s="18">
        <v>8317</v>
      </c>
      <c r="G71" s="7">
        <v>45.69</v>
      </c>
      <c r="H71" s="19">
        <f t="shared" si="6"/>
        <v>8271.31</v>
      </c>
      <c r="I71" s="1"/>
    </row>
    <row r="72" spans="2:9" s="14" customFormat="1" x14ac:dyDescent="0.25">
      <c r="B72" s="185">
        <v>4580</v>
      </c>
      <c r="C72" s="21" t="s">
        <v>102</v>
      </c>
      <c r="D72" s="20" t="s">
        <v>276</v>
      </c>
      <c r="E72" s="28">
        <v>42447</v>
      </c>
      <c r="F72" s="125">
        <v>1648.98</v>
      </c>
      <c r="G72" s="7">
        <v>49.9</v>
      </c>
      <c r="H72" s="19">
        <f t="shared" si="6"/>
        <v>1599.08</v>
      </c>
      <c r="I72" s="1"/>
    </row>
    <row r="73" spans="2:9" x14ac:dyDescent="0.25">
      <c r="B73" s="195">
        <v>4581</v>
      </c>
      <c r="C73" s="15" t="s">
        <v>102</v>
      </c>
      <c r="D73" s="16" t="s">
        <v>263</v>
      </c>
      <c r="E73" s="17">
        <v>42447</v>
      </c>
      <c r="F73" s="18">
        <v>399.77</v>
      </c>
      <c r="G73" s="7">
        <v>59</v>
      </c>
      <c r="H73" s="19">
        <f t="shared" si="6"/>
        <v>340.77</v>
      </c>
    </row>
    <row r="74" spans="2:9" x14ac:dyDescent="0.25">
      <c r="B74" s="195">
        <v>116</v>
      </c>
      <c r="C74" s="15" t="s">
        <v>102</v>
      </c>
      <c r="D74" s="16" t="s">
        <v>289</v>
      </c>
      <c r="E74" s="17">
        <v>42452</v>
      </c>
      <c r="F74" s="18">
        <v>160</v>
      </c>
      <c r="G74" s="7">
        <v>40</v>
      </c>
      <c r="H74" s="19">
        <f t="shared" si="6"/>
        <v>120</v>
      </c>
    </row>
    <row r="75" spans="2:9" x14ac:dyDescent="0.25">
      <c r="B75" s="195">
        <v>117</v>
      </c>
      <c r="C75" s="15" t="s">
        <v>102</v>
      </c>
      <c r="D75" s="16" t="s">
        <v>161</v>
      </c>
      <c r="E75" s="17">
        <v>42452</v>
      </c>
      <c r="F75" s="18">
        <v>650</v>
      </c>
      <c r="G75" s="175">
        <v>45</v>
      </c>
      <c r="H75" s="19">
        <f t="shared" si="6"/>
        <v>605</v>
      </c>
    </row>
    <row r="76" spans="2:9" x14ac:dyDescent="0.25">
      <c r="B76" s="195">
        <v>4589</v>
      </c>
      <c r="C76" s="15" t="s">
        <v>102</v>
      </c>
      <c r="D76" s="16" t="s">
        <v>293</v>
      </c>
      <c r="E76" s="17">
        <v>42452</v>
      </c>
      <c r="F76" s="18">
        <v>451.67</v>
      </c>
      <c r="G76" s="7">
        <v>51.9</v>
      </c>
      <c r="H76" s="19">
        <f t="shared" si="6"/>
        <v>399.77000000000004</v>
      </c>
    </row>
    <row r="77" spans="2:9" x14ac:dyDescent="0.25">
      <c r="B77" s="195">
        <v>118</v>
      </c>
      <c r="C77" s="15" t="s">
        <v>102</v>
      </c>
      <c r="D77" s="16" t="s">
        <v>297</v>
      </c>
      <c r="E77" s="17">
        <v>42457</v>
      </c>
      <c r="F77" s="18">
        <v>3600</v>
      </c>
      <c r="G77" s="7">
        <v>60</v>
      </c>
      <c r="H77" s="19">
        <f t="shared" si="6"/>
        <v>3540</v>
      </c>
    </row>
    <row r="78" spans="2:9" x14ac:dyDescent="0.25">
      <c r="B78" s="195">
        <v>4595</v>
      </c>
      <c r="C78" s="15" t="s">
        <v>102</v>
      </c>
      <c r="D78" s="16" t="s">
        <v>306</v>
      </c>
      <c r="E78" s="17">
        <v>42457</v>
      </c>
      <c r="F78" s="18">
        <v>2058.75</v>
      </c>
      <c r="G78" s="7">
        <v>59.57</v>
      </c>
      <c r="H78" s="19">
        <f t="shared" si="6"/>
        <v>1999.18</v>
      </c>
    </row>
    <row r="79" spans="2:9" x14ac:dyDescent="0.25">
      <c r="B79" s="195">
        <v>4598</v>
      </c>
      <c r="C79" s="15" t="s">
        <v>102</v>
      </c>
      <c r="D79" s="16" t="s">
        <v>308</v>
      </c>
      <c r="E79" s="17">
        <v>42458</v>
      </c>
      <c r="F79" s="18">
        <v>408</v>
      </c>
      <c r="G79" s="7">
        <v>49.38</v>
      </c>
      <c r="H79" s="19">
        <f t="shared" si="6"/>
        <v>358.62</v>
      </c>
      <c r="I79" s="58"/>
    </row>
    <row r="80" spans="2:9" x14ac:dyDescent="0.25">
      <c r="B80" s="195" t="s">
        <v>83</v>
      </c>
      <c r="C80" s="15" t="s">
        <v>102</v>
      </c>
      <c r="D80" s="16" t="s">
        <v>295</v>
      </c>
      <c r="E80" s="17">
        <v>42458</v>
      </c>
      <c r="F80" s="18">
        <v>400</v>
      </c>
      <c r="G80" s="7">
        <v>70</v>
      </c>
      <c r="H80" s="19">
        <f t="shared" si="6"/>
        <v>330</v>
      </c>
      <c r="I80" s="58"/>
    </row>
    <row r="81" spans="2:10" x14ac:dyDescent="0.25">
      <c r="B81" s="195">
        <v>1274</v>
      </c>
      <c r="C81" s="15" t="s">
        <v>102</v>
      </c>
      <c r="D81" s="16" t="s">
        <v>255</v>
      </c>
      <c r="E81" s="17">
        <v>42459</v>
      </c>
      <c r="F81" s="18">
        <v>805.96</v>
      </c>
      <c r="G81" s="7"/>
      <c r="H81" s="19">
        <f t="shared" si="6"/>
        <v>805.96</v>
      </c>
      <c r="I81" s="58"/>
    </row>
    <row r="82" spans="2:10" x14ac:dyDescent="0.25">
      <c r="B82" s="195">
        <v>1275</v>
      </c>
      <c r="C82" s="15" t="s">
        <v>102</v>
      </c>
      <c r="D82" s="16" t="s">
        <v>255</v>
      </c>
      <c r="E82" s="17">
        <v>42459</v>
      </c>
      <c r="F82" s="18">
        <v>551.62</v>
      </c>
      <c r="G82" s="175">
        <v>41.11</v>
      </c>
      <c r="H82" s="19">
        <f t="shared" si="6"/>
        <v>510.51</v>
      </c>
      <c r="I82" s="58"/>
    </row>
    <row r="83" spans="2:10" x14ac:dyDescent="0.25">
      <c r="B83" s="195">
        <v>4603</v>
      </c>
      <c r="C83" s="15" t="s">
        <v>102</v>
      </c>
      <c r="D83" s="16" t="s">
        <v>309</v>
      </c>
      <c r="E83" s="17">
        <v>42459</v>
      </c>
      <c r="F83" s="18">
        <v>737.62</v>
      </c>
      <c r="G83" s="7">
        <v>41.7</v>
      </c>
      <c r="H83" s="19">
        <f t="shared" si="6"/>
        <v>695.92</v>
      </c>
      <c r="I83" s="58"/>
    </row>
    <row r="84" spans="2:10" x14ac:dyDescent="0.25">
      <c r="B84" s="195">
        <v>4606</v>
      </c>
      <c r="C84" s="15" t="s">
        <v>102</v>
      </c>
      <c r="D84" s="16" t="s">
        <v>312</v>
      </c>
      <c r="E84" s="17">
        <v>42459</v>
      </c>
      <c r="F84" s="18">
        <v>101.8</v>
      </c>
      <c r="G84" s="7">
        <v>52.9</v>
      </c>
      <c r="H84" s="19">
        <f t="shared" si="6"/>
        <v>48.9</v>
      </c>
      <c r="I84" s="58"/>
    </row>
    <row r="85" spans="2:10" ht="15" thickBot="1" x14ac:dyDescent="0.3">
      <c r="B85" s="195">
        <v>4611</v>
      </c>
      <c r="C85" s="15" t="s">
        <v>102</v>
      </c>
      <c r="D85" s="16" t="s">
        <v>313</v>
      </c>
      <c r="E85" s="17">
        <v>42460</v>
      </c>
      <c r="F85" s="18">
        <v>19900</v>
      </c>
      <c r="G85" s="7"/>
      <c r="H85" s="19">
        <f t="shared" si="6"/>
        <v>19900</v>
      </c>
    </row>
    <row r="86" spans="2:10" ht="15" thickBot="1" x14ac:dyDescent="0.3">
      <c r="B86" s="201"/>
      <c r="C86" s="3"/>
      <c r="D86" s="4"/>
      <c r="E86" s="61"/>
      <c r="F86" s="62">
        <f>SUM(F61:F85)</f>
        <v>78664.850000000006</v>
      </c>
      <c r="G86" s="36">
        <f>SUM(G61:G85)</f>
        <v>827.88000000000011</v>
      </c>
      <c r="H86" s="63">
        <f>SUM(H61:H85)</f>
        <v>77836.97</v>
      </c>
      <c r="J86" s="54"/>
    </row>
    <row r="87" spans="2:10" x14ac:dyDescent="0.25">
      <c r="B87" s="204"/>
      <c r="C87" s="3"/>
      <c r="D87" s="65"/>
      <c r="E87" s="38" t="s">
        <v>8</v>
      </c>
      <c r="F87" s="39">
        <f>TOTAL!E10</f>
        <v>45000</v>
      </c>
      <c r="G87" s="40" t="s">
        <v>9</v>
      </c>
      <c r="H87" s="41">
        <f>H86/F87%</f>
        <v>172.97104444444446</v>
      </c>
      <c r="I87" s="58" t="s">
        <v>10</v>
      </c>
    </row>
    <row r="88" spans="2:10" ht="15" thickBot="1" x14ac:dyDescent="0.3">
      <c r="B88" s="202"/>
      <c r="C88" s="43"/>
      <c r="D88" s="44"/>
      <c r="E88" s="45"/>
      <c r="F88" s="67"/>
      <c r="G88" s="47"/>
      <c r="H88" s="48"/>
      <c r="I88" s="14"/>
    </row>
    <row r="89" spans="2:10" ht="18.75" thickTop="1" x14ac:dyDescent="0.25">
      <c r="B89" s="198" t="s">
        <v>49</v>
      </c>
      <c r="C89" s="49"/>
      <c r="D89" s="4"/>
      <c r="E89" s="5"/>
      <c r="F89" s="6"/>
      <c r="G89" s="7"/>
      <c r="H89" s="50"/>
      <c r="I89" s="14"/>
    </row>
    <row r="90" spans="2:10" x14ac:dyDescent="0.25">
      <c r="B90" s="199" t="s">
        <v>1</v>
      </c>
      <c r="C90" s="9" t="s">
        <v>2</v>
      </c>
      <c r="D90" s="10" t="s">
        <v>3</v>
      </c>
      <c r="E90" s="11" t="s">
        <v>4</v>
      </c>
      <c r="F90" s="12" t="s">
        <v>5</v>
      </c>
      <c r="G90" s="7" t="s">
        <v>12</v>
      </c>
      <c r="H90" s="13" t="s">
        <v>7</v>
      </c>
      <c r="I90" s="14"/>
    </row>
    <row r="91" spans="2:10" s="14" customFormat="1" x14ac:dyDescent="0.25">
      <c r="B91" s="185" t="s">
        <v>83</v>
      </c>
      <c r="C91" s="141" t="s">
        <v>84</v>
      </c>
      <c r="D91" s="16" t="s">
        <v>232</v>
      </c>
      <c r="E91" s="17">
        <v>42398</v>
      </c>
      <c r="F91" s="18">
        <v>290</v>
      </c>
      <c r="G91" s="7"/>
      <c r="H91" s="19">
        <f t="shared" ref="H91:H122" si="7">F91-G91</f>
        <v>290</v>
      </c>
      <c r="J91" s="68"/>
    </row>
    <row r="92" spans="2:10" s="14" customFormat="1" x14ac:dyDescent="0.25">
      <c r="B92" s="194">
        <v>1109</v>
      </c>
      <c r="C92" s="141" t="s">
        <v>86</v>
      </c>
      <c r="D92" s="16" t="s">
        <v>152</v>
      </c>
      <c r="E92" s="17">
        <v>42432</v>
      </c>
      <c r="F92" s="18">
        <v>16435</v>
      </c>
      <c r="G92" s="7"/>
      <c r="H92" s="19">
        <f t="shared" si="7"/>
        <v>16435</v>
      </c>
    </row>
    <row r="93" spans="2:10" s="14" customFormat="1" x14ac:dyDescent="0.25">
      <c r="B93" s="194">
        <v>1110</v>
      </c>
      <c r="C93" s="141" t="s">
        <v>86</v>
      </c>
      <c r="D93" s="16" t="s">
        <v>152</v>
      </c>
      <c r="E93" s="17">
        <v>42432</v>
      </c>
      <c r="F93" s="18">
        <v>2643</v>
      </c>
      <c r="G93" s="7"/>
      <c r="H93" s="19">
        <f t="shared" si="7"/>
        <v>2643</v>
      </c>
    </row>
    <row r="94" spans="2:10" s="14" customFormat="1" x14ac:dyDescent="0.25">
      <c r="B94" s="185">
        <v>78</v>
      </c>
      <c r="C94" s="21" t="s">
        <v>86</v>
      </c>
      <c r="D94" s="20" t="s">
        <v>173</v>
      </c>
      <c r="E94" s="28">
        <v>42433</v>
      </c>
      <c r="F94" s="125">
        <v>462.9</v>
      </c>
      <c r="G94" s="7"/>
      <c r="H94" s="19">
        <f t="shared" si="7"/>
        <v>462.9</v>
      </c>
      <c r="I94" s="1"/>
    </row>
    <row r="95" spans="2:10" s="14" customFormat="1" x14ac:dyDescent="0.25">
      <c r="B95" s="185">
        <v>79</v>
      </c>
      <c r="C95" s="21" t="s">
        <v>95</v>
      </c>
      <c r="D95" s="20" t="s">
        <v>235</v>
      </c>
      <c r="E95" s="28">
        <v>42433</v>
      </c>
      <c r="F95" s="125">
        <v>550</v>
      </c>
      <c r="G95" s="7"/>
      <c r="H95" s="19">
        <f t="shared" si="7"/>
        <v>550</v>
      </c>
      <c r="I95" s="1"/>
    </row>
    <row r="96" spans="2:10" s="14" customFormat="1" x14ac:dyDescent="0.25">
      <c r="B96" s="185">
        <v>80</v>
      </c>
      <c r="C96" s="21" t="s">
        <v>86</v>
      </c>
      <c r="D96" s="20" t="s">
        <v>236</v>
      </c>
      <c r="E96" s="28">
        <v>42433</v>
      </c>
      <c r="F96" s="125">
        <v>3580</v>
      </c>
      <c r="G96" s="7"/>
      <c r="H96" s="19">
        <f t="shared" si="7"/>
        <v>3580</v>
      </c>
      <c r="I96" s="1"/>
    </row>
    <row r="97" spans="2:10" x14ac:dyDescent="0.25">
      <c r="B97" s="185">
        <v>81</v>
      </c>
      <c r="C97" s="21" t="s">
        <v>86</v>
      </c>
      <c r="D97" s="20" t="s">
        <v>237</v>
      </c>
      <c r="E97" s="28">
        <v>42433</v>
      </c>
      <c r="F97" s="125">
        <v>220</v>
      </c>
      <c r="G97" s="7"/>
      <c r="H97" s="19">
        <f t="shared" si="7"/>
        <v>220</v>
      </c>
    </row>
    <row r="98" spans="2:10" x14ac:dyDescent="0.25">
      <c r="B98" s="185">
        <v>82</v>
      </c>
      <c r="C98" s="21" t="s">
        <v>86</v>
      </c>
      <c r="D98" s="20" t="s">
        <v>238</v>
      </c>
      <c r="E98" s="28">
        <v>42433</v>
      </c>
      <c r="F98" s="125">
        <v>690</v>
      </c>
      <c r="G98" s="7"/>
      <c r="H98" s="19">
        <f t="shared" si="7"/>
        <v>690</v>
      </c>
    </row>
    <row r="99" spans="2:10" x14ac:dyDescent="0.25">
      <c r="B99" s="194">
        <v>1111</v>
      </c>
      <c r="C99" s="141" t="s">
        <v>86</v>
      </c>
      <c r="D99" s="16" t="s">
        <v>233</v>
      </c>
      <c r="E99" s="17">
        <v>42433</v>
      </c>
      <c r="F99" s="18">
        <v>780</v>
      </c>
      <c r="G99" s="7"/>
      <c r="H99" s="19">
        <f t="shared" si="7"/>
        <v>780</v>
      </c>
      <c r="J99" s="54"/>
    </row>
    <row r="100" spans="2:10" x14ac:dyDescent="0.25">
      <c r="B100" s="185">
        <v>1112</v>
      </c>
      <c r="C100" s="21" t="s">
        <v>86</v>
      </c>
      <c r="D100" s="20" t="s">
        <v>210</v>
      </c>
      <c r="E100" s="28">
        <v>42433</v>
      </c>
      <c r="F100" s="125">
        <v>812.55</v>
      </c>
      <c r="G100" s="7"/>
      <c r="H100" s="19">
        <f t="shared" si="7"/>
        <v>812.55</v>
      </c>
      <c r="J100" s="54"/>
    </row>
    <row r="101" spans="2:10" x14ac:dyDescent="0.25">
      <c r="B101" s="185" t="s">
        <v>83</v>
      </c>
      <c r="C101" s="141" t="s">
        <v>84</v>
      </c>
      <c r="D101" s="141" t="s">
        <v>231</v>
      </c>
      <c r="E101" s="23">
        <v>42433</v>
      </c>
      <c r="F101" s="26">
        <v>290</v>
      </c>
      <c r="G101" s="7"/>
      <c r="H101" s="19">
        <f t="shared" si="7"/>
        <v>290</v>
      </c>
      <c r="J101" s="54"/>
    </row>
    <row r="102" spans="2:10" x14ac:dyDescent="0.25">
      <c r="B102" s="185">
        <v>83</v>
      </c>
      <c r="C102" s="21" t="s">
        <v>86</v>
      </c>
      <c r="D102" s="20" t="s">
        <v>246</v>
      </c>
      <c r="E102" s="28">
        <v>42436</v>
      </c>
      <c r="F102" s="125">
        <v>430</v>
      </c>
      <c r="G102" s="7"/>
      <c r="H102" s="19">
        <f t="shared" si="7"/>
        <v>430</v>
      </c>
      <c r="J102" s="54"/>
    </row>
    <row r="103" spans="2:10" x14ac:dyDescent="0.25">
      <c r="B103" s="185">
        <v>85</v>
      </c>
      <c r="C103" s="21" t="s">
        <v>86</v>
      </c>
      <c r="D103" s="20" t="s">
        <v>247</v>
      </c>
      <c r="E103" s="28">
        <v>42439</v>
      </c>
      <c r="F103" s="6">
        <v>550</v>
      </c>
      <c r="G103" s="7"/>
      <c r="H103" s="19">
        <f t="shared" si="7"/>
        <v>550</v>
      </c>
      <c r="J103" s="54"/>
    </row>
    <row r="104" spans="2:10" x14ac:dyDescent="0.25">
      <c r="B104" s="185">
        <v>86</v>
      </c>
      <c r="C104" s="21" t="s">
        <v>95</v>
      </c>
      <c r="D104" s="20" t="s">
        <v>248</v>
      </c>
      <c r="E104" s="28">
        <v>42439</v>
      </c>
      <c r="F104" s="6">
        <v>990</v>
      </c>
      <c r="G104" s="7"/>
      <c r="H104" s="19">
        <f t="shared" si="7"/>
        <v>990</v>
      </c>
      <c r="J104" s="54"/>
    </row>
    <row r="105" spans="2:10" x14ac:dyDescent="0.25">
      <c r="B105" s="185">
        <v>87</v>
      </c>
      <c r="C105" s="221" t="s">
        <v>86</v>
      </c>
      <c r="D105" s="226" t="s">
        <v>249</v>
      </c>
      <c r="E105" s="227">
        <v>42439</v>
      </c>
      <c r="F105" s="228">
        <v>652.9</v>
      </c>
      <c r="G105" s="7"/>
      <c r="H105" s="19">
        <f t="shared" si="7"/>
        <v>652.9</v>
      </c>
      <c r="J105" s="54"/>
    </row>
    <row r="106" spans="2:10" x14ac:dyDescent="0.25">
      <c r="B106" s="185">
        <v>88</v>
      </c>
      <c r="C106" s="21" t="s">
        <v>84</v>
      </c>
      <c r="D106" s="20" t="s">
        <v>250</v>
      </c>
      <c r="E106" s="28">
        <v>42439</v>
      </c>
      <c r="F106" s="6">
        <v>290</v>
      </c>
      <c r="G106" s="7"/>
      <c r="H106" s="19">
        <f t="shared" si="7"/>
        <v>290</v>
      </c>
      <c r="J106" s="54"/>
    </row>
    <row r="107" spans="2:10" x14ac:dyDescent="0.25">
      <c r="B107" s="185">
        <v>89</v>
      </c>
      <c r="C107" s="21" t="s">
        <v>86</v>
      </c>
      <c r="D107" s="20" t="s">
        <v>160</v>
      </c>
      <c r="E107" s="28">
        <v>42439</v>
      </c>
      <c r="F107" s="6">
        <v>590</v>
      </c>
      <c r="G107" s="7"/>
      <c r="H107" s="19">
        <f t="shared" si="7"/>
        <v>590</v>
      </c>
      <c r="J107" s="54"/>
    </row>
    <row r="108" spans="2:10" x14ac:dyDescent="0.25">
      <c r="B108" s="185">
        <v>90</v>
      </c>
      <c r="C108" s="21" t="s">
        <v>86</v>
      </c>
      <c r="D108" s="20" t="s">
        <v>242</v>
      </c>
      <c r="E108" s="28">
        <v>42440</v>
      </c>
      <c r="F108" s="6">
        <v>430</v>
      </c>
      <c r="G108" s="7"/>
      <c r="H108" s="19">
        <f t="shared" si="7"/>
        <v>430</v>
      </c>
      <c r="J108" s="54"/>
    </row>
    <row r="109" spans="2:10" x14ac:dyDescent="0.25">
      <c r="B109" s="185">
        <v>91</v>
      </c>
      <c r="C109" s="221" t="s">
        <v>86</v>
      </c>
      <c r="D109" s="226" t="s">
        <v>251</v>
      </c>
      <c r="E109" s="227">
        <v>42440</v>
      </c>
      <c r="F109" s="228">
        <v>558.4</v>
      </c>
      <c r="G109" s="7"/>
      <c r="H109" s="19">
        <f t="shared" si="7"/>
        <v>558.4</v>
      </c>
      <c r="J109" s="54"/>
    </row>
    <row r="110" spans="2:10" x14ac:dyDescent="0.25">
      <c r="B110" s="185">
        <v>92</v>
      </c>
      <c r="C110" s="21" t="s">
        <v>86</v>
      </c>
      <c r="D110" s="20" t="s">
        <v>252</v>
      </c>
      <c r="E110" s="28">
        <v>42440</v>
      </c>
      <c r="F110" s="6">
        <v>615</v>
      </c>
      <c r="G110" s="7"/>
      <c r="H110" s="19">
        <f t="shared" si="7"/>
        <v>615</v>
      </c>
      <c r="J110" s="54"/>
    </row>
    <row r="111" spans="2:10" x14ac:dyDescent="0.25">
      <c r="B111" s="185">
        <v>93</v>
      </c>
      <c r="C111" s="21" t="s">
        <v>84</v>
      </c>
      <c r="D111" s="20" t="s">
        <v>250</v>
      </c>
      <c r="E111" s="28">
        <v>42440</v>
      </c>
      <c r="F111" s="6">
        <v>290</v>
      </c>
      <c r="G111" s="7"/>
      <c r="H111" s="19">
        <f t="shared" si="7"/>
        <v>290</v>
      </c>
      <c r="J111" s="54"/>
    </row>
    <row r="112" spans="2:10" x14ac:dyDescent="0.25">
      <c r="B112" s="185">
        <v>94</v>
      </c>
      <c r="C112" s="21" t="s">
        <v>95</v>
      </c>
      <c r="D112" s="20" t="s">
        <v>253</v>
      </c>
      <c r="E112" s="28">
        <v>42440</v>
      </c>
      <c r="F112" s="6">
        <v>790</v>
      </c>
      <c r="G112" s="7"/>
      <c r="H112" s="19">
        <f t="shared" si="7"/>
        <v>790</v>
      </c>
      <c r="J112" s="54"/>
    </row>
    <row r="113" spans="2:10" x14ac:dyDescent="0.25">
      <c r="B113" s="185">
        <v>95</v>
      </c>
      <c r="C113" s="221" t="s">
        <v>86</v>
      </c>
      <c r="D113" s="226" t="s">
        <v>254</v>
      </c>
      <c r="E113" s="227">
        <v>42440</v>
      </c>
      <c r="F113" s="228">
        <v>952.2</v>
      </c>
      <c r="G113" s="7"/>
      <c r="H113" s="19">
        <f t="shared" si="7"/>
        <v>952.2</v>
      </c>
      <c r="J113" s="54"/>
    </row>
    <row r="114" spans="2:10" x14ac:dyDescent="0.25">
      <c r="B114" s="185">
        <v>1113</v>
      </c>
      <c r="C114" s="21" t="s">
        <v>86</v>
      </c>
      <c r="D114" s="20" t="s">
        <v>152</v>
      </c>
      <c r="E114" s="28">
        <v>42440</v>
      </c>
      <c r="F114" s="125">
        <v>4115</v>
      </c>
      <c r="G114" s="7"/>
      <c r="H114" s="19">
        <f t="shared" si="7"/>
        <v>4115</v>
      </c>
      <c r="J114" s="54"/>
    </row>
    <row r="115" spans="2:10" x14ac:dyDescent="0.25">
      <c r="B115" s="185" t="s">
        <v>83</v>
      </c>
      <c r="C115" s="21" t="s">
        <v>84</v>
      </c>
      <c r="D115" s="20" t="s">
        <v>244</v>
      </c>
      <c r="E115" s="28">
        <v>42440</v>
      </c>
      <c r="F115" s="125">
        <v>290</v>
      </c>
      <c r="G115" s="7"/>
      <c r="H115" s="19">
        <f t="shared" si="7"/>
        <v>290</v>
      </c>
      <c r="J115" s="54"/>
    </row>
    <row r="116" spans="2:10" x14ac:dyDescent="0.25">
      <c r="B116" s="185" t="s">
        <v>168</v>
      </c>
      <c r="C116" s="21" t="s">
        <v>84</v>
      </c>
      <c r="D116" s="20" t="s">
        <v>245</v>
      </c>
      <c r="E116" s="28">
        <v>42440</v>
      </c>
      <c r="F116" s="125">
        <v>290</v>
      </c>
      <c r="G116" s="7"/>
      <c r="H116" s="19">
        <f t="shared" si="7"/>
        <v>290</v>
      </c>
      <c r="J116" s="54"/>
    </row>
    <row r="117" spans="2:10" x14ac:dyDescent="0.25">
      <c r="B117" s="185">
        <v>96</v>
      </c>
      <c r="C117" s="21" t="s">
        <v>86</v>
      </c>
      <c r="D117" s="20" t="s">
        <v>272</v>
      </c>
      <c r="E117" s="28">
        <v>42444</v>
      </c>
      <c r="F117" s="6">
        <v>730</v>
      </c>
      <c r="G117" s="7"/>
      <c r="H117" s="19">
        <f t="shared" si="7"/>
        <v>730</v>
      </c>
      <c r="J117" s="54"/>
    </row>
    <row r="118" spans="2:10" x14ac:dyDescent="0.25">
      <c r="B118" s="185">
        <v>97</v>
      </c>
      <c r="C118" s="21" t="s">
        <v>84</v>
      </c>
      <c r="D118" s="20" t="s">
        <v>273</v>
      </c>
      <c r="E118" s="28">
        <v>42444</v>
      </c>
      <c r="F118" s="6">
        <v>290</v>
      </c>
      <c r="G118" s="7"/>
      <c r="H118" s="19">
        <f t="shared" si="7"/>
        <v>290</v>
      </c>
      <c r="J118" s="54"/>
    </row>
    <row r="119" spans="2:10" x14ac:dyDescent="0.25">
      <c r="B119" s="185">
        <v>98</v>
      </c>
      <c r="C119" s="21" t="s">
        <v>86</v>
      </c>
      <c r="D119" s="20" t="s">
        <v>243</v>
      </c>
      <c r="E119" s="28">
        <v>42444</v>
      </c>
      <c r="F119" s="6">
        <v>710</v>
      </c>
      <c r="G119" s="7"/>
      <c r="H119" s="19">
        <f t="shared" si="7"/>
        <v>710</v>
      </c>
      <c r="J119" s="54"/>
    </row>
    <row r="120" spans="2:10" x14ac:dyDescent="0.25">
      <c r="B120" s="185">
        <v>99</v>
      </c>
      <c r="C120" s="21" t="s">
        <v>86</v>
      </c>
      <c r="D120" s="20" t="s">
        <v>268</v>
      </c>
      <c r="E120" s="28">
        <v>42444</v>
      </c>
      <c r="F120" s="6">
        <v>550</v>
      </c>
      <c r="G120" s="7"/>
      <c r="H120" s="19">
        <f t="shared" si="7"/>
        <v>550</v>
      </c>
      <c r="J120" s="54"/>
    </row>
    <row r="121" spans="2:10" x14ac:dyDescent="0.25">
      <c r="B121" s="185">
        <v>100</v>
      </c>
      <c r="C121" s="21" t="s">
        <v>84</v>
      </c>
      <c r="D121" s="20" t="s">
        <v>274</v>
      </c>
      <c r="E121" s="28">
        <v>42444</v>
      </c>
      <c r="F121" s="6">
        <v>290</v>
      </c>
      <c r="G121" s="7"/>
      <c r="H121" s="19">
        <f t="shared" si="7"/>
        <v>290</v>
      </c>
      <c r="J121" s="54"/>
    </row>
    <row r="122" spans="2:10" x14ac:dyDescent="0.25">
      <c r="B122" s="185">
        <v>101</v>
      </c>
      <c r="C122" s="21" t="s">
        <v>86</v>
      </c>
      <c r="D122" s="20" t="s">
        <v>275</v>
      </c>
      <c r="E122" s="28">
        <v>42444</v>
      </c>
      <c r="F122" s="6">
        <v>990</v>
      </c>
      <c r="G122" s="7"/>
      <c r="H122" s="19">
        <f t="shared" si="7"/>
        <v>990</v>
      </c>
      <c r="J122" s="54"/>
    </row>
    <row r="123" spans="2:10" x14ac:dyDescent="0.25">
      <c r="B123" s="185" t="s">
        <v>83</v>
      </c>
      <c r="C123" s="21" t="s">
        <v>84</v>
      </c>
      <c r="D123" s="20" t="s">
        <v>264</v>
      </c>
      <c r="E123" s="28">
        <v>42444</v>
      </c>
      <c r="F123" s="6">
        <v>290</v>
      </c>
      <c r="G123" s="7"/>
      <c r="H123" s="19">
        <f t="shared" ref="H123:H145" si="8">F123-G123</f>
        <v>290</v>
      </c>
      <c r="J123" s="54"/>
    </row>
    <row r="124" spans="2:10" x14ac:dyDescent="0.25">
      <c r="B124" s="185">
        <v>103</v>
      </c>
      <c r="C124" s="21" t="s">
        <v>86</v>
      </c>
      <c r="D124" s="20" t="s">
        <v>269</v>
      </c>
      <c r="E124" s="28">
        <v>42447</v>
      </c>
      <c r="F124" s="6">
        <v>590</v>
      </c>
      <c r="G124" s="7"/>
      <c r="H124" s="19">
        <f t="shared" si="8"/>
        <v>590</v>
      </c>
    </row>
    <row r="125" spans="2:10" x14ac:dyDescent="0.25">
      <c r="B125" s="185">
        <v>104</v>
      </c>
      <c r="C125" s="21" t="s">
        <v>84</v>
      </c>
      <c r="D125" s="20" t="s">
        <v>278</v>
      </c>
      <c r="E125" s="28">
        <v>42447</v>
      </c>
      <c r="F125" s="6">
        <v>290</v>
      </c>
      <c r="G125" s="7"/>
      <c r="H125" s="19">
        <f t="shared" si="8"/>
        <v>290</v>
      </c>
    </row>
    <row r="126" spans="2:10" x14ac:dyDescent="0.25">
      <c r="B126" s="185">
        <v>105</v>
      </c>
      <c r="C126" s="21" t="s">
        <v>86</v>
      </c>
      <c r="D126" s="20" t="s">
        <v>279</v>
      </c>
      <c r="E126" s="28">
        <v>42447</v>
      </c>
      <c r="F126" s="6">
        <v>430</v>
      </c>
      <c r="G126" s="7"/>
      <c r="H126" s="19">
        <f t="shared" si="8"/>
        <v>430</v>
      </c>
    </row>
    <row r="127" spans="2:10" x14ac:dyDescent="0.25">
      <c r="B127" s="185">
        <v>106</v>
      </c>
      <c r="C127" s="21" t="s">
        <v>86</v>
      </c>
      <c r="D127" s="20" t="s">
        <v>280</v>
      </c>
      <c r="E127" s="28">
        <v>42447</v>
      </c>
      <c r="F127" s="6">
        <v>290</v>
      </c>
      <c r="G127" s="7"/>
      <c r="H127" s="19">
        <f t="shared" si="8"/>
        <v>290</v>
      </c>
    </row>
    <row r="128" spans="2:10" x14ac:dyDescent="0.25">
      <c r="B128" s="185">
        <v>107</v>
      </c>
      <c r="C128" s="21" t="s">
        <v>84</v>
      </c>
      <c r="D128" s="20" t="s">
        <v>253</v>
      </c>
      <c r="E128" s="28">
        <v>42447</v>
      </c>
      <c r="F128" s="6">
        <v>290</v>
      </c>
      <c r="G128" s="7"/>
      <c r="H128" s="19">
        <f t="shared" si="8"/>
        <v>290</v>
      </c>
    </row>
    <row r="129" spans="2:8" x14ac:dyDescent="0.25">
      <c r="B129" s="185">
        <v>108</v>
      </c>
      <c r="C129" s="21" t="s">
        <v>86</v>
      </c>
      <c r="D129" s="20" t="s">
        <v>281</v>
      </c>
      <c r="E129" s="28">
        <v>42447</v>
      </c>
      <c r="F129" s="6">
        <v>290</v>
      </c>
      <c r="G129" s="7"/>
      <c r="H129" s="19">
        <f t="shared" si="8"/>
        <v>290</v>
      </c>
    </row>
    <row r="130" spans="2:8" x14ac:dyDescent="0.25">
      <c r="B130" s="185" t="s">
        <v>83</v>
      </c>
      <c r="C130" s="21" t="s">
        <v>84</v>
      </c>
      <c r="D130" s="20" t="s">
        <v>277</v>
      </c>
      <c r="E130" s="28">
        <v>42447</v>
      </c>
      <c r="F130" s="6">
        <v>290</v>
      </c>
      <c r="G130" s="7"/>
      <c r="H130" s="19">
        <f t="shared" si="8"/>
        <v>290</v>
      </c>
    </row>
    <row r="131" spans="2:8" x14ac:dyDescent="0.25">
      <c r="B131" s="185" t="s">
        <v>83</v>
      </c>
      <c r="C131" s="21" t="s">
        <v>84</v>
      </c>
      <c r="D131" s="20" t="s">
        <v>282</v>
      </c>
      <c r="E131" s="28">
        <v>42450</v>
      </c>
      <c r="F131" s="6">
        <v>290</v>
      </c>
      <c r="G131" s="7"/>
      <c r="H131" s="19">
        <f t="shared" si="8"/>
        <v>290</v>
      </c>
    </row>
    <row r="132" spans="2:8" x14ac:dyDescent="0.25">
      <c r="B132" s="185">
        <v>109</v>
      </c>
      <c r="C132" s="21" t="s">
        <v>95</v>
      </c>
      <c r="D132" s="20" t="s">
        <v>240</v>
      </c>
      <c r="E132" s="28">
        <v>42451</v>
      </c>
      <c r="F132" s="6">
        <v>490</v>
      </c>
      <c r="G132" s="7"/>
      <c r="H132" s="19">
        <f t="shared" si="8"/>
        <v>490</v>
      </c>
    </row>
    <row r="133" spans="2:8" x14ac:dyDescent="0.25">
      <c r="B133" s="185">
        <v>110</v>
      </c>
      <c r="C133" s="21" t="s">
        <v>95</v>
      </c>
      <c r="D133" s="20" t="s">
        <v>283</v>
      </c>
      <c r="E133" s="28">
        <v>42451</v>
      </c>
      <c r="F133" s="6">
        <v>430</v>
      </c>
      <c r="G133" s="7"/>
      <c r="H133" s="19">
        <f t="shared" si="8"/>
        <v>430</v>
      </c>
    </row>
    <row r="134" spans="2:8" x14ac:dyDescent="0.25">
      <c r="B134" s="185">
        <v>111</v>
      </c>
      <c r="C134" s="21" t="s">
        <v>84</v>
      </c>
      <c r="D134" s="20" t="s">
        <v>284</v>
      </c>
      <c r="E134" s="28">
        <v>42451</v>
      </c>
      <c r="F134" s="6">
        <v>290</v>
      </c>
      <c r="G134" s="7"/>
      <c r="H134" s="19">
        <f t="shared" si="8"/>
        <v>290</v>
      </c>
    </row>
    <row r="135" spans="2:8" x14ac:dyDescent="0.25">
      <c r="B135" s="185">
        <v>112</v>
      </c>
      <c r="C135" s="21" t="s">
        <v>86</v>
      </c>
      <c r="D135" s="20" t="s">
        <v>285</v>
      </c>
      <c r="E135" s="28">
        <v>42451</v>
      </c>
      <c r="F135" s="6">
        <v>1000</v>
      </c>
      <c r="G135" s="7"/>
      <c r="H135" s="19">
        <f t="shared" si="8"/>
        <v>1000</v>
      </c>
    </row>
    <row r="136" spans="2:8" x14ac:dyDescent="0.25">
      <c r="B136" s="185">
        <v>113</v>
      </c>
      <c r="C136" s="21" t="s">
        <v>86</v>
      </c>
      <c r="D136" s="20" t="s">
        <v>286</v>
      </c>
      <c r="E136" s="28">
        <v>42451</v>
      </c>
      <c r="F136" s="6">
        <v>569.9</v>
      </c>
      <c r="G136" s="7"/>
      <c r="H136" s="19">
        <f t="shared" si="8"/>
        <v>569.9</v>
      </c>
    </row>
    <row r="137" spans="2:8" x14ac:dyDescent="0.25">
      <c r="B137" s="185">
        <v>114</v>
      </c>
      <c r="C137" s="21" t="s">
        <v>95</v>
      </c>
      <c r="D137" s="20" t="s">
        <v>287</v>
      </c>
      <c r="E137" s="28">
        <v>42451</v>
      </c>
      <c r="F137" s="6">
        <v>1190</v>
      </c>
      <c r="G137" s="7"/>
      <c r="H137" s="19">
        <f t="shared" si="8"/>
        <v>1190</v>
      </c>
    </row>
    <row r="138" spans="2:8" x14ac:dyDescent="0.25">
      <c r="B138" s="185">
        <v>115</v>
      </c>
      <c r="C138" s="21" t="s">
        <v>86</v>
      </c>
      <c r="D138" s="20" t="s">
        <v>288</v>
      </c>
      <c r="E138" s="28">
        <v>42452</v>
      </c>
      <c r="F138" s="6">
        <v>730</v>
      </c>
      <c r="G138" s="7"/>
      <c r="H138" s="19">
        <f t="shared" si="8"/>
        <v>730</v>
      </c>
    </row>
    <row r="139" spans="2:8" x14ac:dyDescent="0.25">
      <c r="B139" s="185">
        <v>119</v>
      </c>
      <c r="C139" s="21" t="s">
        <v>86</v>
      </c>
      <c r="D139" s="20" t="s">
        <v>298</v>
      </c>
      <c r="E139" s="28">
        <v>42457</v>
      </c>
      <c r="F139" s="6">
        <v>842.9</v>
      </c>
      <c r="G139" s="7"/>
      <c r="H139" s="19">
        <f t="shared" si="8"/>
        <v>842.9</v>
      </c>
    </row>
    <row r="140" spans="2:8" x14ac:dyDescent="0.25">
      <c r="B140" s="185">
        <v>120</v>
      </c>
      <c r="C140" s="21" t="s">
        <v>95</v>
      </c>
      <c r="D140" s="20" t="s">
        <v>299</v>
      </c>
      <c r="E140" s="28">
        <v>42457</v>
      </c>
      <c r="F140" s="6">
        <v>430</v>
      </c>
      <c r="G140" s="7"/>
      <c r="H140" s="19">
        <f t="shared" si="8"/>
        <v>430</v>
      </c>
    </row>
    <row r="141" spans="2:8" x14ac:dyDescent="0.25">
      <c r="B141" s="185">
        <v>121</v>
      </c>
      <c r="C141" s="21" t="s">
        <v>86</v>
      </c>
      <c r="D141" s="20" t="s">
        <v>300</v>
      </c>
      <c r="E141" s="28">
        <v>42457</v>
      </c>
      <c r="F141" s="6">
        <v>980</v>
      </c>
      <c r="G141" s="7"/>
      <c r="H141" s="19">
        <f t="shared" si="8"/>
        <v>980</v>
      </c>
    </row>
    <row r="142" spans="2:8" x14ac:dyDescent="0.25">
      <c r="B142" s="185">
        <v>122</v>
      </c>
      <c r="C142" s="21" t="s">
        <v>95</v>
      </c>
      <c r="D142" s="20" t="s">
        <v>186</v>
      </c>
      <c r="E142" s="28">
        <v>42459</v>
      </c>
      <c r="F142" s="6">
        <v>550</v>
      </c>
      <c r="G142" s="7"/>
      <c r="H142" s="19">
        <f t="shared" si="8"/>
        <v>550</v>
      </c>
    </row>
    <row r="143" spans="2:8" x14ac:dyDescent="0.25">
      <c r="B143" s="185">
        <v>123</v>
      </c>
      <c r="C143" s="21" t="s">
        <v>86</v>
      </c>
      <c r="D143" s="20" t="s">
        <v>301</v>
      </c>
      <c r="E143" s="28">
        <v>42459</v>
      </c>
      <c r="F143" s="6">
        <v>550</v>
      </c>
      <c r="G143" s="7"/>
      <c r="H143" s="19">
        <f t="shared" si="8"/>
        <v>550</v>
      </c>
    </row>
    <row r="144" spans="2:8" x14ac:dyDescent="0.25">
      <c r="B144" s="185">
        <v>124</v>
      </c>
      <c r="C144" s="21" t="s">
        <v>95</v>
      </c>
      <c r="D144" s="20" t="s">
        <v>302</v>
      </c>
      <c r="E144" s="28">
        <v>42459</v>
      </c>
      <c r="F144" s="6">
        <v>430</v>
      </c>
      <c r="G144" s="7"/>
      <c r="H144" s="19">
        <f t="shared" si="8"/>
        <v>430</v>
      </c>
    </row>
    <row r="145" spans="2:10" x14ac:dyDescent="0.25">
      <c r="B145" s="185">
        <v>1114</v>
      </c>
      <c r="C145" s="21" t="s">
        <v>86</v>
      </c>
      <c r="D145" s="20" t="s">
        <v>296</v>
      </c>
      <c r="E145" s="28">
        <v>42459</v>
      </c>
      <c r="F145" s="6">
        <v>840</v>
      </c>
      <c r="G145" s="7"/>
      <c r="H145" s="19">
        <f t="shared" si="8"/>
        <v>840</v>
      </c>
    </row>
    <row r="146" spans="2:10" ht="15" thickBot="1" x14ac:dyDescent="0.3">
      <c r="B146" s="185"/>
      <c r="C146" s="21"/>
      <c r="D146" s="20"/>
      <c r="E146" s="28"/>
      <c r="F146" s="6"/>
      <c r="G146" s="7"/>
      <c r="H146" s="19">
        <f t="shared" ref="H146" si="9">F146-G146</f>
        <v>0</v>
      </c>
    </row>
    <row r="147" spans="2:10" ht="15" thickBot="1" x14ac:dyDescent="0.3">
      <c r="E147" s="70"/>
      <c r="F147" s="62">
        <f>SUM(F91:F146)</f>
        <v>54519.75</v>
      </c>
      <c r="G147" s="36"/>
      <c r="H147" s="63">
        <f>SUM(H91:H146)</f>
        <v>54519.75</v>
      </c>
    </row>
    <row r="148" spans="2:10" x14ac:dyDescent="0.25">
      <c r="E148" s="38" t="s">
        <v>8</v>
      </c>
      <c r="F148" s="39">
        <f>TOTAL!E11</f>
        <v>44000</v>
      </c>
      <c r="G148" s="40" t="s">
        <v>16</v>
      </c>
      <c r="H148" s="71">
        <f>H147/F148%</f>
        <v>123.90852272727273</v>
      </c>
      <c r="I148" s="58" t="s">
        <v>10</v>
      </c>
      <c r="J148" s="14"/>
    </row>
    <row r="149" spans="2:10" ht="15" thickBot="1" x14ac:dyDescent="0.3">
      <c r="E149" s="38"/>
      <c r="F149" s="39"/>
      <c r="G149" s="40"/>
      <c r="H149" s="71"/>
      <c r="I149" s="58"/>
      <c r="J149" s="14"/>
    </row>
    <row r="150" spans="2:10" ht="18.75" thickTop="1" x14ac:dyDescent="0.25">
      <c r="B150" s="207" t="s">
        <v>150</v>
      </c>
      <c r="C150" s="76"/>
      <c r="D150" s="83"/>
      <c r="E150" s="77"/>
      <c r="F150" s="77"/>
      <c r="G150" s="77"/>
      <c r="H150" s="77"/>
      <c r="I150" s="58"/>
    </row>
    <row r="151" spans="2:10" x14ac:dyDescent="0.25">
      <c r="B151" s="199" t="s">
        <v>1</v>
      </c>
      <c r="C151" s="9" t="s">
        <v>2</v>
      </c>
      <c r="D151" s="10" t="s">
        <v>3</v>
      </c>
      <c r="E151" s="225" t="s">
        <v>4</v>
      </c>
      <c r="F151" s="12" t="s">
        <v>5</v>
      </c>
      <c r="G151" s="7" t="s">
        <v>12</v>
      </c>
      <c r="H151" s="13" t="s">
        <v>7</v>
      </c>
      <c r="I151" s="58"/>
    </row>
    <row r="152" spans="2:10" x14ac:dyDescent="0.25">
      <c r="B152" s="182">
        <v>84</v>
      </c>
      <c r="C152" s="29" t="s">
        <v>151</v>
      </c>
      <c r="D152" s="30" t="s">
        <v>152</v>
      </c>
      <c r="E152" s="31">
        <v>42438</v>
      </c>
      <c r="F152" s="6">
        <v>28922.28</v>
      </c>
      <c r="G152" s="7"/>
      <c r="H152" s="19">
        <f t="shared" ref="H152:H155" si="10">F152-G152</f>
        <v>28922.28</v>
      </c>
      <c r="I152" s="58"/>
    </row>
    <row r="153" spans="2:10" x14ac:dyDescent="0.25">
      <c r="B153" s="182">
        <v>102</v>
      </c>
      <c r="C153" s="29" t="s">
        <v>151</v>
      </c>
      <c r="D153" s="30" t="s">
        <v>152</v>
      </c>
      <c r="E153" s="31">
        <v>42445</v>
      </c>
      <c r="F153" s="6">
        <v>47065.2</v>
      </c>
      <c r="G153" s="7"/>
      <c r="H153" s="19">
        <f t="shared" si="10"/>
        <v>47065.2</v>
      </c>
      <c r="I153" s="58"/>
    </row>
    <row r="154" spans="2:10" x14ac:dyDescent="0.25">
      <c r="B154" s="182"/>
      <c r="C154" s="29"/>
      <c r="D154" s="30"/>
      <c r="E154" s="31"/>
      <c r="F154" s="6"/>
      <c r="G154" s="7"/>
      <c r="H154" s="19">
        <f t="shared" si="10"/>
        <v>0</v>
      </c>
      <c r="I154" s="58"/>
    </row>
    <row r="155" spans="2:10" ht="15" thickBot="1" x14ac:dyDescent="0.3">
      <c r="B155" s="182"/>
      <c r="C155" s="29"/>
      <c r="D155" s="30"/>
      <c r="E155" s="31"/>
      <c r="F155" s="6"/>
      <c r="G155" s="7"/>
      <c r="H155" s="19">
        <f t="shared" si="10"/>
        <v>0</v>
      </c>
      <c r="I155" s="58"/>
    </row>
    <row r="156" spans="2:10" ht="15" thickBot="1" x14ac:dyDescent="0.3">
      <c r="B156" s="182"/>
      <c r="C156" s="29"/>
      <c r="D156" s="30"/>
      <c r="E156" s="31"/>
      <c r="F156" s="35"/>
      <c r="G156" s="36"/>
      <c r="H156" s="37">
        <f>SUM(H152:H155)</f>
        <v>75987.48</v>
      </c>
      <c r="I156" s="58"/>
    </row>
    <row r="157" spans="2:10" x14ac:dyDescent="0.25">
      <c r="E157" s="38"/>
      <c r="F157" s="39"/>
      <c r="G157" s="40"/>
      <c r="H157" s="71"/>
      <c r="I157" s="58"/>
      <c r="J157" s="14"/>
    </row>
    <row r="158" spans="2:10" ht="15" thickBot="1" x14ac:dyDescent="0.3">
      <c r="B158" s="206"/>
      <c r="C158" s="79"/>
      <c r="D158" s="80"/>
      <c r="E158" s="81"/>
      <c r="F158" s="82"/>
      <c r="G158" s="7"/>
      <c r="H158" s="74"/>
    </row>
    <row r="159" spans="2:10" ht="18.75" thickTop="1" x14ac:dyDescent="0.25">
      <c r="B159" s="207" t="s">
        <v>44</v>
      </c>
      <c r="C159" s="76"/>
      <c r="D159" s="83"/>
      <c r="E159" s="77"/>
      <c r="F159" s="84"/>
      <c r="G159" s="78"/>
      <c r="H159" s="50"/>
    </row>
    <row r="160" spans="2:10" x14ac:dyDescent="0.25">
      <c r="B160" s="199" t="s">
        <v>1</v>
      </c>
      <c r="C160" s="9" t="s">
        <v>2</v>
      </c>
      <c r="D160" s="10" t="s">
        <v>3</v>
      </c>
      <c r="E160" s="11" t="s">
        <v>4</v>
      </c>
      <c r="F160" s="12" t="s">
        <v>5</v>
      </c>
      <c r="G160" s="7" t="s">
        <v>12</v>
      </c>
      <c r="H160" s="13" t="s">
        <v>7</v>
      </c>
    </row>
    <row r="161" spans="2:10" s="14" customFormat="1" x14ac:dyDescent="0.25">
      <c r="B161" s="185">
        <v>1232</v>
      </c>
      <c r="C161" s="21" t="s">
        <v>102</v>
      </c>
      <c r="D161" s="20" t="s">
        <v>256</v>
      </c>
      <c r="E161" s="28">
        <v>42437</v>
      </c>
      <c r="F161" s="6">
        <v>476</v>
      </c>
      <c r="G161" s="7">
        <v>26</v>
      </c>
      <c r="H161" s="19">
        <f t="shared" ref="H161:H168" si="11">F161-G161</f>
        <v>450</v>
      </c>
      <c r="I161" s="1"/>
      <c r="J161" s="1"/>
    </row>
    <row r="162" spans="2:10" s="14" customFormat="1" x14ac:dyDescent="0.25">
      <c r="B162" s="185">
        <v>1236</v>
      </c>
      <c r="C162" s="21" t="s">
        <v>102</v>
      </c>
      <c r="D162" s="20" t="s">
        <v>257</v>
      </c>
      <c r="E162" s="28">
        <v>42440</v>
      </c>
      <c r="F162" s="6">
        <v>255</v>
      </c>
      <c r="G162" s="7">
        <v>25.38</v>
      </c>
      <c r="H162" s="19">
        <f t="shared" si="11"/>
        <v>229.62</v>
      </c>
      <c r="I162" s="1"/>
      <c r="J162" s="54"/>
    </row>
    <row r="163" spans="2:10" s="14" customFormat="1" x14ac:dyDescent="0.25">
      <c r="B163" s="185">
        <v>1258</v>
      </c>
      <c r="C163" s="21" t="s">
        <v>102</v>
      </c>
      <c r="D163" s="20" t="s">
        <v>267</v>
      </c>
      <c r="E163" s="28">
        <v>42447</v>
      </c>
      <c r="F163" s="6">
        <v>474</v>
      </c>
      <c r="G163" s="7">
        <v>24</v>
      </c>
      <c r="H163" s="19">
        <f t="shared" si="11"/>
        <v>450</v>
      </c>
      <c r="I163" s="1"/>
      <c r="J163" s="1"/>
    </row>
    <row r="164" spans="2:10" s="14" customFormat="1" x14ac:dyDescent="0.25">
      <c r="B164" s="185">
        <v>1259</v>
      </c>
      <c r="C164" s="21" t="s">
        <v>102</v>
      </c>
      <c r="D164" s="20" t="s">
        <v>290</v>
      </c>
      <c r="E164" s="28">
        <v>42453</v>
      </c>
      <c r="F164" s="6">
        <v>476</v>
      </c>
      <c r="G164" s="7">
        <v>26</v>
      </c>
      <c r="H164" s="19">
        <f t="shared" si="11"/>
        <v>450</v>
      </c>
      <c r="I164" s="58"/>
      <c r="J164" s="54"/>
    </row>
    <row r="165" spans="2:10" s="14" customFormat="1" x14ac:dyDescent="0.25">
      <c r="B165" s="185">
        <v>1270</v>
      </c>
      <c r="C165" s="21" t="s">
        <v>102</v>
      </c>
      <c r="D165" s="20" t="s">
        <v>304</v>
      </c>
      <c r="E165" s="28">
        <v>42458</v>
      </c>
      <c r="F165" s="6">
        <v>470</v>
      </c>
      <c r="G165" s="175">
        <v>25.35</v>
      </c>
      <c r="H165" s="19">
        <f t="shared" si="11"/>
        <v>444.65</v>
      </c>
      <c r="J165" s="54"/>
    </row>
    <row r="166" spans="2:10" s="14" customFormat="1" x14ac:dyDescent="0.25">
      <c r="B166" s="185">
        <v>1276</v>
      </c>
      <c r="C166" s="21" t="s">
        <v>102</v>
      </c>
      <c r="D166" s="20" t="s">
        <v>305</v>
      </c>
      <c r="E166" s="28">
        <v>42459</v>
      </c>
      <c r="F166" s="6">
        <v>475</v>
      </c>
      <c r="G166" s="7">
        <v>25</v>
      </c>
      <c r="H166" s="19">
        <f t="shared" si="11"/>
        <v>450</v>
      </c>
      <c r="J166" s="54"/>
    </row>
    <row r="167" spans="2:10" s="14" customFormat="1" x14ac:dyDescent="0.25">
      <c r="B167" s="185"/>
      <c r="C167" s="141"/>
      <c r="D167" s="141"/>
      <c r="E167" s="23"/>
      <c r="F167" s="24"/>
      <c r="G167" s="25"/>
      <c r="H167" s="19">
        <f t="shared" si="11"/>
        <v>0</v>
      </c>
      <c r="J167" s="1"/>
    </row>
    <row r="168" spans="2:10" ht="15" thickBot="1" x14ac:dyDescent="0.3">
      <c r="B168" s="185"/>
      <c r="C168" s="21"/>
      <c r="D168" s="20"/>
      <c r="E168" s="28"/>
      <c r="F168" s="18"/>
      <c r="G168" s="7"/>
      <c r="H168" s="19">
        <f t="shared" si="11"/>
        <v>0</v>
      </c>
      <c r="I168" s="101"/>
    </row>
    <row r="169" spans="2:10" ht="15" thickBot="1" x14ac:dyDescent="0.3">
      <c r="B169" s="208"/>
      <c r="C169" s="85"/>
      <c r="D169" s="14"/>
      <c r="E169" s="86"/>
      <c r="F169" s="62">
        <f>SUM(F161:F168)</f>
        <v>2626</v>
      </c>
      <c r="G169" s="36">
        <f>SUM(G161:G168)</f>
        <v>151.72999999999999</v>
      </c>
      <c r="H169" s="63">
        <f>SUM(H161:H168)</f>
        <v>2474.27</v>
      </c>
      <c r="I169" s="14"/>
    </row>
    <row r="170" spans="2:10" x14ac:dyDescent="0.25">
      <c r="E170" s="38" t="s">
        <v>8</v>
      </c>
      <c r="F170" s="39">
        <f>TOTAL!E12</f>
        <v>3900</v>
      </c>
      <c r="G170" s="40" t="s">
        <v>16</v>
      </c>
      <c r="H170" s="71">
        <f>H169/F170%</f>
        <v>63.442820512820511</v>
      </c>
      <c r="I170" s="58" t="s">
        <v>10</v>
      </c>
    </row>
    <row r="171" spans="2:10" ht="15" thickBot="1" x14ac:dyDescent="0.3">
      <c r="B171" s="201"/>
      <c r="C171" s="3"/>
      <c r="D171" s="87"/>
      <c r="E171" s="88"/>
      <c r="F171" s="89"/>
      <c r="G171" s="90"/>
      <c r="H171" s="8"/>
      <c r="I171" s="14"/>
    </row>
    <row r="172" spans="2:10" ht="15" thickBot="1" x14ac:dyDescent="0.3">
      <c r="D172" s="288" t="s">
        <v>318</v>
      </c>
      <c r="E172" s="288"/>
      <c r="F172" s="288"/>
      <c r="G172" s="288"/>
      <c r="H172" s="91">
        <f>SUM(SUM(H3:H5)+SUM(H61:H64)+SUM(H91:H101))</f>
        <v>126057.02</v>
      </c>
      <c r="I172" s="14"/>
    </row>
    <row r="173" spans="2:10" ht="15" thickBot="1" x14ac:dyDescent="0.3">
      <c r="D173" s="285" t="s">
        <v>314</v>
      </c>
      <c r="E173" s="285"/>
      <c r="F173" s="285"/>
      <c r="G173" s="285"/>
      <c r="H173" s="92">
        <f>SUM(SUM(H6:H11)+SUM(H45)+SUM(H65:H68)+SUM(H102:H116)+SUM(H152)+SUM(H161:H162))</f>
        <v>208079.41999999998</v>
      </c>
      <c r="I173" s="14"/>
    </row>
    <row r="174" spans="2:10" ht="15" thickBot="1" x14ac:dyDescent="0.3">
      <c r="D174" s="286" t="s">
        <v>315</v>
      </c>
      <c r="E174" s="286"/>
      <c r="F174" s="286"/>
      <c r="G174" s="286"/>
      <c r="H174" s="93">
        <f>SUM(SUM(H12:H16)+SUM(H37)+SUM(H46:H49)+SUM(H69:H73)+SUM(H117:H130)+SUM(H153)+SUM(H163))</f>
        <v>226060.26</v>
      </c>
      <c r="I174" s="14"/>
    </row>
    <row r="175" spans="2:10" ht="15" thickBot="1" x14ac:dyDescent="0.3">
      <c r="D175" s="287" t="s">
        <v>316</v>
      </c>
      <c r="E175" s="287"/>
      <c r="F175" s="287"/>
      <c r="G175" s="287"/>
      <c r="H175" s="94">
        <f>SUM(SUM(H17:H18)+SUM(H50:H51)+SUM(H74:H76)+SUM(H131:H138)+SUM(H164))</f>
        <v>46719.42</v>
      </c>
      <c r="I175" s="14"/>
    </row>
    <row r="176" spans="2:10" ht="15" thickBot="1" x14ac:dyDescent="0.3">
      <c r="D176" s="283" t="s">
        <v>317</v>
      </c>
      <c r="E176" s="283"/>
      <c r="F176" s="283"/>
      <c r="G176" s="283"/>
      <c r="H176" s="95">
        <f>SUM(SUM(H19:H22)+SUM(H52:H53)+SUM(H77:H85)+SUM(H139:H145)+SUM(H165:H166))</f>
        <v>126575.42999999998</v>
      </c>
      <c r="I176" s="14"/>
    </row>
    <row r="177" spans="1:10" ht="15" thickBot="1" x14ac:dyDescent="0.3">
      <c r="D177" s="96"/>
      <c r="E177" s="97"/>
      <c r="F177" s="98"/>
      <c r="G177" s="99"/>
      <c r="H177" s="100">
        <f>SUM(H172:H176)</f>
        <v>733491.54999999993</v>
      </c>
      <c r="I177" s="101">
        <f>SUM(H169,H156,H147,H86,H56,H40,H32,H24)</f>
        <v>733491.55</v>
      </c>
    </row>
    <row r="182" spans="1:10" s="104" customFormat="1" x14ac:dyDescent="0.25">
      <c r="A182" s="1"/>
      <c r="B182" s="205"/>
      <c r="C182" s="69"/>
      <c r="D182" s="1"/>
      <c r="E182" s="70"/>
      <c r="F182" s="73"/>
      <c r="G182" s="103"/>
      <c r="I182" s="1"/>
      <c r="J182" s="1"/>
    </row>
    <row r="189" spans="1:10" s="104" customFormat="1" x14ac:dyDescent="0.25">
      <c r="A189" s="1"/>
      <c r="B189" s="205"/>
      <c r="C189" s="69"/>
      <c r="D189" s="1"/>
      <c r="E189" s="70"/>
      <c r="F189" s="73"/>
      <c r="G189" s="103"/>
      <c r="I189" s="1"/>
      <c r="J189" s="1"/>
    </row>
  </sheetData>
  <sortState ref="B126:H180">
    <sortCondition ref="E126:E180"/>
    <sortCondition ref="B126:B180"/>
  </sortState>
  <mergeCells count="6">
    <mergeCell ref="D176:G176"/>
    <mergeCell ref="J1:N1"/>
    <mergeCell ref="D172:G172"/>
    <mergeCell ref="D173:G173"/>
    <mergeCell ref="D174:G174"/>
    <mergeCell ref="D175:G175"/>
  </mergeCells>
  <phoneticPr fontId="38" type="noConversion"/>
  <pageMargins left="0.75" right="0.75" top="1" bottom="1" header="0.49212598499999999" footer="0.49212598499999999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80"/>
  <sheetViews>
    <sheetView showGridLines="0" zoomScale="85" workbookViewId="0"/>
  </sheetViews>
  <sheetFormatPr defaultRowHeight="14.25" x14ac:dyDescent="0.25"/>
  <cols>
    <col min="1" max="1" width="9.140625" style="1" customWidth="1"/>
    <col min="2" max="2" width="11.5703125" style="205" customWidth="1"/>
    <col min="3" max="3" width="22" style="69" customWidth="1"/>
    <col min="4" max="4" width="60.28515625" style="1" bestFit="1" customWidth="1"/>
    <col min="5" max="5" width="18.7109375" style="72" customWidth="1"/>
    <col min="6" max="6" width="16.28515625" style="73" customWidth="1"/>
    <col min="7" max="7" width="16.5703125" style="103" customWidth="1"/>
    <col min="8" max="8" width="23.42578125" style="104" customWidth="1"/>
    <col min="9" max="9" width="34" style="1" customWidth="1"/>
    <col min="10" max="14" width="15.7109375" style="1" customWidth="1"/>
    <col min="15" max="16384" width="9.140625" style="1"/>
  </cols>
  <sheetData>
    <row r="1" spans="1:15" ht="18" x14ac:dyDescent="0.25">
      <c r="B1" s="198" t="s">
        <v>0</v>
      </c>
      <c r="C1" s="3"/>
      <c r="D1" s="4"/>
      <c r="E1" s="5"/>
      <c r="F1" s="6"/>
      <c r="G1" s="7"/>
      <c r="H1" s="8"/>
      <c r="J1" s="284" t="s">
        <v>43</v>
      </c>
      <c r="K1" s="284"/>
      <c r="L1" s="284"/>
      <c r="M1" s="284"/>
      <c r="N1" s="284"/>
    </row>
    <row r="2" spans="1:15" x14ac:dyDescent="0.25">
      <c r="B2" s="199" t="s">
        <v>1</v>
      </c>
      <c r="C2" s="9" t="s">
        <v>2</v>
      </c>
      <c r="D2" s="10" t="s">
        <v>3</v>
      </c>
      <c r="E2" s="11" t="s">
        <v>4</v>
      </c>
      <c r="F2" s="12" t="s">
        <v>5</v>
      </c>
      <c r="G2" s="7" t="s">
        <v>6</v>
      </c>
      <c r="H2" s="13" t="s">
        <v>7</v>
      </c>
      <c r="I2" s="11" t="s">
        <v>42</v>
      </c>
      <c r="J2" s="11" t="s">
        <v>50</v>
      </c>
      <c r="K2" s="11" t="s">
        <v>53</v>
      </c>
      <c r="L2" s="11" t="s">
        <v>51</v>
      </c>
      <c r="M2" s="11" t="s">
        <v>52</v>
      </c>
      <c r="N2" s="11" t="s">
        <v>54</v>
      </c>
    </row>
    <row r="3" spans="1:15" s="14" customFormat="1" x14ac:dyDescent="0.25">
      <c r="B3" s="195">
        <v>4626</v>
      </c>
      <c r="C3" s="15" t="s">
        <v>181</v>
      </c>
      <c r="D3" s="16" t="s">
        <v>375</v>
      </c>
      <c r="E3" s="17">
        <v>42471</v>
      </c>
      <c r="F3" s="18">
        <v>29100</v>
      </c>
      <c r="G3" s="175"/>
      <c r="H3" s="19">
        <f t="shared" ref="H3:H24" si="0">F3-G3</f>
        <v>29100</v>
      </c>
      <c r="I3" s="190" t="s">
        <v>428</v>
      </c>
      <c r="J3" s="191">
        <v>196.51</v>
      </c>
      <c r="K3" s="191">
        <v>102.53</v>
      </c>
      <c r="L3" s="191">
        <v>128.16</v>
      </c>
      <c r="M3" s="191"/>
      <c r="N3" s="191">
        <v>1000</v>
      </c>
      <c r="O3" s="20"/>
    </row>
    <row r="4" spans="1:15" s="14" customFormat="1" x14ac:dyDescent="0.25">
      <c r="A4" s="20"/>
      <c r="B4" s="195">
        <v>1296</v>
      </c>
      <c r="C4" s="242" t="s">
        <v>181</v>
      </c>
      <c r="D4" s="243" t="s">
        <v>371</v>
      </c>
      <c r="E4" s="244">
        <v>42474</v>
      </c>
      <c r="F4" s="245">
        <v>30000</v>
      </c>
      <c r="G4" s="7"/>
      <c r="H4" s="19">
        <f t="shared" si="0"/>
        <v>30000</v>
      </c>
      <c r="I4" s="190" t="s">
        <v>372</v>
      </c>
      <c r="J4" s="191">
        <v>323.47000000000003</v>
      </c>
      <c r="K4" s="191">
        <v>168.77</v>
      </c>
      <c r="L4" s="191"/>
      <c r="M4" s="191">
        <v>210.96</v>
      </c>
      <c r="N4" s="191"/>
      <c r="O4" s="20"/>
    </row>
    <row r="5" spans="1:15" s="14" customFormat="1" x14ac:dyDescent="0.25">
      <c r="A5" s="20"/>
      <c r="B5" s="185">
        <v>4631</v>
      </c>
      <c r="C5" s="21" t="s">
        <v>181</v>
      </c>
      <c r="D5" s="16" t="s">
        <v>377</v>
      </c>
      <c r="E5" s="17">
        <v>42474</v>
      </c>
      <c r="F5" s="6">
        <v>18900</v>
      </c>
      <c r="G5" s="175"/>
      <c r="H5" s="19">
        <f t="shared" si="0"/>
        <v>18900</v>
      </c>
      <c r="I5" s="190" t="s">
        <v>429</v>
      </c>
      <c r="J5" s="191">
        <v>193.44</v>
      </c>
      <c r="K5" s="191">
        <v>100.93</v>
      </c>
      <c r="L5" s="191">
        <v>126.16</v>
      </c>
      <c r="M5" s="191"/>
      <c r="N5" s="191"/>
      <c r="O5" s="20"/>
    </row>
    <row r="6" spans="1:15" s="14" customFormat="1" x14ac:dyDescent="0.25">
      <c r="A6" s="20"/>
      <c r="B6" s="194">
        <v>4633</v>
      </c>
      <c r="C6" s="141" t="s">
        <v>181</v>
      </c>
      <c r="D6" s="141" t="s">
        <v>378</v>
      </c>
      <c r="E6" s="23">
        <v>42474</v>
      </c>
      <c r="F6" s="24">
        <v>34000</v>
      </c>
      <c r="G6" s="25"/>
      <c r="H6" s="19">
        <f t="shared" si="0"/>
        <v>34000</v>
      </c>
      <c r="I6" s="190" t="s">
        <v>431</v>
      </c>
      <c r="J6" s="191">
        <v>225.11</v>
      </c>
      <c r="K6" s="191">
        <v>117.45</v>
      </c>
      <c r="L6" s="191"/>
      <c r="M6" s="191">
        <v>146.81</v>
      </c>
      <c r="N6" s="191"/>
      <c r="O6" s="20"/>
    </row>
    <row r="7" spans="1:15" x14ac:dyDescent="0.25">
      <c r="A7" s="20"/>
      <c r="B7" s="194">
        <v>1298</v>
      </c>
      <c r="C7" s="141" t="s">
        <v>102</v>
      </c>
      <c r="D7" s="141" t="s">
        <v>392</v>
      </c>
      <c r="E7" s="23">
        <v>42475</v>
      </c>
      <c r="F7" s="26">
        <v>6000</v>
      </c>
      <c r="G7" s="175"/>
      <c r="H7" s="19">
        <f t="shared" si="0"/>
        <v>6000</v>
      </c>
      <c r="I7" s="190" t="s">
        <v>434</v>
      </c>
      <c r="J7" s="191">
        <v>62.07</v>
      </c>
      <c r="K7" s="191">
        <v>32.39</v>
      </c>
      <c r="L7" s="191"/>
      <c r="M7" s="191">
        <v>40.479999999999997</v>
      </c>
      <c r="N7" s="191"/>
      <c r="O7" s="20"/>
    </row>
    <row r="8" spans="1:15" x14ac:dyDescent="0.25">
      <c r="A8" s="20"/>
      <c r="B8" s="194">
        <v>4634</v>
      </c>
      <c r="C8" s="141" t="s">
        <v>181</v>
      </c>
      <c r="D8" s="141" t="s">
        <v>379</v>
      </c>
      <c r="E8" s="23">
        <v>42475</v>
      </c>
      <c r="F8" s="26">
        <v>27800</v>
      </c>
      <c r="G8" s="7"/>
      <c r="H8" s="19">
        <f t="shared" si="0"/>
        <v>27800</v>
      </c>
      <c r="I8" s="190" t="s">
        <v>430</v>
      </c>
      <c r="J8" s="191">
        <v>193.44</v>
      </c>
      <c r="K8" s="191">
        <v>100.93</v>
      </c>
      <c r="L8" s="191">
        <v>126.16</v>
      </c>
      <c r="M8" s="191"/>
      <c r="N8" s="191"/>
      <c r="O8" s="20"/>
    </row>
    <row r="9" spans="1:15" x14ac:dyDescent="0.25">
      <c r="A9" s="20"/>
      <c r="B9" s="194">
        <v>4639</v>
      </c>
      <c r="C9" s="141" t="s">
        <v>102</v>
      </c>
      <c r="D9" s="141" t="s">
        <v>364</v>
      </c>
      <c r="E9" s="23">
        <v>42475</v>
      </c>
      <c r="F9" s="26">
        <v>7900</v>
      </c>
      <c r="G9" s="27"/>
      <c r="H9" s="19">
        <f t="shared" si="0"/>
        <v>7900</v>
      </c>
      <c r="I9" s="190" t="s">
        <v>435</v>
      </c>
      <c r="J9" s="191">
        <v>80.86</v>
      </c>
      <c r="K9" s="191">
        <v>42.19</v>
      </c>
      <c r="L9" s="191">
        <v>52.73</v>
      </c>
      <c r="M9" s="191"/>
      <c r="N9" s="191"/>
      <c r="O9" s="20"/>
    </row>
    <row r="10" spans="1:15" x14ac:dyDescent="0.25">
      <c r="A10" s="20"/>
      <c r="B10" s="194">
        <v>4642</v>
      </c>
      <c r="C10" s="231" t="s">
        <v>102</v>
      </c>
      <c r="D10" s="231" t="s">
        <v>395</v>
      </c>
      <c r="E10" s="232">
        <v>42478</v>
      </c>
      <c r="F10" s="237">
        <v>20195</v>
      </c>
      <c r="G10" s="27">
        <v>1695</v>
      </c>
      <c r="H10" s="19">
        <f t="shared" si="0"/>
        <v>18500</v>
      </c>
      <c r="I10" s="190" t="s">
        <v>436</v>
      </c>
      <c r="J10" s="191">
        <v>28.97</v>
      </c>
      <c r="K10" s="191">
        <v>114.25</v>
      </c>
      <c r="L10" s="191"/>
      <c r="M10" s="191">
        <v>142.81</v>
      </c>
      <c r="N10" s="191"/>
      <c r="O10" s="20"/>
    </row>
    <row r="11" spans="1:15" x14ac:dyDescent="0.25">
      <c r="A11" s="20"/>
      <c r="B11" s="185">
        <v>4651</v>
      </c>
      <c r="C11" s="21" t="s">
        <v>181</v>
      </c>
      <c r="D11" s="20" t="s">
        <v>385</v>
      </c>
      <c r="E11" s="28">
        <v>42480</v>
      </c>
      <c r="F11" s="6">
        <v>27990</v>
      </c>
      <c r="G11" s="7"/>
      <c r="H11" s="19">
        <f t="shared" si="0"/>
        <v>27990</v>
      </c>
      <c r="I11" s="190" t="s">
        <v>438</v>
      </c>
      <c r="J11" s="191"/>
      <c r="K11" s="191"/>
      <c r="L11" s="191"/>
      <c r="M11" s="191"/>
      <c r="N11" s="191"/>
      <c r="O11" s="20"/>
    </row>
    <row r="12" spans="1:15" x14ac:dyDescent="0.25">
      <c r="A12" s="20"/>
      <c r="B12" s="182">
        <v>4652</v>
      </c>
      <c r="C12" s="29" t="s">
        <v>181</v>
      </c>
      <c r="D12" s="30" t="s">
        <v>385</v>
      </c>
      <c r="E12" s="31">
        <v>42480</v>
      </c>
      <c r="F12" s="6">
        <v>27990</v>
      </c>
      <c r="G12" s="7"/>
      <c r="H12" s="19">
        <f t="shared" si="0"/>
        <v>27990</v>
      </c>
      <c r="I12" s="190" t="s">
        <v>438</v>
      </c>
      <c r="J12" s="191"/>
      <c r="K12" s="191"/>
      <c r="L12" s="191"/>
      <c r="M12" s="191"/>
      <c r="N12" s="191"/>
      <c r="O12" s="20"/>
    </row>
    <row r="13" spans="1:15" x14ac:dyDescent="0.25">
      <c r="A13" s="20"/>
      <c r="B13" s="182">
        <v>4653</v>
      </c>
      <c r="C13" s="29" t="s">
        <v>181</v>
      </c>
      <c r="D13" s="30" t="s">
        <v>385</v>
      </c>
      <c r="E13" s="31">
        <v>42480</v>
      </c>
      <c r="F13" s="18">
        <v>27990</v>
      </c>
      <c r="G13" s="7"/>
      <c r="H13" s="19">
        <f t="shared" si="0"/>
        <v>27990</v>
      </c>
      <c r="I13" s="192" t="s">
        <v>437</v>
      </c>
      <c r="J13" s="191"/>
      <c r="K13" s="191"/>
      <c r="L13" s="191"/>
      <c r="M13" s="191"/>
      <c r="N13" s="191"/>
      <c r="O13" s="20"/>
    </row>
    <row r="14" spans="1:15" x14ac:dyDescent="0.25">
      <c r="A14" s="20"/>
      <c r="B14" s="182">
        <v>4654</v>
      </c>
      <c r="C14" s="29" t="s">
        <v>181</v>
      </c>
      <c r="D14" s="30" t="s">
        <v>397</v>
      </c>
      <c r="E14" s="28">
        <v>42480</v>
      </c>
      <c r="F14" s="6">
        <v>27990</v>
      </c>
      <c r="G14" s="7"/>
      <c r="H14" s="19">
        <f t="shared" si="0"/>
        <v>27990</v>
      </c>
      <c r="I14" s="192" t="s">
        <v>437</v>
      </c>
      <c r="J14" s="191"/>
      <c r="K14" s="191"/>
      <c r="L14" s="191"/>
      <c r="M14" s="191"/>
      <c r="N14" s="191"/>
      <c r="O14" s="20"/>
    </row>
    <row r="15" spans="1:15" x14ac:dyDescent="0.25">
      <c r="A15" s="20"/>
      <c r="B15" s="182">
        <v>4657</v>
      </c>
      <c r="C15" s="29" t="s">
        <v>181</v>
      </c>
      <c r="D15" s="30" t="s">
        <v>399</v>
      </c>
      <c r="E15" s="28">
        <v>42480</v>
      </c>
      <c r="F15" s="6">
        <v>18900</v>
      </c>
      <c r="G15" s="52"/>
      <c r="H15" s="19">
        <f t="shared" si="0"/>
        <v>18900</v>
      </c>
      <c r="I15" s="192" t="s">
        <v>439</v>
      </c>
      <c r="J15" s="191">
        <v>193.44</v>
      </c>
      <c r="K15" s="191">
        <v>100.93</v>
      </c>
      <c r="L15" s="191"/>
      <c r="M15" s="191">
        <v>126.16</v>
      </c>
      <c r="N15" s="191"/>
      <c r="O15" s="20"/>
    </row>
    <row r="16" spans="1:15" x14ac:dyDescent="0.25">
      <c r="B16" s="185">
        <v>4659</v>
      </c>
      <c r="C16" s="21" t="s">
        <v>181</v>
      </c>
      <c r="D16" s="20" t="s">
        <v>400</v>
      </c>
      <c r="E16" s="28">
        <v>42482</v>
      </c>
      <c r="F16" s="6">
        <v>136000</v>
      </c>
      <c r="G16" s="52"/>
      <c r="H16" s="19">
        <f t="shared" si="0"/>
        <v>136000</v>
      </c>
      <c r="I16" s="193" t="s">
        <v>432</v>
      </c>
      <c r="J16" s="191"/>
      <c r="K16" s="191"/>
      <c r="L16" s="191"/>
      <c r="M16" s="191"/>
      <c r="N16" s="191"/>
      <c r="O16" s="20"/>
    </row>
    <row r="17" spans="2:15" x14ac:dyDescent="0.25">
      <c r="B17" s="185">
        <v>4660</v>
      </c>
      <c r="C17" s="21" t="s">
        <v>181</v>
      </c>
      <c r="D17" s="20" t="s">
        <v>418</v>
      </c>
      <c r="E17" s="28">
        <v>42485</v>
      </c>
      <c r="F17" s="6">
        <v>7900</v>
      </c>
      <c r="G17" s="175">
        <v>460</v>
      </c>
      <c r="H17" s="19">
        <f t="shared" si="0"/>
        <v>7440</v>
      </c>
      <c r="I17" s="193" t="s">
        <v>440</v>
      </c>
      <c r="J17" s="191">
        <v>75.58</v>
      </c>
      <c r="K17" s="191">
        <v>39.43</v>
      </c>
      <c r="L17" s="191">
        <v>49.29</v>
      </c>
      <c r="M17" s="191"/>
      <c r="N17" s="191"/>
      <c r="O17" s="20"/>
    </row>
    <row r="18" spans="2:15" x14ac:dyDescent="0.25">
      <c r="B18" s="185">
        <v>4661</v>
      </c>
      <c r="C18" s="21" t="s">
        <v>181</v>
      </c>
      <c r="D18" s="20" t="s">
        <v>418</v>
      </c>
      <c r="E18" s="28">
        <v>42485</v>
      </c>
      <c r="F18" s="6">
        <v>7900</v>
      </c>
      <c r="G18" s="175">
        <v>460</v>
      </c>
      <c r="H18" s="19">
        <f t="shared" si="0"/>
        <v>7440</v>
      </c>
      <c r="I18" s="193" t="s">
        <v>440</v>
      </c>
      <c r="J18" s="191">
        <v>75.58</v>
      </c>
      <c r="K18" s="191">
        <v>39.43</v>
      </c>
      <c r="L18" s="191">
        <v>49.29</v>
      </c>
      <c r="M18" s="191"/>
      <c r="N18" s="191"/>
      <c r="O18" s="20"/>
    </row>
    <row r="19" spans="2:15" x14ac:dyDescent="0.25">
      <c r="B19" s="185">
        <v>4662</v>
      </c>
      <c r="C19" s="21" t="s">
        <v>181</v>
      </c>
      <c r="D19" s="20" t="s">
        <v>419</v>
      </c>
      <c r="E19" s="28">
        <v>42485</v>
      </c>
      <c r="F19" s="6">
        <v>35745</v>
      </c>
      <c r="G19" s="175">
        <v>1745</v>
      </c>
      <c r="H19" s="19">
        <f t="shared" si="0"/>
        <v>34000</v>
      </c>
      <c r="I19" s="193" t="s">
        <v>441</v>
      </c>
      <c r="J19" s="191">
        <v>267.13</v>
      </c>
      <c r="K19" s="191">
        <v>139.37</v>
      </c>
      <c r="L19" s="191">
        <v>174.22</v>
      </c>
      <c r="M19" s="191"/>
      <c r="N19" s="191"/>
      <c r="O19" s="20"/>
    </row>
    <row r="20" spans="2:15" x14ac:dyDescent="0.25">
      <c r="B20" s="185">
        <v>4665</v>
      </c>
      <c r="C20" s="21" t="s">
        <v>181</v>
      </c>
      <c r="D20" s="20" t="s">
        <v>420</v>
      </c>
      <c r="E20" s="28">
        <v>42486</v>
      </c>
      <c r="F20" s="6">
        <v>29990</v>
      </c>
      <c r="G20" s="175"/>
      <c r="H20" s="19">
        <f t="shared" si="0"/>
        <v>29990</v>
      </c>
      <c r="I20" s="193" t="s">
        <v>442</v>
      </c>
      <c r="J20" s="191">
        <v>306.95</v>
      </c>
      <c r="K20" s="191">
        <v>160.15</v>
      </c>
      <c r="L20" s="191"/>
      <c r="M20" s="191">
        <v>200.18</v>
      </c>
      <c r="N20" s="191"/>
      <c r="O20" s="20"/>
    </row>
    <row r="21" spans="2:15" x14ac:dyDescent="0.25">
      <c r="B21" s="185">
        <v>4666</v>
      </c>
      <c r="C21" s="231" t="s">
        <v>181</v>
      </c>
      <c r="D21" s="234" t="s">
        <v>420</v>
      </c>
      <c r="E21" s="235">
        <v>42486</v>
      </c>
      <c r="F21" s="236">
        <v>34000</v>
      </c>
      <c r="G21" s="175"/>
      <c r="H21" s="19">
        <f t="shared" si="0"/>
        <v>34000</v>
      </c>
      <c r="I21" s="193" t="s">
        <v>443</v>
      </c>
      <c r="J21" s="191">
        <v>267.13</v>
      </c>
      <c r="K21" s="191">
        <v>139.37</v>
      </c>
      <c r="L21" s="191"/>
      <c r="M21" s="191">
        <v>174.22</v>
      </c>
      <c r="N21" s="191"/>
      <c r="O21" s="20"/>
    </row>
    <row r="22" spans="2:15" x14ac:dyDescent="0.25">
      <c r="B22" s="185">
        <v>4669</v>
      </c>
      <c r="C22" s="21" t="s">
        <v>181</v>
      </c>
      <c r="D22" s="20" t="s">
        <v>421</v>
      </c>
      <c r="E22" s="28">
        <v>42486</v>
      </c>
      <c r="F22" s="6">
        <v>16800</v>
      </c>
      <c r="G22" s="52"/>
      <c r="H22" s="19">
        <f t="shared" si="0"/>
        <v>16800</v>
      </c>
      <c r="I22" s="193" t="s">
        <v>433</v>
      </c>
      <c r="J22" s="191">
        <v>80.86</v>
      </c>
      <c r="K22" s="191">
        <v>42.19</v>
      </c>
      <c r="L22" s="191">
        <v>52.73</v>
      </c>
      <c r="M22" s="191"/>
      <c r="N22" s="191"/>
      <c r="O22" s="20"/>
    </row>
    <row r="23" spans="2:15" x14ac:dyDescent="0.25">
      <c r="B23" s="185">
        <v>4674</v>
      </c>
      <c r="C23" s="21" t="s">
        <v>181</v>
      </c>
      <c r="D23" s="20" t="s">
        <v>422</v>
      </c>
      <c r="E23" s="28">
        <v>42489</v>
      </c>
      <c r="F23" s="6">
        <v>19500</v>
      </c>
      <c r="G23" s="52">
        <v>105</v>
      </c>
      <c r="H23" s="19">
        <f t="shared" si="0"/>
        <v>19395</v>
      </c>
      <c r="I23" s="193" t="s">
        <v>319</v>
      </c>
      <c r="J23" s="191">
        <v>191.59</v>
      </c>
      <c r="K23" s="191">
        <v>99.96</v>
      </c>
      <c r="L23" s="191">
        <v>124.95</v>
      </c>
      <c r="M23" s="191"/>
      <c r="N23" s="191"/>
      <c r="O23" s="20"/>
    </row>
    <row r="24" spans="2:15" x14ac:dyDescent="0.25">
      <c r="B24" s="185">
        <v>4677</v>
      </c>
      <c r="C24" s="21" t="s">
        <v>181</v>
      </c>
      <c r="D24" s="20" t="s">
        <v>241</v>
      </c>
      <c r="E24" s="28">
        <v>42489</v>
      </c>
      <c r="F24" s="6">
        <v>18400</v>
      </c>
      <c r="G24" s="52">
        <v>106</v>
      </c>
      <c r="H24" s="19">
        <f t="shared" si="0"/>
        <v>18294</v>
      </c>
      <c r="I24" s="193" t="s">
        <v>427</v>
      </c>
      <c r="J24" s="191">
        <v>179.93</v>
      </c>
      <c r="K24" s="191">
        <v>93.88</v>
      </c>
      <c r="L24" s="191">
        <v>117.35</v>
      </c>
      <c r="M24" s="191"/>
      <c r="N24" s="191"/>
      <c r="O24" s="20"/>
    </row>
    <row r="25" spans="2:15" x14ac:dyDescent="0.25">
      <c r="B25" s="185"/>
      <c r="C25" s="21"/>
      <c r="D25" s="20"/>
      <c r="E25" s="28"/>
      <c r="F25" s="6"/>
      <c r="G25" s="52"/>
      <c r="H25" s="19">
        <f t="shared" ref="H25:H26" si="1">F25-G25</f>
        <v>0</v>
      </c>
      <c r="I25" s="193"/>
      <c r="J25" s="191"/>
      <c r="K25" s="191"/>
      <c r="L25" s="191"/>
      <c r="M25" s="191"/>
      <c r="N25" s="191"/>
      <c r="O25" s="20"/>
    </row>
    <row r="26" spans="2:15" ht="15" thickBot="1" x14ac:dyDescent="0.3">
      <c r="B26" s="185"/>
      <c r="C26" s="21"/>
      <c r="D26" s="20"/>
      <c r="E26" s="28"/>
      <c r="F26" s="6"/>
      <c r="G26" s="7"/>
      <c r="H26" s="19">
        <f t="shared" si="1"/>
        <v>0</v>
      </c>
      <c r="I26" s="193"/>
      <c r="J26" s="191"/>
      <c r="K26" s="191"/>
      <c r="L26" s="191"/>
      <c r="M26" s="191"/>
      <c r="N26" s="191"/>
      <c r="O26" s="20"/>
    </row>
    <row r="27" spans="2:15" ht="15" thickBot="1" x14ac:dyDescent="0.3">
      <c r="B27" s="200"/>
      <c r="C27" s="32"/>
      <c r="D27" s="33"/>
      <c r="E27" s="34"/>
      <c r="F27" s="35">
        <f>SUM(F3:F26)</f>
        <v>610990</v>
      </c>
      <c r="G27" s="36">
        <f>SUM(G3:G26)</f>
        <v>4571</v>
      </c>
      <c r="H27" s="37">
        <f>SUM(H3:H26)</f>
        <v>606419</v>
      </c>
      <c r="I27" s="66"/>
      <c r="J27" s="135">
        <f>SUM(J3:J26)</f>
        <v>2942.06</v>
      </c>
      <c r="K27" s="135">
        <f>SUM(K3:K26)</f>
        <v>1634.15</v>
      </c>
      <c r="L27" s="135">
        <f>SUM(L3:L26)</f>
        <v>1001.0400000000002</v>
      </c>
      <c r="M27" s="135">
        <f>SUM(M3:M26)</f>
        <v>1041.6199999999999</v>
      </c>
      <c r="N27" s="135">
        <f>SUM(N3:N26)</f>
        <v>1000</v>
      </c>
      <c r="O27" s="20"/>
    </row>
    <row r="28" spans="2:15" x14ac:dyDescent="0.25">
      <c r="B28" s="201"/>
      <c r="C28" s="3"/>
      <c r="D28" s="4"/>
      <c r="E28" s="38" t="s">
        <v>8</v>
      </c>
      <c r="F28" s="39">
        <f>TOTAL!F8</f>
        <v>459000</v>
      </c>
      <c r="G28" s="40" t="s">
        <v>9</v>
      </c>
      <c r="H28" s="41">
        <f>H27/F28%</f>
        <v>132.1174291938998</v>
      </c>
      <c r="I28" s="58" t="s">
        <v>10</v>
      </c>
    </row>
    <row r="29" spans="2:15" ht="15" thickBot="1" x14ac:dyDescent="0.3">
      <c r="B29" s="202"/>
      <c r="C29" s="43"/>
      <c r="D29" s="44"/>
      <c r="E29" s="45"/>
      <c r="F29" s="46"/>
      <c r="G29" s="47"/>
      <c r="H29" s="48"/>
      <c r="I29" s="14"/>
    </row>
    <row r="30" spans="2:15" ht="18.75" thickTop="1" x14ac:dyDescent="0.25">
      <c r="B30" s="198" t="s">
        <v>11</v>
      </c>
      <c r="C30" s="49"/>
      <c r="D30" s="4"/>
      <c r="E30" s="5"/>
      <c r="F30" s="6"/>
      <c r="G30" s="7"/>
      <c r="H30" s="50"/>
      <c r="I30" s="14"/>
    </row>
    <row r="31" spans="2:15" x14ac:dyDescent="0.25">
      <c r="B31" s="199" t="s">
        <v>1</v>
      </c>
      <c r="C31" s="9" t="s">
        <v>2</v>
      </c>
      <c r="D31" s="10" t="s">
        <v>3</v>
      </c>
      <c r="E31" s="11" t="s">
        <v>4</v>
      </c>
      <c r="F31" s="12" t="s">
        <v>5</v>
      </c>
      <c r="G31" s="7" t="s">
        <v>12</v>
      </c>
      <c r="H31" s="13" t="s">
        <v>7</v>
      </c>
      <c r="I31" s="14"/>
    </row>
    <row r="32" spans="2:15" s="14" customFormat="1" x14ac:dyDescent="0.25">
      <c r="B32" s="182"/>
      <c r="C32" s="29"/>
      <c r="D32" s="30"/>
      <c r="E32" s="31"/>
      <c r="F32" s="6"/>
      <c r="G32" s="7"/>
      <c r="H32" s="19">
        <f t="shared" ref="H32:H34" si="2">F32-G32</f>
        <v>0</v>
      </c>
    </row>
    <row r="33" spans="2:9" x14ac:dyDescent="0.25">
      <c r="B33" s="182"/>
      <c r="C33" s="29"/>
      <c r="D33" s="30"/>
      <c r="E33" s="31"/>
      <c r="F33" s="6"/>
      <c r="G33" s="7"/>
      <c r="H33" s="19">
        <f t="shared" si="2"/>
        <v>0</v>
      </c>
    </row>
    <row r="34" spans="2:9" ht="15" thickBot="1" x14ac:dyDescent="0.3">
      <c r="B34" s="182"/>
      <c r="C34" s="29"/>
      <c r="D34" s="30"/>
      <c r="E34" s="31"/>
      <c r="F34" s="6"/>
      <c r="G34" s="7"/>
      <c r="H34" s="19">
        <f t="shared" si="2"/>
        <v>0</v>
      </c>
    </row>
    <row r="35" spans="2:9" ht="15" thickBot="1" x14ac:dyDescent="0.3">
      <c r="B35" s="182"/>
      <c r="C35" s="29"/>
      <c r="D35" s="30"/>
      <c r="E35" s="31"/>
      <c r="F35" s="35"/>
      <c r="G35" s="36"/>
      <c r="H35" s="37">
        <f>SUM(H32:H34)</f>
        <v>0</v>
      </c>
    </row>
    <row r="36" spans="2:9" x14ac:dyDescent="0.25">
      <c r="B36" s="182"/>
      <c r="C36" s="29"/>
      <c r="D36" s="30"/>
      <c r="E36" s="31"/>
      <c r="F36" s="51"/>
      <c r="G36" s="52"/>
      <c r="H36" s="53"/>
    </row>
    <row r="37" spans="2:9" ht="15" thickBot="1" x14ac:dyDescent="0.3">
      <c r="B37" s="202"/>
      <c r="C37" s="43"/>
      <c r="D37" s="44"/>
      <c r="E37" s="45"/>
      <c r="F37" s="46"/>
      <c r="G37" s="47"/>
      <c r="H37" s="48"/>
      <c r="I37" s="14"/>
    </row>
    <row r="38" spans="2:9" ht="18.75" thickTop="1" x14ac:dyDescent="0.25">
      <c r="B38" s="198" t="s">
        <v>13</v>
      </c>
      <c r="C38" s="49"/>
      <c r="D38" s="4"/>
      <c r="E38" s="5"/>
      <c r="F38" s="6"/>
      <c r="G38" s="7"/>
      <c r="H38" s="50"/>
      <c r="I38" s="14"/>
    </row>
    <row r="39" spans="2:9" x14ac:dyDescent="0.25">
      <c r="B39" s="199" t="s">
        <v>1</v>
      </c>
      <c r="C39" s="9" t="s">
        <v>2</v>
      </c>
      <c r="D39" s="10" t="s">
        <v>3</v>
      </c>
      <c r="E39" s="11" t="s">
        <v>4</v>
      </c>
      <c r="F39" s="12" t="s">
        <v>5</v>
      </c>
      <c r="G39" s="7" t="s">
        <v>12</v>
      </c>
      <c r="H39" s="13" t="s">
        <v>7</v>
      </c>
      <c r="I39" s="14"/>
    </row>
    <row r="40" spans="2:9" s="14" customFormat="1" x14ac:dyDescent="0.25">
      <c r="B40" s="194">
        <v>4642</v>
      </c>
      <c r="C40" s="141" t="s">
        <v>102</v>
      </c>
      <c r="D40" s="141" t="s">
        <v>395</v>
      </c>
      <c r="E40" s="23">
        <v>42478</v>
      </c>
      <c r="F40" s="6">
        <v>1295</v>
      </c>
      <c r="G40" s="7"/>
      <c r="H40" s="19">
        <f t="shared" ref="H40:H43" si="3">F40-G40</f>
        <v>1295</v>
      </c>
    </row>
    <row r="41" spans="2:9" s="14" customFormat="1" x14ac:dyDescent="0.25">
      <c r="B41" s="185">
        <v>4662</v>
      </c>
      <c r="C41" s="21" t="s">
        <v>181</v>
      </c>
      <c r="D41" s="20" t="s">
        <v>419</v>
      </c>
      <c r="E41" s="28">
        <v>42485</v>
      </c>
      <c r="F41" s="6">
        <v>1295</v>
      </c>
      <c r="G41" s="7"/>
      <c r="H41" s="19">
        <f t="shared" si="3"/>
        <v>1295</v>
      </c>
    </row>
    <row r="42" spans="2:9" s="14" customFormat="1" x14ac:dyDescent="0.25">
      <c r="B42" s="194"/>
      <c r="C42" s="141"/>
      <c r="D42" s="141"/>
      <c r="E42" s="23"/>
      <c r="F42" s="6"/>
      <c r="G42" s="7"/>
      <c r="H42" s="19">
        <f t="shared" si="3"/>
        <v>0</v>
      </c>
    </row>
    <row r="43" spans="2:9" ht="15" thickBot="1" x14ac:dyDescent="0.3">
      <c r="B43" s="182"/>
      <c r="C43" s="29"/>
      <c r="D43" s="30"/>
      <c r="E43" s="31"/>
      <c r="F43" s="6"/>
      <c r="G43" s="7"/>
      <c r="H43" s="19">
        <f t="shared" si="3"/>
        <v>0</v>
      </c>
    </row>
    <row r="44" spans="2:9" ht="15" thickBot="1" x14ac:dyDescent="0.3">
      <c r="B44" s="203"/>
      <c r="C44" s="55"/>
      <c r="D44" s="56"/>
      <c r="E44" s="57"/>
      <c r="F44" s="35">
        <f>SUM(F40:F43)</f>
        <v>2590</v>
      </c>
      <c r="G44" s="36">
        <f>SUM(G40:G43)</f>
        <v>0</v>
      </c>
      <c r="H44" s="37">
        <f>SUM(H40:H43)</f>
        <v>2590</v>
      </c>
    </row>
    <row r="45" spans="2:9" x14ac:dyDescent="0.25">
      <c r="B45" s="203"/>
      <c r="C45" s="55"/>
      <c r="D45" s="56"/>
      <c r="E45" s="38"/>
      <c r="F45" s="39"/>
      <c r="G45" s="40"/>
      <c r="H45" s="41"/>
    </row>
    <row r="46" spans="2:9" ht="15" thickBot="1" x14ac:dyDescent="0.3">
      <c r="B46" s="202"/>
      <c r="C46" s="43"/>
      <c r="D46" s="44"/>
      <c r="E46" s="59"/>
      <c r="F46" s="46"/>
      <c r="G46" s="47"/>
      <c r="H46" s="48"/>
      <c r="I46" s="14"/>
    </row>
    <row r="47" spans="2:9" ht="18.75" thickTop="1" x14ac:dyDescent="0.25">
      <c r="B47" s="198" t="s">
        <v>14</v>
      </c>
      <c r="C47" s="49"/>
      <c r="D47" s="4"/>
      <c r="E47" s="5"/>
      <c r="F47" s="6"/>
      <c r="G47" s="7"/>
      <c r="H47" s="50"/>
      <c r="I47" s="14"/>
    </row>
    <row r="48" spans="2:9" x14ac:dyDescent="0.25">
      <c r="B48" s="199" t="s">
        <v>1</v>
      </c>
      <c r="C48" s="9" t="s">
        <v>2</v>
      </c>
      <c r="D48" s="10" t="s">
        <v>3</v>
      </c>
      <c r="E48" s="11" t="s">
        <v>4</v>
      </c>
      <c r="F48" s="12" t="s">
        <v>5</v>
      </c>
      <c r="G48" s="7" t="s">
        <v>12</v>
      </c>
      <c r="H48" s="13" t="s">
        <v>7</v>
      </c>
      <c r="I48" s="14"/>
    </row>
    <row r="49" spans="2:14" s="14" customFormat="1" x14ac:dyDescent="0.25">
      <c r="B49" s="185">
        <v>1286</v>
      </c>
      <c r="C49" s="21" t="s">
        <v>102</v>
      </c>
      <c r="D49" s="20" t="s">
        <v>365</v>
      </c>
      <c r="E49" s="28">
        <v>42468</v>
      </c>
      <c r="F49" s="6">
        <v>4339.12</v>
      </c>
      <c r="G49" s="7"/>
      <c r="H49" s="19">
        <f t="shared" ref="H49:H58" si="4">F49-G49</f>
        <v>4339.12</v>
      </c>
      <c r="J49" s="1"/>
      <c r="K49" s="1"/>
      <c r="L49" s="1"/>
      <c r="M49" s="1"/>
      <c r="N49" s="1"/>
    </row>
    <row r="50" spans="2:14" s="14" customFormat="1" x14ac:dyDescent="0.25">
      <c r="B50" s="182">
        <v>4624</v>
      </c>
      <c r="C50" s="29" t="s">
        <v>102</v>
      </c>
      <c r="D50" s="30" t="s">
        <v>365</v>
      </c>
      <c r="E50" s="31">
        <v>42468</v>
      </c>
      <c r="F50" s="6">
        <v>8598.52</v>
      </c>
      <c r="G50" s="7"/>
      <c r="H50" s="19">
        <f t="shared" si="4"/>
        <v>8598.52</v>
      </c>
      <c r="J50" s="1"/>
      <c r="K50" s="1"/>
      <c r="L50" s="1"/>
      <c r="M50" s="1"/>
      <c r="N50" s="1"/>
    </row>
    <row r="51" spans="2:14" s="14" customFormat="1" x14ac:dyDescent="0.25">
      <c r="B51" s="195">
        <v>1287</v>
      </c>
      <c r="C51" s="15" t="s">
        <v>102</v>
      </c>
      <c r="D51" s="15" t="s">
        <v>258</v>
      </c>
      <c r="E51" s="17">
        <v>42471</v>
      </c>
      <c r="F51" s="18">
        <v>1512.79</v>
      </c>
      <c r="G51" s="60"/>
      <c r="H51" s="19">
        <f t="shared" si="4"/>
        <v>1512.79</v>
      </c>
    </row>
    <row r="52" spans="2:14" s="14" customFormat="1" x14ac:dyDescent="0.25">
      <c r="B52" s="194">
        <v>1289</v>
      </c>
      <c r="C52" s="141" t="s">
        <v>102</v>
      </c>
      <c r="D52" s="141" t="s">
        <v>369</v>
      </c>
      <c r="E52" s="23">
        <v>42471</v>
      </c>
      <c r="F52" s="26">
        <v>3686.66</v>
      </c>
      <c r="G52" s="7"/>
      <c r="H52" s="19">
        <f t="shared" si="4"/>
        <v>3686.66</v>
      </c>
    </row>
    <row r="53" spans="2:14" s="14" customFormat="1" x14ac:dyDescent="0.25">
      <c r="B53" s="194">
        <v>1290</v>
      </c>
      <c r="C53" s="141" t="s">
        <v>102</v>
      </c>
      <c r="D53" s="141" t="s">
        <v>214</v>
      </c>
      <c r="E53" s="23">
        <v>42471</v>
      </c>
      <c r="F53" s="26">
        <v>7010.24</v>
      </c>
      <c r="G53" s="7"/>
      <c r="H53" s="19">
        <f t="shared" si="4"/>
        <v>7010.24</v>
      </c>
    </row>
    <row r="54" spans="2:14" s="14" customFormat="1" x14ac:dyDescent="0.25">
      <c r="B54" s="194">
        <v>4630</v>
      </c>
      <c r="C54" s="141" t="s">
        <v>102</v>
      </c>
      <c r="D54" s="16" t="s">
        <v>376</v>
      </c>
      <c r="E54" s="17">
        <v>42472</v>
      </c>
      <c r="F54" s="18">
        <v>1794</v>
      </c>
      <c r="G54" s="7"/>
      <c r="H54" s="19">
        <f t="shared" si="4"/>
        <v>1794</v>
      </c>
    </row>
    <row r="55" spans="2:14" s="14" customFormat="1" x14ac:dyDescent="0.25">
      <c r="B55" s="194">
        <v>1295</v>
      </c>
      <c r="C55" s="141" t="s">
        <v>102</v>
      </c>
      <c r="D55" s="141" t="s">
        <v>212</v>
      </c>
      <c r="E55" s="23">
        <v>42474</v>
      </c>
      <c r="F55" s="26">
        <v>11980</v>
      </c>
      <c r="G55" s="7"/>
      <c r="H55" s="19">
        <f t="shared" si="4"/>
        <v>11980</v>
      </c>
    </row>
    <row r="56" spans="2:14" x14ac:dyDescent="0.25">
      <c r="B56" s="185">
        <v>1299</v>
      </c>
      <c r="C56" s="21" t="s">
        <v>102</v>
      </c>
      <c r="D56" s="21" t="s">
        <v>61</v>
      </c>
      <c r="E56" s="28">
        <v>42478</v>
      </c>
      <c r="F56" s="6">
        <v>274.54000000000002</v>
      </c>
      <c r="G56" s="7"/>
      <c r="H56" s="19">
        <f t="shared" si="4"/>
        <v>274.54000000000002</v>
      </c>
      <c r="I56" s="58"/>
    </row>
    <row r="57" spans="2:14" x14ac:dyDescent="0.25">
      <c r="B57" s="185">
        <v>1303</v>
      </c>
      <c r="C57" s="21" t="s">
        <v>102</v>
      </c>
      <c r="D57" s="21" t="s">
        <v>211</v>
      </c>
      <c r="E57" s="28">
        <v>42486</v>
      </c>
      <c r="F57" s="6">
        <v>483.2</v>
      </c>
      <c r="G57" s="7"/>
      <c r="H57" s="19">
        <f t="shared" si="4"/>
        <v>483.2</v>
      </c>
      <c r="I57" s="58"/>
    </row>
    <row r="58" spans="2:14" ht="15" thickBot="1" x14ac:dyDescent="0.3">
      <c r="B58" s="185"/>
      <c r="C58" s="21"/>
      <c r="D58" s="21"/>
      <c r="E58" s="28"/>
      <c r="F58" s="6"/>
      <c r="G58" s="7"/>
      <c r="H58" s="19">
        <f t="shared" si="4"/>
        <v>0</v>
      </c>
    </row>
    <row r="59" spans="2:14" ht="15" thickBot="1" x14ac:dyDescent="0.3">
      <c r="B59" s="201"/>
      <c r="C59" s="3"/>
      <c r="D59" s="4"/>
      <c r="E59" s="61"/>
      <c r="F59" s="62">
        <f>SUM(F49:F58)</f>
        <v>39679.07</v>
      </c>
      <c r="G59" s="36">
        <f>SUM(G49:G58)</f>
        <v>0</v>
      </c>
      <c r="H59" s="63">
        <f>SUM(H49:H58)</f>
        <v>39679.07</v>
      </c>
    </row>
    <row r="60" spans="2:14" x14ac:dyDescent="0.25">
      <c r="B60" s="204"/>
      <c r="C60" s="3"/>
      <c r="D60" s="65"/>
      <c r="E60" s="38" t="s">
        <v>8</v>
      </c>
      <c r="F60" s="39">
        <f>TOTAL!F9</f>
        <v>0</v>
      </c>
      <c r="G60" s="40" t="s">
        <v>9</v>
      </c>
      <c r="H60" s="41" t="e">
        <f>H59/F60%</f>
        <v>#DIV/0!</v>
      </c>
      <c r="I60" s="58" t="s">
        <v>10</v>
      </c>
    </row>
    <row r="61" spans="2:14" ht="15" thickBot="1" x14ac:dyDescent="0.3">
      <c r="B61" s="202"/>
      <c r="C61" s="43"/>
      <c r="D61" s="44"/>
      <c r="E61" s="59"/>
      <c r="F61" s="46"/>
      <c r="G61" s="47"/>
      <c r="H61" s="48"/>
      <c r="I61" s="14"/>
      <c r="J61" s="54"/>
    </row>
    <row r="62" spans="2:14" ht="18.75" thickTop="1" x14ac:dyDescent="0.25">
      <c r="B62" s="198" t="s">
        <v>15</v>
      </c>
      <c r="C62" s="49"/>
      <c r="D62" s="4"/>
      <c r="E62" s="5"/>
      <c r="F62" s="6"/>
      <c r="G62" s="7"/>
      <c r="H62" s="50"/>
      <c r="I62" s="14"/>
    </row>
    <row r="63" spans="2:14" x14ac:dyDescent="0.25">
      <c r="B63" s="199" t="s">
        <v>1</v>
      </c>
      <c r="C63" s="9" t="s">
        <v>2</v>
      </c>
      <c r="D63" s="10" t="s">
        <v>3</v>
      </c>
      <c r="E63" s="11" t="s">
        <v>4</v>
      </c>
      <c r="F63" s="12" t="s">
        <v>5</v>
      </c>
      <c r="G63" s="7" t="s">
        <v>12</v>
      </c>
      <c r="H63" s="13" t="s">
        <v>7</v>
      </c>
      <c r="I63" s="14"/>
    </row>
    <row r="64" spans="2:14" s="14" customFormat="1" x14ac:dyDescent="0.25">
      <c r="B64" s="195">
        <v>1277</v>
      </c>
      <c r="C64" s="15" t="s">
        <v>102</v>
      </c>
      <c r="D64" s="16" t="s">
        <v>308</v>
      </c>
      <c r="E64" s="17">
        <v>42460</v>
      </c>
      <c r="F64" s="18">
        <v>467</v>
      </c>
      <c r="G64" s="7">
        <v>94</v>
      </c>
      <c r="H64" s="19">
        <f t="shared" ref="H64:H87" si="5">F64-G64</f>
        <v>373</v>
      </c>
      <c r="J64" s="1"/>
      <c r="K64" s="1"/>
      <c r="L64" s="1"/>
      <c r="M64" s="1"/>
      <c r="N64" s="1"/>
    </row>
    <row r="65" spans="2:14" s="14" customFormat="1" x14ac:dyDescent="0.25">
      <c r="B65" s="182">
        <v>1278</v>
      </c>
      <c r="C65" s="29" t="s">
        <v>102</v>
      </c>
      <c r="D65" s="30" t="s">
        <v>355</v>
      </c>
      <c r="E65" s="31">
        <v>42464</v>
      </c>
      <c r="F65" s="6">
        <v>1020</v>
      </c>
      <c r="G65" s="7"/>
      <c r="H65" s="19">
        <f t="shared" si="5"/>
        <v>1020</v>
      </c>
      <c r="J65" s="1"/>
      <c r="K65" s="1"/>
      <c r="L65" s="1"/>
      <c r="M65" s="1"/>
      <c r="N65" s="1"/>
    </row>
    <row r="66" spans="2:14" s="14" customFormat="1" x14ac:dyDescent="0.25">
      <c r="B66" s="195">
        <v>1282</v>
      </c>
      <c r="C66" s="15" t="s">
        <v>102</v>
      </c>
      <c r="D66" s="15" t="s">
        <v>152</v>
      </c>
      <c r="E66" s="17">
        <v>42466</v>
      </c>
      <c r="F66" s="18">
        <v>20317.02</v>
      </c>
      <c r="G66" s="60">
        <v>373.43</v>
      </c>
      <c r="H66" s="19">
        <f t="shared" si="5"/>
        <v>19943.59</v>
      </c>
    </row>
    <row r="67" spans="2:14" s="14" customFormat="1" x14ac:dyDescent="0.25">
      <c r="B67" s="195">
        <v>1283</v>
      </c>
      <c r="C67" s="15" t="s">
        <v>102</v>
      </c>
      <c r="D67" s="16" t="s">
        <v>152</v>
      </c>
      <c r="E67" s="17">
        <v>42466</v>
      </c>
      <c r="F67" s="26">
        <v>13389.43</v>
      </c>
      <c r="G67" s="7">
        <v>891.78</v>
      </c>
      <c r="H67" s="19">
        <f t="shared" si="5"/>
        <v>12497.65</v>
      </c>
    </row>
    <row r="68" spans="2:14" s="14" customFormat="1" x14ac:dyDescent="0.25">
      <c r="B68" s="194">
        <v>4621</v>
      </c>
      <c r="C68" s="141" t="s">
        <v>102</v>
      </c>
      <c r="D68" s="16" t="s">
        <v>152</v>
      </c>
      <c r="E68" s="17">
        <v>42466</v>
      </c>
      <c r="F68" s="18">
        <v>15218.51</v>
      </c>
      <c r="G68" s="7"/>
      <c r="H68" s="19">
        <f t="shared" si="5"/>
        <v>15218.51</v>
      </c>
    </row>
    <row r="69" spans="2:14" s="14" customFormat="1" x14ac:dyDescent="0.25">
      <c r="B69" s="195">
        <v>130</v>
      </c>
      <c r="C69" s="15" t="s">
        <v>86</v>
      </c>
      <c r="D69" s="16" t="s">
        <v>357</v>
      </c>
      <c r="E69" s="17">
        <v>42468</v>
      </c>
      <c r="F69" s="6">
        <v>152.97999999999999</v>
      </c>
      <c r="G69" s="7"/>
      <c r="H69" s="19">
        <f t="shared" si="5"/>
        <v>152.97999999999999</v>
      </c>
    </row>
    <row r="70" spans="2:14" s="14" customFormat="1" x14ac:dyDescent="0.25">
      <c r="B70" s="194">
        <v>1284</v>
      </c>
      <c r="C70" s="141" t="s">
        <v>102</v>
      </c>
      <c r="D70" s="141" t="s">
        <v>363</v>
      </c>
      <c r="E70" s="23">
        <v>42468</v>
      </c>
      <c r="F70" s="26">
        <v>1026.0999999999999</v>
      </c>
      <c r="G70" s="7">
        <v>44.43</v>
      </c>
      <c r="H70" s="19">
        <f t="shared" si="5"/>
        <v>981.67</v>
      </c>
    </row>
    <row r="71" spans="2:14" s="14" customFormat="1" x14ac:dyDescent="0.25">
      <c r="B71" s="195">
        <v>4625</v>
      </c>
      <c r="C71" s="15" t="s">
        <v>102</v>
      </c>
      <c r="D71" s="16" t="s">
        <v>374</v>
      </c>
      <c r="E71" s="17">
        <v>42471</v>
      </c>
      <c r="F71" s="6">
        <v>423.47</v>
      </c>
      <c r="G71" s="7"/>
      <c r="H71" s="19">
        <f t="shared" si="5"/>
        <v>423.47</v>
      </c>
    </row>
    <row r="72" spans="2:14" s="14" customFormat="1" x14ac:dyDescent="0.25">
      <c r="B72" s="194">
        <v>1293</v>
      </c>
      <c r="C72" s="141" t="s">
        <v>102</v>
      </c>
      <c r="D72" s="16" t="s">
        <v>370</v>
      </c>
      <c r="E72" s="17">
        <v>42473</v>
      </c>
      <c r="F72" s="18">
        <v>621.55999999999995</v>
      </c>
      <c r="G72" s="7">
        <v>45</v>
      </c>
      <c r="H72" s="19">
        <f t="shared" si="5"/>
        <v>576.55999999999995</v>
      </c>
    </row>
    <row r="73" spans="2:14" s="14" customFormat="1" x14ac:dyDescent="0.25">
      <c r="B73" s="195">
        <v>1300</v>
      </c>
      <c r="C73" s="15" t="s">
        <v>102</v>
      </c>
      <c r="D73" s="16" t="s">
        <v>393</v>
      </c>
      <c r="E73" s="17">
        <v>42478</v>
      </c>
      <c r="F73" s="18">
        <v>629.05999999999995</v>
      </c>
      <c r="G73" s="7">
        <v>52.9</v>
      </c>
      <c r="H73" s="19">
        <f t="shared" si="5"/>
        <v>576.16</v>
      </c>
      <c r="I73" s="1"/>
    </row>
    <row r="74" spans="2:14" s="14" customFormat="1" x14ac:dyDescent="0.25">
      <c r="B74" s="195">
        <v>4640</v>
      </c>
      <c r="C74" s="15" t="s">
        <v>102</v>
      </c>
      <c r="D74" s="16" t="s">
        <v>200</v>
      </c>
      <c r="E74" s="17">
        <v>42478</v>
      </c>
      <c r="F74" s="18">
        <v>950</v>
      </c>
      <c r="G74" s="175">
        <v>150.47</v>
      </c>
      <c r="H74" s="19">
        <f t="shared" si="5"/>
        <v>799.53</v>
      </c>
      <c r="I74" s="1"/>
    </row>
    <row r="75" spans="2:14" s="14" customFormat="1" x14ac:dyDescent="0.25">
      <c r="B75" s="195">
        <v>4644</v>
      </c>
      <c r="C75" s="15" t="s">
        <v>102</v>
      </c>
      <c r="D75" s="16" t="s">
        <v>396</v>
      </c>
      <c r="E75" s="17">
        <v>42478</v>
      </c>
      <c r="F75" s="18">
        <v>1658.98</v>
      </c>
      <c r="G75" s="7">
        <v>59.9</v>
      </c>
      <c r="H75" s="19">
        <f t="shared" si="5"/>
        <v>1599.08</v>
      </c>
      <c r="I75" s="1"/>
    </row>
    <row r="76" spans="2:14" x14ac:dyDescent="0.25">
      <c r="B76" s="195">
        <v>4648</v>
      </c>
      <c r="C76" s="15" t="s">
        <v>102</v>
      </c>
      <c r="D76" s="16" t="s">
        <v>382</v>
      </c>
      <c r="E76" s="17">
        <v>42478</v>
      </c>
      <c r="F76" s="18">
        <v>448.67</v>
      </c>
      <c r="G76" s="175"/>
      <c r="H76" s="19">
        <f t="shared" si="5"/>
        <v>448.67</v>
      </c>
      <c r="J76" s="14"/>
      <c r="K76" s="14"/>
      <c r="L76" s="14"/>
      <c r="M76" s="14"/>
      <c r="N76" s="14"/>
    </row>
    <row r="77" spans="2:14" x14ac:dyDescent="0.25">
      <c r="B77" s="195">
        <v>146</v>
      </c>
      <c r="C77" s="15" t="s">
        <v>102</v>
      </c>
      <c r="D77" s="16" t="s">
        <v>384</v>
      </c>
      <c r="E77" s="17">
        <v>42480</v>
      </c>
      <c r="F77" s="18">
        <v>5389.9</v>
      </c>
      <c r="G77" s="7">
        <v>489.9</v>
      </c>
      <c r="H77" s="19">
        <f t="shared" si="5"/>
        <v>4900</v>
      </c>
      <c r="J77" s="14"/>
      <c r="K77" s="14"/>
      <c r="L77" s="14"/>
      <c r="M77" s="14"/>
      <c r="N77" s="14"/>
    </row>
    <row r="78" spans="2:14" x14ac:dyDescent="0.25">
      <c r="B78" s="195">
        <v>4655</v>
      </c>
      <c r="C78" s="15" t="s">
        <v>102</v>
      </c>
      <c r="D78" s="16" t="s">
        <v>398</v>
      </c>
      <c r="E78" s="17">
        <v>42480</v>
      </c>
      <c r="F78" s="18">
        <v>1998.85</v>
      </c>
      <c r="G78" s="175"/>
      <c r="H78" s="19">
        <f t="shared" si="5"/>
        <v>1998.85</v>
      </c>
      <c r="J78" s="14"/>
      <c r="K78" s="14"/>
      <c r="L78" s="14"/>
      <c r="M78" s="14"/>
      <c r="N78" s="14"/>
    </row>
    <row r="79" spans="2:14" x14ac:dyDescent="0.25">
      <c r="B79" s="195">
        <v>153</v>
      </c>
      <c r="C79" s="15" t="s">
        <v>102</v>
      </c>
      <c r="D79" s="16" t="s">
        <v>390</v>
      </c>
      <c r="E79" s="17">
        <v>42482</v>
      </c>
      <c r="F79" s="18">
        <v>1800</v>
      </c>
      <c r="G79" s="7">
        <v>100</v>
      </c>
      <c r="H79" s="19">
        <f t="shared" si="5"/>
        <v>1700</v>
      </c>
      <c r="J79" s="14"/>
      <c r="K79" s="14"/>
      <c r="L79" s="14"/>
      <c r="M79" s="14"/>
      <c r="N79" s="14"/>
    </row>
    <row r="80" spans="2:14" x14ac:dyDescent="0.25">
      <c r="B80" s="195">
        <v>4663</v>
      </c>
      <c r="C80" s="15" t="s">
        <v>102</v>
      </c>
      <c r="D80" s="16" t="s">
        <v>408</v>
      </c>
      <c r="E80" s="17">
        <v>42485</v>
      </c>
      <c r="F80" s="18">
        <v>2047.85</v>
      </c>
      <c r="G80" s="175">
        <v>49</v>
      </c>
      <c r="H80" s="19">
        <f t="shared" si="5"/>
        <v>1998.85</v>
      </c>
      <c r="J80" s="14"/>
      <c r="K80" s="14"/>
      <c r="L80" s="14"/>
      <c r="M80" s="14"/>
      <c r="N80" s="14"/>
    </row>
    <row r="81" spans="2:14" x14ac:dyDescent="0.25">
      <c r="B81" s="195">
        <v>157</v>
      </c>
      <c r="C81" s="15" t="s">
        <v>102</v>
      </c>
      <c r="D81" s="16" t="s">
        <v>409</v>
      </c>
      <c r="E81" s="17">
        <v>42486</v>
      </c>
      <c r="F81" s="18">
        <v>2600.62</v>
      </c>
      <c r="G81" s="175"/>
      <c r="H81" s="19">
        <f t="shared" si="5"/>
        <v>2600.62</v>
      </c>
      <c r="J81" s="14"/>
      <c r="K81" s="14"/>
      <c r="L81" s="14"/>
      <c r="M81" s="14"/>
      <c r="N81" s="14"/>
    </row>
    <row r="82" spans="2:14" x14ac:dyDescent="0.25">
      <c r="B82" s="195">
        <v>4664</v>
      </c>
      <c r="C82" s="15" t="s">
        <v>102</v>
      </c>
      <c r="D82" s="16" t="s">
        <v>391</v>
      </c>
      <c r="E82" s="17">
        <v>42486</v>
      </c>
      <c r="F82" s="18">
        <v>602.21</v>
      </c>
      <c r="G82" s="175">
        <v>59.9</v>
      </c>
      <c r="H82" s="19">
        <f t="shared" si="5"/>
        <v>542.31000000000006</v>
      </c>
      <c r="J82" s="14"/>
      <c r="K82" s="14"/>
      <c r="L82" s="14"/>
      <c r="M82" s="14"/>
      <c r="N82" s="14"/>
    </row>
    <row r="83" spans="2:14" x14ac:dyDescent="0.25">
      <c r="B83" s="195" t="s">
        <v>83</v>
      </c>
      <c r="C83" s="15" t="s">
        <v>102</v>
      </c>
      <c r="D83" s="16" t="s">
        <v>402</v>
      </c>
      <c r="E83" s="17">
        <v>42487</v>
      </c>
      <c r="F83" s="18">
        <v>400</v>
      </c>
      <c r="G83" s="7">
        <v>93.63</v>
      </c>
      <c r="H83" s="19">
        <f t="shared" si="5"/>
        <v>306.37</v>
      </c>
      <c r="J83" s="14"/>
      <c r="K83" s="14"/>
      <c r="L83" s="14"/>
      <c r="M83" s="14"/>
      <c r="N83" s="14"/>
    </row>
    <row r="84" spans="2:14" x14ac:dyDescent="0.25">
      <c r="B84" s="195">
        <v>4676</v>
      </c>
      <c r="C84" s="15" t="s">
        <v>102</v>
      </c>
      <c r="D84" s="16" t="s">
        <v>423</v>
      </c>
      <c r="E84" s="17">
        <v>42489</v>
      </c>
      <c r="F84" s="18">
        <v>1780</v>
      </c>
      <c r="G84" s="175">
        <v>28</v>
      </c>
      <c r="H84" s="19">
        <f t="shared" si="5"/>
        <v>1752</v>
      </c>
      <c r="I84" s="58"/>
    </row>
    <row r="85" spans="2:14" x14ac:dyDescent="0.25">
      <c r="B85" s="195">
        <v>4678</v>
      </c>
      <c r="C85" s="15" t="s">
        <v>102</v>
      </c>
      <c r="D85" s="16" t="s">
        <v>424</v>
      </c>
      <c r="E85" s="17">
        <v>42489</v>
      </c>
      <c r="F85" s="18">
        <v>390</v>
      </c>
      <c r="G85" s="7"/>
      <c r="H85" s="19">
        <f t="shared" si="5"/>
        <v>390</v>
      </c>
      <c r="I85" s="58"/>
    </row>
    <row r="86" spans="2:14" x14ac:dyDescent="0.25">
      <c r="B86" s="195" t="s">
        <v>83</v>
      </c>
      <c r="C86" s="15" t="s">
        <v>102</v>
      </c>
      <c r="D86" s="16" t="s">
        <v>406</v>
      </c>
      <c r="E86" s="17">
        <v>42489</v>
      </c>
      <c r="F86" s="18">
        <v>1750</v>
      </c>
      <c r="G86" s="175">
        <v>58</v>
      </c>
      <c r="H86" s="19">
        <f t="shared" si="5"/>
        <v>1692</v>
      </c>
      <c r="I86" s="58"/>
    </row>
    <row r="87" spans="2:14" x14ac:dyDescent="0.25">
      <c r="B87" s="195" t="s">
        <v>83</v>
      </c>
      <c r="C87" s="15" t="s">
        <v>102</v>
      </c>
      <c r="D87" s="16" t="s">
        <v>415</v>
      </c>
      <c r="E87" s="17">
        <v>42489</v>
      </c>
      <c r="F87" s="18">
        <v>2030</v>
      </c>
      <c r="G87" s="175"/>
      <c r="H87" s="19">
        <f t="shared" si="5"/>
        <v>2030</v>
      </c>
      <c r="I87" s="58"/>
    </row>
    <row r="88" spans="2:14" x14ac:dyDescent="0.25">
      <c r="B88" s="195"/>
      <c r="C88" s="15"/>
      <c r="D88" s="16"/>
      <c r="E88" s="17"/>
      <c r="F88" s="18"/>
      <c r="G88" s="7"/>
      <c r="H88" s="19">
        <f t="shared" ref="H88:H89" si="6">F88-G88</f>
        <v>0</v>
      </c>
      <c r="I88" s="58"/>
    </row>
    <row r="89" spans="2:14" ht="15" thickBot="1" x14ac:dyDescent="0.3">
      <c r="B89" s="185"/>
      <c r="C89" s="21"/>
      <c r="D89" s="21"/>
      <c r="E89" s="28"/>
      <c r="F89" s="6"/>
      <c r="G89" s="7"/>
      <c r="H89" s="19">
        <f t="shared" si="6"/>
        <v>0</v>
      </c>
    </row>
    <row r="90" spans="2:14" ht="15" thickBot="1" x14ac:dyDescent="0.3">
      <c r="B90" s="201"/>
      <c r="C90" s="3"/>
      <c r="D90" s="4"/>
      <c r="E90" s="61"/>
      <c r="F90" s="62">
        <f>SUM(F64:F89)</f>
        <v>77112.210000000006</v>
      </c>
      <c r="G90" s="36">
        <f>SUM(G64:G89)</f>
        <v>2590.3400000000006</v>
      </c>
      <c r="H90" s="63">
        <f>SUM(H64:H89)</f>
        <v>74521.87</v>
      </c>
    </row>
    <row r="91" spans="2:14" x14ac:dyDescent="0.25">
      <c r="B91" s="204"/>
      <c r="C91" s="3"/>
      <c r="D91" s="65"/>
      <c r="E91" s="38" t="s">
        <v>8</v>
      </c>
      <c r="F91" s="39">
        <f>TOTAL!F10</f>
        <v>65000</v>
      </c>
      <c r="G91" s="40" t="s">
        <v>9</v>
      </c>
      <c r="H91" s="41">
        <f>H90/F91%</f>
        <v>114.64903076923076</v>
      </c>
      <c r="I91" s="58" t="s">
        <v>10</v>
      </c>
    </row>
    <row r="92" spans="2:14" ht="15" thickBot="1" x14ac:dyDescent="0.3">
      <c r="B92" s="202"/>
      <c r="C92" s="43"/>
      <c r="D92" s="44"/>
      <c r="E92" s="45"/>
      <c r="F92" s="67"/>
      <c r="G92" s="47"/>
      <c r="H92" s="48"/>
      <c r="I92" s="14"/>
      <c r="J92" s="54"/>
    </row>
    <row r="93" spans="2:14" ht="18.75" thickTop="1" x14ac:dyDescent="0.25">
      <c r="B93" s="198" t="s">
        <v>49</v>
      </c>
      <c r="C93" s="49"/>
      <c r="D93" s="4"/>
      <c r="E93" s="5"/>
      <c r="F93" s="6"/>
      <c r="G93" s="7"/>
      <c r="H93" s="50"/>
      <c r="I93" s="14"/>
    </row>
    <row r="94" spans="2:14" x14ac:dyDescent="0.25">
      <c r="B94" s="199" t="s">
        <v>1</v>
      </c>
      <c r="C94" s="9" t="s">
        <v>2</v>
      </c>
      <c r="D94" s="10" t="s">
        <v>3</v>
      </c>
      <c r="E94" s="11" t="s">
        <v>4</v>
      </c>
      <c r="F94" s="12" t="s">
        <v>5</v>
      </c>
      <c r="G94" s="7" t="s">
        <v>12</v>
      </c>
      <c r="H94" s="13" t="s">
        <v>7</v>
      </c>
      <c r="I94" s="14"/>
    </row>
    <row r="95" spans="2:14" s="14" customFormat="1" x14ac:dyDescent="0.25">
      <c r="B95" s="182">
        <v>1115</v>
      </c>
      <c r="C95" s="29" t="s">
        <v>86</v>
      </c>
      <c r="D95" s="30" t="s">
        <v>152</v>
      </c>
      <c r="E95" s="31">
        <v>42466</v>
      </c>
      <c r="F95" s="6">
        <v>36519.129999999997</v>
      </c>
      <c r="G95" s="7"/>
      <c r="H95" s="19">
        <f t="shared" ref="H95:H135" si="7">F95-G95</f>
        <v>36519.129999999997</v>
      </c>
      <c r="J95" s="1"/>
      <c r="K95" s="1"/>
      <c r="L95" s="1"/>
      <c r="M95" s="1"/>
      <c r="N95" s="1"/>
    </row>
    <row r="96" spans="2:14" s="14" customFormat="1" x14ac:dyDescent="0.25">
      <c r="B96" s="195">
        <v>127</v>
      </c>
      <c r="C96" s="15" t="s">
        <v>86</v>
      </c>
      <c r="D96" s="16" t="s">
        <v>355</v>
      </c>
      <c r="E96" s="17">
        <v>42467</v>
      </c>
      <c r="F96" s="125">
        <v>690</v>
      </c>
      <c r="G96" s="7"/>
      <c r="H96" s="19">
        <f t="shared" si="7"/>
        <v>690</v>
      </c>
      <c r="J96" s="1"/>
      <c r="K96" s="1"/>
      <c r="L96" s="1"/>
      <c r="M96" s="1"/>
      <c r="N96" s="1"/>
    </row>
    <row r="97" spans="2:14" s="14" customFormat="1" x14ac:dyDescent="0.25">
      <c r="B97" s="195">
        <v>128</v>
      </c>
      <c r="C97" s="15" t="s">
        <v>86</v>
      </c>
      <c r="D97" s="16" t="s">
        <v>356</v>
      </c>
      <c r="E97" s="17">
        <v>42467</v>
      </c>
      <c r="F97" s="125">
        <v>3029.9</v>
      </c>
      <c r="G97" s="7"/>
      <c r="H97" s="19">
        <f t="shared" si="7"/>
        <v>3029.9</v>
      </c>
      <c r="J97" s="68"/>
    </row>
    <row r="98" spans="2:14" s="14" customFormat="1" x14ac:dyDescent="0.25">
      <c r="B98" s="195">
        <v>129</v>
      </c>
      <c r="C98" s="15" t="s">
        <v>95</v>
      </c>
      <c r="D98" s="16" t="s">
        <v>215</v>
      </c>
      <c r="E98" s="17">
        <v>42468</v>
      </c>
      <c r="F98" s="51">
        <v>990</v>
      </c>
      <c r="G98" s="7"/>
      <c r="H98" s="19">
        <f t="shared" si="7"/>
        <v>990</v>
      </c>
      <c r="I98" s="1"/>
    </row>
    <row r="99" spans="2:14" s="14" customFormat="1" x14ac:dyDescent="0.25">
      <c r="B99" s="195">
        <v>130</v>
      </c>
      <c r="C99" s="15" t="s">
        <v>86</v>
      </c>
      <c r="D99" s="16" t="s">
        <v>357</v>
      </c>
      <c r="E99" s="17">
        <v>42468</v>
      </c>
      <c r="F99" s="51">
        <v>550</v>
      </c>
      <c r="G99" s="7"/>
      <c r="H99" s="19">
        <f t="shared" si="7"/>
        <v>550</v>
      </c>
      <c r="I99" s="1"/>
    </row>
    <row r="100" spans="2:14" s="14" customFormat="1" x14ac:dyDescent="0.25">
      <c r="B100" s="195">
        <v>131</v>
      </c>
      <c r="C100" s="15" t="s">
        <v>84</v>
      </c>
      <c r="D100" s="16" t="s">
        <v>358</v>
      </c>
      <c r="E100" s="17">
        <v>42468</v>
      </c>
      <c r="F100" s="51">
        <v>290</v>
      </c>
      <c r="G100" s="7"/>
      <c r="H100" s="19">
        <f t="shared" si="7"/>
        <v>290</v>
      </c>
      <c r="I100" s="1"/>
    </row>
    <row r="101" spans="2:14" x14ac:dyDescent="0.25">
      <c r="B101" s="185">
        <v>132</v>
      </c>
      <c r="C101" s="21" t="s">
        <v>95</v>
      </c>
      <c r="D101" s="20" t="s">
        <v>359</v>
      </c>
      <c r="E101" s="28">
        <v>42468</v>
      </c>
      <c r="F101" s="125">
        <v>550</v>
      </c>
      <c r="G101" s="7"/>
      <c r="H101" s="19">
        <f t="shared" si="7"/>
        <v>550</v>
      </c>
      <c r="J101" s="14"/>
      <c r="K101" s="14"/>
      <c r="L101" s="14"/>
      <c r="M101" s="14"/>
      <c r="N101" s="14"/>
    </row>
    <row r="102" spans="2:14" x14ac:dyDescent="0.25">
      <c r="B102" s="195">
        <v>133</v>
      </c>
      <c r="C102" s="15" t="s">
        <v>95</v>
      </c>
      <c r="D102" s="16" t="s">
        <v>360</v>
      </c>
      <c r="E102" s="17">
        <v>42468</v>
      </c>
      <c r="F102" s="51">
        <v>990</v>
      </c>
      <c r="G102" s="7"/>
      <c r="H102" s="19">
        <f t="shared" si="7"/>
        <v>990</v>
      </c>
      <c r="J102" s="14"/>
      <c r="K102" s="14"/>
      <c r="L102" s="14"/>
      <c r="M102" s="14"/>
      <c r="N102" s="14"/>
    </row>
    <row r="103" spans="2:14" x14ac:dyDescent="0.25">
      <c r="B103" s="185">
        <v>134</v>
      </c>
      <c r="C103" s="21" t="s">
        <v>86</v>
      </c>
      <c r="D103" s="20" t="s">
        <v>361</v>
      </c>
      <c r="E103" s="28">
        <v>42468</v>
      </c>
      <c r="F103" s="125">
        <v>550</v>
      </c>
      <c r="G103" s="7"/>
      <c r="H103" s="19">
        <f t="shared" si="7"/>
        <v>550</v>
      </c>
    </row>
    <row r="104" spans="2:14" x14ac:dyDescent="0.25">
      <c r="B104" s="195">
        <v>135</v>
      </c>
      <c r="C104" s="15" t="s">
        <v>86</v>
      </c>
      <c r="D104" s="16" t="s">
        <v>362</v>
      </c>
      <c r="E104" s="17">
        <v>42468</v>
      </c>
      <c r="F104" s="51">
        <v>484</v>
      </c>
      <c r="G104" s="7"/>
      <c r="H104" s="19">
        <f t="shared" si="7"/>
        <v>484</v>
      </c>
    </row>
    <row r="105" spans="2:14" x14ac:dyDescent="0.25">
      <c r="B105" s="195">
        <v>136</v>
      </c>
      <c r="C105" s="15" t="s">
        <v>86</v>
      </c>
      <c r="D105" s="16" t="s">
        <v>161</v>
      </c>
      <c r="E105" s="17">
        <v>42471</v>
      </c>
      <c r="F105" s="51">
        <v>473.61</v>
      </c>
      <c r="G105" s="7"/>
      <c r="H105" s="19">
        <f t="shared" si="7"/>
        <v>473.61</v>
      </c>
      <c r="J105" s="54"/>
    </row>
    <row r="106" spans="2:14" x14ac:dyDescent="0.25">
      <c r="B106" s="185">
        <v>137</v>
      </c>
      <c r="C106" s="21" t="s">
        <v>95</v>
      </c>
      <c r="D106" s="20" t="s">
        <v>367</v>
      </c>
      <c r="E106" s="28">
        <v>42471</v>
      </c>
      <c r="F106" s="125">
        <v>430</v>
      </c>
      <c r="G106" s="7"/>
      <c r="H106" s="19">
        <f t="shared" si="7"/>
        <v>430</v>
      </c>
      <c r="J106" s="54"/>
    </row>
    <row r="107" spans="2:14" x14ac:dyDescent="0.25">
      <c r="B107" s="185">
        <v>138</v>
      </c>
      <c r="C107" s="21" t="s">
        <v>95</v>
      </c>
      <c r="D107" s="20" t="s">
        <v>368</v>
      </c>
      <c r="E107" s="28">
        <v>42471</v>
      </c>
      <c r="F107" s="125">
        <v>1500</v>
      </c>
      <c r="G107" s="7"/>
      <c r="H107" s="19">
        <f t="shared" si="7"/>
        <v>1500</v>
      </c>
      <c r="J107" s="54"/>
    </row>
    <row r="108" spans="2:14" x14ac:dyDescent="0.25">
      <c r="B108" s="185">
        <v>139</v>
      </c>
      <c r="C108" s="21" t="s">
        <v>86</v>
      </c>
      <c r="D108" s="20" t="s">
        <v>200</v>
      </c>
      <c r="E108" s="28">
        <v>42478</v>
      </c>
      <c r="F108" s="125">
        <v>650</v>
      </c>
      <c r="G108" s="7"/>
      <c r="H108" s="19">
        <f t="shared" si="7"/>
        <v>650</v>
      </c>
      <c r="J108" s="54"/>
    </row>
    <row r="109" spans="2:14" x14ac:dyDescent="0.25">
      <c r="B109" s="185">
        <v>140</v>
      </c>
      <c r="C109" s="21" t="s">
        <v>86</v>
      </c>
      <c r="D109" s="20" t="s">
        <v>381</v>
      </c>
      <c r="E109" s="28">
        <v>42478</v>
      </c>
      <c r="F109" s="125">
        <v>990</v>
      </c>
      <c r="G109" s="7"/>
      <c r="H109" s="19">
        <f t="shared" si="7"/>
        <v>990</v>
      </c>
      <c r="J109" s="54"/>
    </row>
    <row r="110" spans="2:14" x14ac:dyDescent="0.25">
      <c r="B110" s="185">
        <v>141</v>
      </c>
      <c r="C110" s="21" t="s">
        <v>86</v>
      </c>
      <c r="D110" s="20" t="s">
        <v>382</v>
      </c>
      <c r="E110" s="28">
        <v>42478</v>
      </c>
      <c r="F110" s="125">
        <v>550</v>
      </c>
      <c r="G110" s="7"/>
      <c r="H110" s="19">
        <f t="shared" si="7"/>
        <v>550</v>
      </c>
      <c r="J110" s="54"/>
    </row>
    <row r="111" spans="2:14" x14ac:dyDescent="0.25">
      <c r="B111" s="185">
        <v>144</v>
      </c>
      <c r="C111" s="21" t="s">
        <v>86</v>
      </c>
      <c r="D111" s="20" t="s">
        <v>285</v>
      </c>
      <c r="E111" s="28">
        <v>42480</v>
      </c>
      <c r="F111" s="6">
        <v>430</v>
      </c>
      <c r="G111" s="7"/>
      <c r="H111" s="19">
        <f t="shared" si="7"/>
        <v>430</v>
      </c>
      <c r="J111" s="54"/>
    </row>
    <row r="112" spans="2:14" x14ac:dyDescent="0.25">
      <c r="B112" s="185">
        <v>145</v>
      </c>
      <c r="C112" s="21" t="s">
        <v>86</v>
      </c>
      <c r="D112" s="20" t="s">
        <v>383</v>
      </c>
      <c r="E112" s="28">
        <v>42480</v>
      </c>
      <c r="F112" s="6">
        <v>517.79999999999995</v>
      </c>
      <c r="G112" s="7">
        <v>87.8</v>
      </c>
      <c r="H112" s="19">
        <f t="shared" si="7"/>
        <v>429.99999999999994</v>
      </c>
      <c r="J112" s="54"/>
    </row>
    <row r="113" spans="2:10" x14ac:dyDescent="0.25">
      <c r="B113" s="195">
        <v>146</v>
      </c>
      <c r="C113" s="15" t="s">
        <v>86</v>
      </c>
      <c r="D113" s="16" t="s">
        <v>384</v>
      </c>
      <c r="E113" s="17">
        <v>42480</v>
      </c>
      <c r="F113" s="6">
        <v>430</v>
      </c>
      <c r="G113" s="7"/>
      <c r="H113" s="19">
        <f t="shared" si="7"/>
        <v>430</v>
      </c>
      <c r="J113" s="54"/>
    </row>
    <row r="114" spans="2:10" x14ac:dyDescent="0.25">
      <c r="B114" s="195">
        <v>147</v>
      </c>
      <c r="C114" s="15" t="s">
        <v>86</v>
      </c>
      <c r="D114" s="16" t="s">
        <v>385</v>
      </c>
      <c r="E114" s="17">
        <v>42480</v>
      </c>
      <c r="F114" s="18">
        <v>549.9</v>
      </c>
      <c r="G114" s="7"/>
      <c r="H114" s="19">
        <f t="shared" si="7"/>
        <v>549.9</v>
      </c>
      <c r="J114" s="54"/>
    </row>
    <row r="115" spans="2:10" x14ac:dyDescent="0.25">
      <c r="B115" s="185">
        <v>148</v>
      </c>
      <c r="C115" s="21" t="s">
        <v>84</v>
      </c>
      <c r="D115" s="20" t="s">
        <v>386</v>
      </c>
      <c r="E115" s="28">
        <v>42480</v>
      </c>
      <c r="F115" s="125">
        <v>290</v>
      </c>
      <c r="G115" s="7"/>
      <c r="H115" s="19">
        <f t="shared" si="7"/>
        <v>290</v>
      </c>
      <c r="J115" s="54"/>
    </row>
    <row r="116" spans="2:10" x14ac:dyDescent="0.25">
      <c r="B116" s="185">
        <v>149</v>
      </c>
      <c r="C116" s="21" t="s">
        <v>86</v>
      </c>
      <c r="D116" s="20" t="s">
        <v>173</v>
      </c>
      <c r="E116" s="28">
        <v>42480</v>
      </c>
      <c r="F116" s="125">
        <v>472.9</v>
      </c>
      <c r="G116" s="7"/>
      <c r="H116" s="19">
        <f t="shared" si="7"/>
        <v>472.9</v>
      </c>
      <c r="J116" s="54"/>
    </row>
    <row r="117" spans="2:10" x14ac:dyDescent="0.25">
      <c r="B117" s="185">
        <v>150</v>
      </c>
      <c r="C117" s="21" t="s">
        <v>86</v>
      </c>
      <c r="D117" s="20" t="s">
        <v>387</v>
      </c>
      <c r="E117" s="28">
        <v>42480</v>
      </c>
      <c r="F117" s="125">
        <v>730</v>
      </c>
      <c r="G117" s="7"/>
      <c r="H117" s="19">
        <f t="shared" si="7"/>
        <v>730</v>
      </c>
      <c r="J117" s="54"/>
    </row>
    <row r="118" spans="2:10" x14ac:dyDescent="0.25">
      <c r="B118" s="185">
        <v>151</v>
      </c>
      <c r="C118" s="21" t="s">
        <v>95</v>
      </c>
      <c r="D118" s="20" t="s">
        <v>388</v>
      </c>
      <c r="E118" s="28">
        <v>42480</v>
      </c>
      <c r="F118" s="125">
        <v>550</v>
      </c>
      <c r="G118" s="7"/>
      <c r="H118" s="19">
        <f t="shared" si="7"/>
        <v>550</v>
      </c>
      <c r="J118" s="54"/>
    </row>
    <row r="119" spans="2:10" x14ac:dyDescent="0.25">
      <c r="B119" s="185">
        <v>152</v>
      </c>
      <c r="C119" s="21" t="s">
        <v>95</v>
      </c>
      <c r="D119" s="20" t="s">
        <v>389</v>
      </c>
      <c r="E119" s="28">
        <v>42480</v>
      </c>
      <c r="F119" s="125">
        <v>590</v>
      </c>
      <c r="G119" s="7"/>
      <c r="H119" s="19">
        <f t="shared" si="7"/>
        <v>590</v>
      </c>
      <c r="J119" s="54"/>
    </row>
    <row r="120" spans="2:10" x14ac:dyDescent="0.25">
      <c r="B120" s="195" t="s">
        <v>83</v>
      </c>
      <c r="C120" s="15" t="s">
        <v>84</v>
      </c>
      <c r="D120" s="16" t="s">
        <v>380</v>
      </c>
      <c r="E120" s="17">
        <v>42480</v>
      </c>
      <c r="F120" s="51">
        <v>290</v>
      </c>
      <c r="G120" s="7"/>
      <c r="H120" s="19">
        <f t="shared" si="7"/>
        <v>290</v>
      </c>
      <c r="J120" s="54"/>
    </row>
    <row r="121" spans="2:10" x14ac:dyDescent="0.25">
      <c r="B121" s="185" t="s">
        <v>83</v>
      </c>
      <c r="C121" s="21" t="s">
        <v>84</v>
      </c>
      <c r="D121" s="20" t="s">
        <v>250</v>
      </c>
      <c r="E121" s="28">
        <v>42480</v>
      </c>
      <c r="F121" s="125">
        <v>290</v>
      </c>
      <c r="G121" s="7"/>
      <c r="H121" s="19">
        <f t="shared" si="7"/>
        <v>290</v>
      </c>
      <c r="J121" s="54"/>
    </row>
    <row r="122" spans="2:10" x14ac:dyDescent="0.25">
      <c r="B122" s="185">
        <v>154</v>
      </c>
      <c r="C122" s="21" t="s">
        <v>86</v>
      </c>
      <c r="D122" s="20" t="s">
        <v>391</v>
      </c>
      <c r="E122" s="28">
        <v>42482</v>
      </c>
      <c r="F122" s="125">
        <v>580</v>
      </c>
      <c r="G122" s="7"/>
      <c r="H122" s="19">
        <f t="shared" si="7"/>
        <v>580</v>
      </c>
      <c r="J122" s="54"/>
    </row>
    <row r="123" spans="2:10" x14ac:dyDescent="0.25">
      <c r="B123" s="185">
        <v>155</v>
      </c>
      <c r="C123" s="21" t="s">
        <v>84</v>
      </c>
      <c r="D123" s="20" t="s">
        <v>407</v>
      </c>
      <c r="E123" s="28">
        <v>42485</v>
      </c>
      <c r="F123" s="6">
        <v>290</v>
      </c>
      <c r="G123" s="7"/>
      <c r="H123" s="19">
        <f t="shared" si="7"/>
        <v>290</v>
      </c>
      <c r="J123" s="54"/>
    </row>
    <row r="124" spans="2:10" x14ac:dyDescent="0.25">
      <c r="B124" s="185">
        <v>156</v>
      </c>
      <c r="C124" s="21" t="s">
        <v>86</v>
      </c>
      <c r="D124" s="20" t="s">
        <v>408</v>
      </c>
      <c r="E124" s="28">
        <v>42486</v>
      </c>
      <c r="F124" s="6">
        <v>1720</v>
      </c>
      <c r="G124" s="7"/>
      <c r="H124" s="19">
        <f t="shared" si="7"/>
        <v>1720</v>
      </c>
      <c r="J124" s="54"/>
    </row>
    <row r="125" spans="2:10" x14ac:dyDescent="0.25">
      <c r="B125" s="185" t="s">
        <v>83</v>
      </c>
      <c r="C125" s="21" t="s">
        <v>84</v>
      </c>
      <c r="D125" s="20" t="s">
        <v>401</v>
      </c>
      <c r="E125" s="28">
        <v>42486</v>
      </c>
      <c r="F125" s="125">
        <v>290</v>
      </c>
      <c r="G125" s="7"/>
      <c r="H125" s="19">
        <f t="shared" si="7"/>
        <v>290</v>
      </c>
      <c r="J125" s="54"/>
    </row>
    <row r="126" spans="2:10" x14ac:dyDescent="0.25">
      <c r="B126" s="195">
        <v>158</v>
      </c>
      <c r="C126" s="15" t="s">
        <v>86</v>
      </c>
      <c r="D126" s="16" t="s">
        <v>410</v>
      </c>
      <c r="E126" s="17">
        <v>42487</v>
      </c>
      <c r="F126" s="18">
        <v>1980</v>
      </c>
      <c r="G126" s="7"/>
      <c r="H126" s="19">
        <f t="shared" si="7"/>
        <v>1980</v>
      </c>
      <c r="J126" s="54"/>
    </row>
    <row r="127" spans="2:10" x14ac:dyDescent="0.25">
      <c r="B127" s="185">
        <v>159</v>
      </c>
      <c r="C127" s="21" t="s">
        <v>86</v>
      </c>
      <c r="D127" s="20" t="s">
        <v>411</v>
      </c>
      <c r="E127" s="28">
        <v>42488</v>
      </c>
      <c r="F127" s="6">
        <v>459.9</v>
      </c>
      <c r="G127" s="7"/>
      <c r="H127" s="19">
        <f t="shared" si="7"/>
        <v>459.9</v>
      </c>
      <c r="J127" s="54"/>
    </row>
    <row r="128" spans="2:10" x14ac:dyDescent="0.25">
      <c r="B128" s="185">
        <v>160</v>
      </c>
      <c r="C128" s="21" t="s">
        <v>95</v>
      </c>
      <c r="D128" s="20" t="s">
        <v>412</v>
      </c>
      <c r="E128" s="28">
        <v>42488</v>
      </c>
      <c r="F128" s="6">
        <v>550</v>
      </c>
      <c r="G128" s="7"/>
      <c r="H128" s="19">
        <f t="shared" si="7"/>
        <v>550</v>
      </c>
      <c r="J128" s="54"/>
    </row>
    <row r="129" spans="2:10" x14ac:dyDescent="0.25">
      <c r="B129" s="185">
        <v>161</v>
      </c>
      <c r="C129" s="21" t="s">
        <v>84</v>
      </c>
      <c r="D129" s="20" t="s">
        <v>413</v>
      </c>
      <c r="E129" s="28">
        <v>42488</v>
      </c>
      <c r="F129" s="6">
        <v>290</v>
      </c>
      <c r="G129" s="7"/>
      <c r="H129" s="19">
        <f t="shared" si="7"/>
        <v>290</v>
      </c>
      <c r="J129" s="54"/>
    </row>
    <row r="130" spans="2:10" x14ac:dyDescent="0.25">
      <c r="B130" s="185" t="s">
        <v>83</v>
      </c>
      <c r="C130" s="21" t="s">
        <v>84</v>
      </c>
      <c r="D130" s="20" t="s">
        <v>403</v>
      </c>
      <c r="E130" s="28">
        <v>42488</v>
      </c>
      <c r="F130" s="6">
        <v>290</v>
      </c>
      <c r="G130" s="7"/>
      <c r="H130" s="19">
        <f t="shared" si="7"/>
        <v>290</v>
      </c>
    </row>
    <row r="131" spans="2:10" x14ac:dyDescent="0.25">
      <c r="B131" s="185" t="s">
        <v>83</v>
      </c>
      <c r="C131" s="21" t="s">
        <v>84</v>
      </c>
      <c r="D131" s="20" t="s">
        <v>404</v>
      </c>
      <c r="E131" s="28">
        <v>42488</v>
      </c>
      <c r="F131" s="6">
        <v>290</v>
      </c>
      <c r="G131" s="7"/>
      <c r="H131" s="19">
        <f t="shared" si="7"/>
        <v>290</v>
      </c>
    </row>
    <row r="132" spans="2:10" x14ac:dyDescent="0.25">
      <c r="B132" s="185" t="s">
        <v>83</v>
      </c>
      <c r="C132" s="21" t="s">
        <v>95</v>
      </c>
      <c r="D132" s="20" t="s">
        <v>405</v>
      </c>
      <c r="E132" s="28">
        <v>42488</v>
      </c>
      <c r="F132" s="6">
        <v>430</v>
      </c>
      <c r="G132" s="7"/>
      <c r="H132" s="19">
        <f t="shared" si="7"/>
        <v>430</v>
      </c>
    </row>
    <row r="133" spans="2:10" x14ac:dyDescent="0.25">
      <c r="B133" s="185">
        <v>162</v>
      </c>
      <c r="C133" s="21" t="s">
        <v>86</v>
      </c>
      <c r="D133" s="20" t="s">
        <v>414</v>
      </c>
      <c r="E133" s="28">
        <v>42489</v>
      </c>
      <c r="F133" s="6">
        <v>430</v>
      </c>
      <c r="G133" s="7"/>
      <c r="H133" s="19">
        <f t="shared" si="7"/>
        <v>430</v>
      </c>
    </row>
    <row r="134" spans="2:10" x14ac:dyDescent="0.25">
      <c r="B134" s="185"/>
      <c r="C134" s="21"/>
      <c r="D134" s="20"/>
      <c r="E134" s="28"/>
      <c r="F134" s="6"/>
      <c r="G134" s="7"/>
      <c r="H134" s="19">
        <f t="shared" si="7"/>
        <v>0</v>
      </c>
    </row>
    <row r="135" spans="2:10" ht="15" thickBot="1" x14ac:dyDescent="0.3">
      <c r="B135" s="185"/>
      <c r="C135" s="21"/>
      <c r="D135" s="20"/>
      <c r="E135" s="28"/>
      <c r="F135" s="6"/>
      <c r="G135" s="7"/>
      <c r="H135" s="19">
        <f t="shared" si="7"/>
        <v>0</v>
      </c>
    </row>
    <row r="136" spans="2:10" ht="15" thickBot="1" x14ac:dyDescent="0.3">
      <c r="E136" s="70"/>
      <c r="F136" s="62">
        <f>SUM(F95:F135)</f>
        <v>61977.140000000007</v>
      </c>
      <c r="G136" s="36"/>
      <c r="H136" s="63">
        <f>SUM(H95:H135)</f>
        <v>61889.340000000004</v>
      </c>
    </row>
    <row r="137" spans="2:10" x14ac:dyDescent="0.25">
      <c r="E137" s="38" t="s">
        <v>8</v>
      </c>
      <c r="F137" s="39">
        <f>TOTAL!F11</f>
        <v>70000</v>
      </c>
      <c r="G137" s="40" t="s">
        <v>16</v>
      </c>
      <c r="H137" s="71">
        <f>H136/F137%</f>
        <v>88.413342857142865</v>
      </c>
      <c r="I137" s="58" t="s">
        <v>10</v>
      </c>
    </row>
    <row r="138" spans="2:10" ht="15" thickBot="1" x14ac:dyDescent="0.3">
      <c r="E138" s="38"/>
      <c r="F138" s="39"/>
      <c r="G138" s="40"/>
      <c r="H138" s="71"/>
      <c r="I138" s="58"/>
    </row>
    <row r="139" spans="2:10" ht="18.75" thickTop="1" x14ac:dyDescent="0.25">
      <c r="B139" s="207" t="s">
        <v>150</v>
      </c>
      <c r="C139" s="76"/>
      <c r="D139" s="83"/>
      <c r="E139" s="77"/>
      <c r="F139" s="77"/>
      <c r="G139" s="77"/>
      <c r="H139" s="77"/>
      <c r="I139" s="58"/>
    </row>
    <row r="140" spans="2:10" x14ac:dyDescent="0.25">
      <c r="B140" s="199" t="s">
        <v>1</v>
      </c>
      <c r="C140" s="9" t="s">
        <v>2</v>
      </c>
      <c r="D140" s="10" t="s">
        <v>3</v>
      </c>
      <c r="E140" s="241" t="s">
        <v>4</v>
      </c>
      <c r="F140" s="12" t="s">
        <v>5</v>
      </c>
      <c r="G140" s="7" t="s">
        <v>12</v>
      </c>
      <c r="H140" s="13" t="s">
        <v>7</v>
      </c>
      <c r="I140" s="58"/>
    </row>
    <row r="141" spans="2:10" x14ac:dyDescent="0.25">
      <c r="B141" s="182">
        <v>125</v>
      </c>
      <c r="C141" s="29" t="s">
        <v>151</v>
      </c>
      <c r="D141" s="30" t="s">
        <v>152</v>
      </c>
      <c r="E141" s="31">
        <v>42466</v>
      </c>
      <c r="F141" s="6">
        <v>15065.94</v>
      </c>
      <c r="G141" s="7"/>
      <c r="H141" s="19">
        <f t="shared" ref="H141:H144" si="8">F141-G141</f>
        <v>15065.94</v>
      </c>
      <c r="I141" s="58"/>
    </row>
    <row r="142" spans="2:10" x14ac:dyDescent="0.25">
      <c r="B142" s="182">
        <v>143</v>
      </c>
      <c r="C142" s="29" t="s">
        <v>151</v>
      </c>
      <c r="D142" s="30" t="s">
        <v>152</v>
      </c>
      <c r="E142" s="31">
        <v>42479</v>
      </c>
      <c r="F142" s="6">
        <v>11909.88</v>
      </c>
      <c r="G142" s="7"/>
      <c r="H142" s="19">
        <f t="shared" si="8"/>
        <v>11909.88</v>
      </c>
      <c r="I142" s="58"/>
    </row>
    <row r="143" spans="2:10" x14ac:dyDescent="0.25">
      <c r="B143" s="182">
        <v>4650</v>
      </c>
      <c r="C143" s="29" t="s">
        <v>151</v>
      </c>
      <c r="D143" s="30" t="s">
        <v>152</v>
      </c>
      <c r="E143" s="31">
        <v>42479</v>
      </c>
      <c r="F143" s="6">
        <v>11292.32</v>
      </c>
      <c r="G143" s="7"/>
      <c r="H143" s="19">
        <f t="shared" si="8"/>
        <v>11292.32</v>
      </c>
      <c r="I143" s="58"/>
    </row>
    <row r="144" spans="2:10" ht="15" thickBot="1" x14ac:dyDescent="0.3">
      <c r="B144" s="182"/>
      <c r="C144" s="29"/>
      <c r="D144" s="30"/>
      <c r="E144" s="31"/>
      <c r="F144" s="6"/>
      <c r="G144" s="7"/>
      <c r="H144" s="19">
        <f t="shared" si="8"/>
        <v>0</v>
      </c>
      <c r="I144" s="58"/>
    </row>
    <row r="145" spans="2:14" ht="15" thickBot="1" x14ac:dyDescent="0.3">
      <c r="B145" s="182"/>
      <c r="C145" s="29"/>
      <c r="D145" s="30"/>
      <c r="E145" s="31"/>
      <c r="F145" s="35"/>
      <c r="G145" s="36"/>
      <c r="H145" s="37">
        <f>SUM(H141:H144)</f>
        <v>38268.14</v>
      </c>
      <c r="I145" s="58"/>
    </row>
    <row r="146" spans="2:14" x14ac:dyDescent="0.25">
      <c r="E146" s="38"/>
      <c r="F146" s="39"/>
      <c r="G146" s="40"/>
      <c r="H146" s="71"/>
      <c r="I146" s="58"/>
    </row>
    <row r="147" spans="2:14" ht="15" thickBot="1" x14ac:dyDescent="0.3">
      <c r="B147" s="206"/>
      <c r="C147" s="79"/>
      <c r="D147" s="80"/>
      <c r="E147" s="81"/>
      <c r="F147" s="82"/>
      <c r="G147" s="7"/>
      <c r="H147" s="74"/>
    </row>
    <row r="148" spans="2:14" ht="18.75" thickTop="1" x14ac:dyDescent="0.25">
      <c r="B148" s="207" t="s">
        <v>44</v>
      </c>
      <c r="C148" s="76"/>
      <c r="D148" s="83"/>
      <c r="E148" s="77"/>
      <c r="F148" s="84"/>
      <c r="G148" s="78"/>
      <c r="H148" s="50"/>
      <c r="J148" s="14"/>
    </row>
    <row r="149" spans="2:14" x14ac:dyDescent="0.25">
      <c r="B149" s="199" t="s">
        <v>1</v>
      </c>
      <c r="C149" s="9" t="s">
        <v>2</v>
      </c>
      <c r="D149" s="10" t="s">
        <v>3</v>
      </c>
      <c r="E149" s="11" t="s">
        <v>4</v>
      </c>
      <c r="F149" s="12" t="s">
        <v>5</v>
      </c>
      <c r="G149" s="7" t="s">
        <v>12</v>
      </c>
      <c r="H149" s="13" t="s">
        <v>7</v>
      </c>
    </row>
    <row r="150" spans="2:14" s="14" customFormat="1" x14ac:dyDescent="0.25">
      <c r="B150" s="185">
        <v>1285</v>
      </c>
      <c r="C150" s="185" t="s">
        <v>102</v>
      </c>
      <c r="D150" s="186" t="s">
        <v>364</v>
      </c>
      <c r="E150" s="176">
        <v>42468</v>
      </c>
      <c r="F150" s="177">
        <v>486</v>
      </c>
      <c r="G150" s="175">
        <v>36</v>
      </c>
      <c r="H150" s="19">
        <f t="shared" ref="H150:H157" si="9">F150-G150</f>
        <v>450</v>
      </c>
      <c r="I150" s="1"/>
      <c r="J150" s="1"/>
      <c r="K150" s="1"/>
      <c r="L150" s="1"/>
      <c r="M150" s="1"/>
      <c r="N150" s="1"/>
    </row>
    <row r="151" spans="2:14" s="14" customFormat="1" x14ac:dyDescent="0.25">
      <c r="B151" s="185">
        <v>1297</v>
      </c>
      <c r="C151" s="185" t="s">
        <v>102</v>
      </c>
      <c r="D151" s="186" t="s">
        <v>373</v>
      </c>
      <c r="E151" s="176">
        <v>42475</v>
      </c>
      <c r="F151" s="177">
        <v>280</v>
      </c>
      <c r="G151" s="175"/>
      <c r="H151" s="19">
        <f t="shared" si="9"/>
        <v>280</v>
      </c>
      <c r="I151" s="1"/>
      <c r="J151" s="1"/>
      <c r="K151" s="1"/>
      <c r="L151" s="1"/>
      <c r="M151" s="1"/>
      <c r="N151" s="1"/>
    </row>
    <row r="152" spans="2:14" s="14" customFormat="1" x14ac:dyDescent="0.25">
      <c r="B152" s="185">
        <v>1302</v>
      </c>
      <c r="C152" s="185" t="s">
        <v>102</v>
      </c>
      <c r="D152" s="186" t="s">
        <v>394</v>
      </c>
      <c r="E152" s="176">
        <v>42482</v>
      </c>
      <c r="F152" s="177">
        <v>425</v>
      </c>
      <c r="G152" s="175"/>
      <c r="H152" s="19">
        <f t="shared" si="9"/>
        <v>425</v>
      </c>
      <c r="I152" s="1"/>
      <c r="J152" s="1"/>
    </row>
    <row r="153" spans="2:14" s="14" customFormat="1" x14ac:dyDescent="0.25">
      <c r="B153" s="185">
        <v>4662</v>
      </c>
      <c r="C153" s="21" t="s">
        <v>181</v>
      </c>
      <c r="D153" s="20" t="s">
        <v>419</v>
      </c>
      <c r="E153" s="28">
        <v>42485</v>
      </c>
      <c r="F153" s="177">
        <v>450</v>
      </c>
      <c r="G153" s="175"/>
      <c r="H153" s="19">
        <f t="shared" si="9"/>
        <v>450</v>
      </c>
      <c r="I153" s="58"/>
      <c r="J153" s="54"/>
    </row>
    <row r="154" spans="2:14" s="14" customFormat="1" x14ac:dyDescent="0.25">
      <c r="B154" s="185">
        <v>1306</v>
      </c>
      <c r="C154" s="185" t="s">
        <v>102</v>
      </c>
      <c r="D154" s="186" t="s">
        <v>416</v>
      </c>
      <c r="E154" s="176">
        <v>42487</v>
      </c>
      <c r="F154" s="177">
        <v>472</v>
      </c>
      <c r="G154" s="175">
        <v>22.59</v>
      </c>
      <c r="H154" s="19">
        <f t="shared" si="9"/>
        <v>449.41</v>
      </c>
      <c r="J154" s="1"/>
    </row>
    <row r="155" spans="2:14" s="14" customFormat="1" x14ac:dyDescent="0.25">
      <c r="B155" s="185">
        <v>1308</v>
      </c>
      <c r="C155" s="185" t="s">
        <v>102</v>
      </c>
      <c r="D155" s="186" t="s">
        <v>417</v>
      </c>
      <c r="E155" s="176">
        <v>42489</v>
      </c>
      <c r="F155" s="177">
        <v>470</v>
      </c>
      <c r="G155" s="175">
        <v>20</v>
      </c>
      <c r="H155" s="19">
        <f t="shared" si="9"/>
        <v>450</v>
      </c>
      <c r="J155" s="54"/>
    </row>
    <row r="156" spans="2:14" s="14" customFormat="1" x14ac:dyDescent="0.25">
      <c r="B156" s="185">
        <v>1311</v>
      </c>
      <c r="C156" s="185" t="s">
        <v>102</v>
      </c>
      <c r="D156" s="185" t="s">
        <v>444</v>
      </c>
      <c r="E156" s="171">
        <v>42492</v>
      </c>
      <c r="F156" s="172">
        <v>430</v>
      </c>
      <c r="G156" s="173">
        <v>30</v>
      </c>
      <c r="H156" s="19">
        <f t="shared" si="9"/>
        <v>400</v>
      </c>
      <c r="J156" s="54"/>
    </row>
    <row r="157" spans="2:14" ht="15" thickBot="1" x14ac:dyDescent="0.3">
      <c r="B157" s="185"/>
      <c r="C157" s="21"/>
      <c r="D157" s="20"/>
      <c r="E157" s="28"/>
      <c r="F157" s="18"/>
      <c r="G157" s="7"/>
      <c r="H157" s="19">
        <f t="shared" si="9"/>
        <v>0</v>
      </c>
      <c r="I157" s="101"/>
      <c r="K157" s="14"/>
      <c r="L157" s="14"/>
      <c r="M157" s="14"/>
      <c r="N157" s="14"/>
    </row>
    <row r="158" spans="2:14" ht="15" thickBot="1" x14ac:dyDescent="0.3">
      <c r="B158" s="208"/>
      <c r="C158" s="85"/>
      <c r="D158" s="14"/>
      <c r="E158" s="86"/>
      <c r="F158" s="62">
        <f>SUM(F150:F157)</f>
        <v>3013</v>
      </c>
      <c r="G158" s="36">
        <f>SUM(G150:G157)</f>
        <v>108.59</v>
      </c>
      <c r="H158" s="63">
        <f>SUM(H150:H157)</f>
        <v>2904.41</v>
      </c>
      <c r="I158" s="14"/>
      <c r="K158" s="14"/>
      <c r="L158" s="14"/>
      <c r="M158" s="14"/>
      <c r="N158" s="14"/>
    </row>
    <row r="159" spans="2:14" x14ac:dyDescent="0.25">
      <c r="E159" s="38" t="s">
        <v>8</v>
      </c>
      <c r="F159" s="39">
        <f>TOTAL!F12</f>
        <v>5515</v>
      </c>
      <c r="G159" s="40" t="s">
        <v>16</v>
      </c>
      <c r="H159" s="71">
        <f>H158/F159%</f>
        <v>52.663825929283767</v>
      </c>
      <c r="I159" s="58" t="s">
        <v>10</v>
      </c>
    </row>
    <row r="160" spans="2:14" ht="15" thickBot="1" x14ac:dyDescent="0.3">
      <c r="B160" s="201"/>
      <c r="C160" s="3"/>
      <c r="D160" s="87"/>
      <c r="E160" s="88"/>
      <c r="F160" s="89"/>
      <c r="G160" s="90"/>
      <c r="H160" s="8"/>
      <c r="I160" s="14"/>
    </row>
    <row r="161" spans="1:14" ht="15" thickBot="1" x14ac:dyDescent="0.3">
      <c r="D161" s="288" t="s">
        <v>445</v>
      </c>
      <c r="E161" s="288"/>
      <c r="F161" s="288"/>
      <c r="G161" s="288"/>
      <c r="H161" s="91">
        <f>SUM(SUM(H64))</f>
        <v>373</v>
      </c>
      <c r="I161" s="14"/>
    </row>
    <row r="162" spans="1:14" ht="15" thickBot="1" x14ac:dyDescent="0.3">
      <c r="D162" s="285" t="s">
        <v>446</v>
      </c>
      <c r="E162" s="285"/>
      <c r="F162" s="285"/>
      <c r="G162" s="285"/>
      <c r="H162" s="92">
        <f>SUM(SUM(H49:H50)+SUM(H65:H70)+SUM(H95:H104)+SUM(H141)+SUM(H150))</f>
        <v>122911.01000000001</v>
      </c>
      <c r="I162" s="14"/>
    </row>
    <row r="163" spans="1:14" ht="15" thickBot="1" x14ac:dyDescent="0.3">
      <c r="D163" s="286" t="s">
        <v>447</v>
      </c>
      <c r="E163" s="286"/>
      <c r="F163" s="286"/>
      <c r="G163" s="286"/>
      <c r="H163" s="93">
        <f>SUM(SUM(H3:H9)+SUM(H51:H55)+SUM(H71:H72)+SUM(H105:H107)+SUM(H151))</f>
        <v>183367.33</v>
      </c>
      <c r="I163" s="14"/>
    </row>
    <row r="164" spans="1:14" ht="15" thickBot="1" x14ac:dyDescent="0.3">
      <c r="D164" s="287" t="s">
        <v>448</v>
      </c>
      <c r="E164" s="287"/>
      <c r="F164" s="287"/>
      <c r="G164" s="287"/>
      <c r="H164" s="94">
        <f>SUM(SUM(H10:H16)+SUM(H40)+SUM(H56)+SUM(H73:H79)+SUM(H108:H122)+SUM(H142:H143)+SUM(H152))</f>
        <v>330401.82999999996</v>
      </c>
      <c r="I164" s="14"/>
    </row>
    <row r="165" spans="1:14" ht="15" thickBot="1" x14ac:dyDescent="0.3">
      <c r="D165" s="283" t="s">
        <v>449</v>
      </c>
      <c r="E165" s="283"/>
      <c r="F165" s="283"/>
      <c r="G165" s="283"/>
      <c r="H165" s="95">
        <f>SUM(SUM(H17:H24)+SUM(H41)+SUM(H57)+SUM(H80:H87)+SUM(H123:H133)+SUM(H153:H156))</f>
        <v>189218.66</v>
      </c>
      <c r="I165" s="14"/>
    </row>
    <row r="166" spans="1:14" ht="15" thickBot="1" x14ac:dyDescent="0.3">
      <c r="D166" s="96"/>
      <c r="E166" s="97"/>
      <c r="F166" s="98"/>
      <c r="G166" s="99"/>
      <c r="H166" s="100">
        <f>SUM(H161:H165)</f>
        <v>826271.83</v>
      </c>
      <c r="I166" s="101">
        <f>SUM(H27,H35,H44,H59,H90,H136,H158,H145)</f>
        <v>826271.83</v>
      </c>
    </row>
    <row r="167" spans="1:14" x14ac:dyDescent="0.25">
      <c r="B167" s="180"/>
      <c r="C167" s="1"/>
      <c r="E167" s="70"/>
    </row>
    <row r="172" spans="1:14" s="104" customFormat="1" x14ac:dyDescent="0.25">
      <c r="A172" s="1"/>
      <c r="B172" s="205"/>
      <c r="C172" s="69"/>
      <c r="D172" s="1"/>
      <c r="E172" s="70"/>
      <c r="F172" s="73"/>
      <c r="G172" s="103"/>
      <c r="I172" s="1"/>
      <c r="J172" s="1"/>
      <c r="K172" s="1"/>
      <c r="L172" s="1"/>
      <c r="M172" s="1"/>
      <c r="N172" s="1"/>
    </row>
    <row r="173" spans="1:14" x14ac:dyDescent="0.25">
      <c r="K173" s="104"/>
      <c r="L173" s="104"/>
      <c r="M173" s="104"/>
      <c r="N173" s="104"/>
    </row>
    <row r="179" spans="1:14" s="104" customFormat="1" x14ac:dyDescent="0.25">
      <c r="A179" s="1"/>
      <c r="B179" s="205"/>
      <c r="C179" s="69"/>
      <c r="D179" s="1"/>
      <c r="E179" s="70"/>
      <c r="F179" s="73"/>
      <c r="G179" s="103"/>
      <c r="I179" s="1"/>
      <c r="J179" s="1"/>
      <c r="K179" s="1"/>
      <c r="L179" s="1"/>
      <c r="M179" s="1"/>
      <c r="N179" s="1"/>
    </row>
    <row r="180" spans="1:14" x14ac:dyDescent="0.25">
      <c r="K180" s="104"/>
      <c r="L180" s="104"/>
      <c r="M180" s="104"/>
      <c r="N180" s="104"/>
    </row>
  </sheetData>
  <sortState ref="B109:G147">
    <sortCondition ref="E109:E147"/>
    <sortCondition ref="B109:B147"/>
  </sortState>
  <mergeCells count="6">
    <mergeCell ref="D165:G165"/>
    <mergeCell ref="J1:N1"/>
    <mergeCell ref="D161:G161"/>
    <mergeCell ref="D162:G162"/>
    <mergeCell ref="D163:G163"/>
    <mergeCell ref="D164:G164"/>
  </mergeCells>
  <phoneticPr fontId="38" type="noConversion"/>
  <pageMargins left="0.75" right="0.75" top="1" bottom="1" header="0.49212598499999999" footer="0.49212598499999999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95"/>
  <sheetViews>
    <sheetView showGridLines="0" zoomScale="85" workbookViewId="0"/>
  </sheetViews>
  <sheetFormatPr defaultRowHeight="14.25" x14ac:dyDescent="0.25"/>
  <cols>
    <col min="1" max="1" width="9.140625" style="1" customWidth="1"/>
    <col min="2" max="2" width="11.5703125" style="205" customWidth="1"/>
    <col min="3" max="3" width="22" style="69" customWidth="1"/>
    <col min="4" max="4" width="60.28515625" style="1" bestFit="1" customWidth="1"/>
    <col min="5" max="5" width="18.7109375" style="72" customWidth="1"/>
    <col min="6" max="6" width="16.28515625" style="73" customWidth="1"/>
    <col min="7" max="7" width="16.5703125" style="103" customWidth="1"/>
    <col min="8" max="8" width="23.42578125" style="104" customWidth="1"/>
    <col min="9" max="9" width="34" style="1" customWidth="1"/>
    <col min="10" max="14" width="15.7109375" style="1" customWidth="1"/>
    <col min="15" max="16384" width="9.140625" style="1"/>
  </cols>
  <sheetData>
    <row r="1" spans="1:14" ht="18" x14ac:dyDescent="0.25">
      <c r="B1" s="198" t="s">
        <v>0</v>
      </c>
      <c r="C1" s="3"/>
      <c r="D1" s="4"/>
      <c r="E1" s="5"/>
      <c r="F1" s="6"/>
      <c r="G1" s="7"/>
      <c r="H1" s="8"/>
      <c r="J1" s="284" t="s">
        <v>43</v>
      </c>
      <c r="K1" s="284"/>
      <c r="L1" s="284"/>
      <c r="M1" s="284"/>
      <c r="N1" s="284"/>
    </row>
    <row r="2" spans="1:14" x14ac:dyDescent="0.25">
      <c r="B2" s="199" t="s">
        <v>1</v>
      </c>
      <c r="C2" s="9" t="s">
        <v>2</v>
      </c>
      <c r="D2" s="10" t="s">
        <v>3</v>
      </c>
      <c r="E2" s="11" t="s">
        <v>4</v>
      </c>
      <c r="F2" s="12" t="s">
        <v>5</v>
      </c>
      <c r="G2" s="7" t="s">
        <v>6</v>
      </c>
      <c r="H2" s="13" t="s">
        <v>7</v>
      </c>
      <c r="I2" s="11" t="s">
        <v>42</v>
      </c>
      <c r="J2" s="11" t="s">
        <v>50</v>
      </c>
      <c r="K2" s="11" t="s">
        <v>53</v>
      </c>
      <c r="L2" s="11" t="s">
        <v>51</v>
      </c>
      <c r="M2" s="11" t="s">
        <v>52</v>
      </c>
      <c r="N2" s="11" t="s">
        <v>54</v>
      </c>
    </row>
    <row r="3" spans="1:14" s="14" customFormat="1" x14ac:dyDescent="0.25">
      <c r="B3" s="195">
        <v>1313</v>
      </c>
      <c r="C3" s="195" t="s">
        <v>181</v>
      </c>
      <c r="D3" s="196" t="s">
        <v>450</v>
      </c>
      <c r="E3" s="197">
        <v>42493</v>
      </c>
      <c r="F3" s="179">
        <v>32900</v>
      </c>
      <c r="G3" s="175"/>
      <c r="H3" s="19">
        <f t="shared" ref="H3:H12" si="0">F3-G3</f>
        <v>32900</v>
      </c>
      <c r="I3" s="137" t="s">
        <v>548</v>
      </c>
      <c r="J3" s="145">
        <v>340.36</v>
      </c>
      <c r="K3" s="145">
        <v>177.58</v>
      </c>
      <c r="L3" s="145"/>
      <c r="M3" s="145">
        <v>221.98</v>
      </c>
      <c r="N3" s="145"/>
    </row>
    <row r="4" spans="1:14" s="14" customFormat="1" x14ac:dyDescent="0.25">
      <c r="A4" s="20"/>
      <c r="B4" s="195">
        <v>4679</v>
      </c>
      <c r="C4" s="195" t="s">
        <v>181</v>
      </c>
      <c r="D4" s="196" t="s">
        <v>475</v>
      </c>
      <c r="E4" s="197">
        <v>42493</v>
      </c>
      <c r="F4" s="179">
        <v>54900</v>
      </c>
      <c r="G4" s="175"/>
      <c r="H4" s="19">
        <f t="shared" si="0"/>
        <v>54900</v>
      </c>
      <c r="I4" s="137" t="s">
        <v>524</v>
      </c>
      <c r="J4" s="145">
        <v>731.32</v>
      </c>
      <c r="K4" s="145">
        <v>487.54</v>
      </c>
      <c r="L4" s="145"/>
      <c r="M4" s="145"/>
      <c r="N4" s="145"/>
    </row>
    <row r="5" spans="1:14" s="14" customFormat="1" x14ac:dyDescent="0.25">
      <c r="A5" s="20"/>
      <c r="B5" s="194">
        <v>4681</v>
      </c>
      <c r="C5" s="185" t="s">
        <v>102</v>
      </c>
      <c r="D5" s="185" t="s">
        <v>180</v>
      </c>
      <c r="E5" s="171">
        <v>42493</v>
      </c>
      <c r="F5" s="172">
        <v>18400</v>
      </c>
      <c r="G5" s="175">
        <v>106</v>
      </c>
      <c r="H5" s="19">
        <f t="shared" si="0"/>
        <v>18294</v>
      </c>
      <c r="I5" s="137" t="s">
        <v>525</v>
      </c>
      <c r="J5" s="145">
        <v>181.16</v>
      </c>
      <c r="K5" s="145">
        <v>94.52</v>
      </c>
      <c r="L5" s="145">
        <v>117.35</v>
      </c>
      <c r="M5" s="145"/>
      <c r="N5" s="145"/>
    </row>
    <row r="6" spans="1:14" x14ac:dyDescent="0.25">
      <c r="A6" s="20"/>
      <c r="B6" s="194">
        <v>4709</v>
      </c>
      <c r="C6" s="185" t="s">
        <v>181</v>
      </c>
      <c r="D6" s="185" t="s">
        <v>501</v>
      </c>
      <c r="E6" s="171">
        <v>42513</v>
      </c>
      <c r="F6" s="174">
        <f>18900+8900</f>
        <v>27800</v>
      </c>
      <c r="G6" s="175">
        <v>0</v>
      </c>
      <c r="H6" s="19">
        <f t="shared" si="0"/>
        <v>27800</v>
      </c>
      <c r="I6" s="137" t="s">
        <v>526</v>
      </c>
      <c r="J6" s="145">
        <v>189.37</v>
      </c>
      <c r="K6" s="145">
        <v>98.8</v>
      </c>
      <c r="L6" s="145">
        <f>126.16+59.41</f>
        <v>185.57</v>
      </c>
      <c r="M6" s="145"/>
      <c r="N6" s="145"/>
    </row>
    <row r="7" spans="1:14" x14ac:dyDescent="0.25">
      <c r="A7" s="20"/>
      <c r="B7" s="185">
        <v>4711</v>
      </c>
      <c r="C7" s="185" t="s">
        <v>181</v>
      </c>
      <c r="D7" s="186" t="s">
        <v>500</v>
      </c>
      <c r="E7" s="176">
        <v>42513</v>
      </c>
      <c r="F7" s="177">
        <v>33780</v>
      </c>
      <c r="G7" s="175">
        <v>354</v>
      </c>
      <c r="H7" s="19">
        <f t="shared" si="0"/>
        <v>33426</v>
      </c>
      <c r="I7" s="137" t="s">
        <v>527</v>
      </c>
      <c r="J7" s="145">
        <v>344.01</v>
      </c>
      <c r="K7" s="145">
        <v>179.49</v>
      </c>
      <c r="L7" s="145">
        <v>222.83</v>
      </c>
      <c r="M7" s="145"/>
      <c r="N7" s="145"/>
    </row>
    <row r="8" spans="1:14" x14ac:dyDescent="0.25">
      <c r="A8" s="20"/>
      <c r="B8" s="185">
        <v>1337</v>
      </c>
      <c r="C8" s="185" t="s">
        <v>181</v>
      </c>
      <c r="D8" s="186" t="s">
        <v>392</v>
      </c>
      <c r="E8" s="176">
        <v>42514</v>
      </c>
      <c r="F8" s="177">
        <v>27980</v>
      </c>
      <c r="G8" s="175"/>
      <c r="H8" s="19">
        <f t="shared" si="0"/>
        <v>27980</v>
      </c>
      <c r="I8" s="137" t="s">
        <v>549</v>
      </c>
      <c r="J8" s="145">
        <v>191.07</v>
      </c>
      <c r="K8" s="145">
        <v>99.69</v>
      </c>
      <c r="L8" s="145"/>
      <c r="M8" s="145">
        <f>124.61+59.99</f>
        <v>184.6</v>
      </c>
      <c r="N8" s="145"/>
    </row>
    <row r="9" spans="1:14" x14ac:dyDescent="0.25">
      <c r="A9" s="20"/>
      <c r="B9" s="182">
        <v>4715</v>
      </c>
      <c r="C9" s="182" t="s">
        <v>102</v>
      </c>
      <c r="D9" s="183" t="s">
        <v>499</v>
      </c>
      <c r="E9" s="178">
        <v>42514</v>
      </c>
      <c r="F9" s="177">
        <v>15900</v>
      </c>
      <c r="G9" s="175">
        <v>0</v>
      </c>
      <c r="H9" s="19">
        <f t="shared" si="0"/>
        <v>15900</v>
      </c>
      <c r="I9" s="137" t="s">
        <v>528</v>
      </c>
      <c r="J9" s="145">
        <v>162.74</v>
      </c>
      <c r="K9" s="145">
        <v>84.91</v>
      </c>
      <c r="L9" s="145"/>
      <c r="M9" s="145">
        <v>106.13</v>
      </c>
      <c r="N9" s="145"/>
    </row>
    <row r="10" spans="1:14" x14ac:dyDescent="0.25">
      <c r="A10" s="20"/>
      <c r="B10" s="182">
        <v>4716</v>
      </c>
      <c r="C10" s="182" t="s">
        <v>102</v>
      </c>
      <c r="D10" s="183" t="s">
        <v>499</v>
      </c>
      <c r="E10" s="176">
        <v>42514</v>
      </c>
      <c r="F10" s="177">
        <v>15900</v>
      </c>
      <c r="G10" s="175">
        <v>0</v>
      </c>
      <c r="H10" s="19">
        <f t="shared" si="0"/>
        <v>15900</v>
      </c>
      <c r="I10" s="137" t="s">
        <v>528</v>
      </c>
      <c r="J10" s="145">
        <v>162.74</v>
      </c>
      <c r="K10" s="145">
        <v>84.91</v>
      </c>
      <c r="L10" s="145"/>
      <c r="M10" s="145">
        <v>106.13</v>
      </c>
      <c r="N10" s="145"/>
    </row>
    <row r="11" spans="1:14" x14ac:dyDescent="0.25">
      <c r="A11" s="20"/>
      <c r="B11" s="182">
        <v>4717</v>
      </c>
      <c r="C11" s="182" t="s">
        <v>181</v>
      </c>
      <c r="D11" s="183" t="s">
        <v>505</v>
      </c>
      <c r="E11" s="178">
        <v>42515</v>
      </c>
      <c r="F11" s="177">
        <v>7900</v>
      </c>
      <c r="G11" s="175">
        <v>150</v>
      </c>
      <c r="H11" s="19">
        <f t="shared" si="0"/>
        <v>7750</v>
      </c>
      <c r="I11" s="137" t="s">
        <v>529</v>
      </c>
      <c r="J11" s="145">
        <v>79.13</v>
      </c>
      <c r="K11" s="145">
        <v>41.29</v>
      </c>
      <c r="L11" s="145">
        <v>51.61</v>
      </c>
      <c r="M11" s="145"/>
      <c r="N11" s="145"/>
    </row>
    <row r="12" spans="1:14" x14ac:dyDescent="0.25">
      <c r="B12" s="182">
        <v>1344</v>
      </c>
      <c r="C12" s="182" t="s">
        <v>102</v>
      </c>
      <c r="D12" s="183" t="s">
        <v>507</v>
      </c>
      <c r="E12" s="178">
        <v>42521</v>
      </c>
      <c r="F12" s="179">
        <v>8200</v>
      </c>
      <c r="G12" s="175"/>
      <c r="H12" s="19">
        <f t="shared" si="0"/>
        <v>8200</v>
      </c>
      <c r="I12" s="137" t="s">
        <v>550</v>
      </c>
      <c r="J12" s="145">
        <v>84.75</v>
      </c>
      <c r="K12" s="145">
        <v>44.22</v>
      </c>
      <c r="L12" s="145"/>
      <c r="M12" s="145">
        <v>55.27</v>
      </c>
      <c r="N12" s="145"/>
    </row>
    <row r="13" spans="1:14" x14ac:dyDescent="0.25">
      <c r="B13" s="185">
        <v>1345</v>
      </c>
      <c r="C13" s="21" t="s">
        <v>181</v>
      </c>
      <c r="D13" s="20" t="s">
        <v>392</v>
      </c>
      <c r="E13" s="28">
        <v>42521</v>
      </c>
      <c r="F13" s="6">
        <v>7900</v>
      </c>
      <c r="G13" s="7"/>
      <c r="H13" s="19"/>
      <c r="I13" s="137" t="s">
        <v>549</v>
      </c>
      <c r="J13" s="145">
        <v>81.650000000000006</v>
      </c>
      <c r="K13" s="145">
        <v>42.6</v>
      </c>
      <c r="L13" s="145"/>
      <c r="M13" s="145">
        <v>53.25</v>
      </c>
      <c r="N13" s="145"/>
    </row>
    <row r="14" spans="1:14" x14ac:dyDescent="0.25">
      <c r="B14" s="182">
        <v>4722</v>
      </c>
      <c r="C14" s="182" t="s">
        <v>102</v>
      </c>
      <c r="D14" s="183" t="s">
        <v>114</v>
      </c>
      <c r="E14" s="176">
        <v>42521</v>
      </c>
      <c r="F14" s="177">
        <v>42900</v>
      </c>
      <c r="G14" s="175"/>
      <c r="H14" s="19">
        <f>F14-G14</f>
        <v>42900</v>
      </c>
      <c r="I14" s="137" t="s">
        <v>320</v>
      </c>
      <c r="J14" s="145">
        <v>568.52</v>
      </c>
      <c r="K14" s="145">
        <v>379.01</v>
      </c>
      <c r="L14" s="145"/>
      <c r="M14" s="145"/>
      <c r="N14" s="145"/>
    </row>
    <row r="15" spans="1:14" x14ac:dyDescent="0.25">
      <c r="B15" s="185">
        <v>4723</v>
      </c>
      <c r="C15" s="185" t="s">
        <v>181</v>
      </c>
      <c r="D15" s="186" t="s">
        <v>508</v>
      </c>
      <c r="E15" s="176">
        <v>42521</v>
      </c>
      <c r="F15" s="177">
        <v>30000</v>
      </c>
      <c r="G15" s="175"/>
      <c r="H15" s="19">
        <f>F15-G15</f>
        <v>30000</v>
      </c>
      <c r="I15" s="137" t="s">
        <v>530</v>
      </c>
      <c r="J15" s="145">
        <v>300.41000000000003</v>
      </c>
      <c r="K15" s="145">
        <v>156.72999999999999</v>
      </c>
      <c r="L15" s="145">
        <v>195.92</v>
      </c>
      <c r="M15" s="145"/>
      <c r="N15" s="145"/>
    </row>
    <row r="16" spans="1:14" x14ac:dyDescent="0.25">
      <c r="B16" s="185">
        <v>4725</v>
      </c>
      <c r="C16" s="21" t="s">
        <v>181</v>
      </c>
      <c r="D16" s="20" t="s">
        <v>509</v>
      </c>
      <c r="E16" s="28">
        <v>42521</v>
      </c>
      <c r="F16" s="6">
        <v>20900</v>
      </c>
      <c r="G16" s="7"/>
      <c r="H16" s="19">
        <f>F16-G16</f>
        <v>20900</v>
      </c>
      <c r="I16" s="137" t="s">
        <v>531</v>
      </c>
      <c r="J16" s="145">
        <v>210.46</v>
      </c>
      <c r="K16" s="145">
        <v>109.81</v>
      </c>
      <c r="L16" s="145"/>
      <c r="M16" s="145">
        <v>137.26</v>
      </c>
      <c r="N16" s="145"/>
    </row>
    <row r="17" spans="2:14" x14ac:dyDescent="0.25">
      <c r="B17" s="185">
        <v>4726</v>
      </c>
      <c r="C17" s="21" t="s">
        <v>181</v>
      </c>
      <c r="D17" s="20" t="s">
        <v>511</v>
      </c>
      <c r="E17" s="28">
        <v>42521</v>
      </c>
      <c r="F17" s="6">
        <v>19990</v>
      </c>
      <c r="G17" s="7">
        <v>490</v>
      </c>
      <c r="H17" s="19"/>
      <c r="I17" s="137" t="s">
        <v>532</v>
      </c>
      <c r="J17" s="145">
        <v>181.71</v>
      </c>
      <c r="K17" s="145">
        <v>94.8</v>
      </c>
      <c r="L17" s="145">
        <v>118.51</v>
      </c>
      <c r="M17" s="145"/>
      <c r="N17" s="145"/>
    </row>
    <row r="18" spans="2:14" x14ac:dyDescent="0.25">
      <c r="B18" s="185">
        <v>1351</v>
      </c>
      <c r="C18" s="21" t="s">
        <v>102</v>
      </c>
      <c r="D18" s="20" t="s">
        <v>510</v>
      </c>
      <c r="E18" s="28">
        <v>42528</v>
      </c>
      <c r="F18" s="6">
        <v>34600</v>
      </c>
      <c r="G18" s="7"/>
      <c r="H18" s="19">
        <f>F18-G18</f>
        <v>34600</v>
      </c>
      <c r="I18" s="137" t="s">
        <v>550</v>
      </c>
      <c r="J18" s="145">
        <v>226.47</v>
      </c>
      <c r="K18" s="145">
        <v>150.97999999999999</v>
      </c>
      <c r="L18" s="145"/>
      <c r="M18" s="145"/>
      <c r="N18" s="145"/>
    </row>
    <row r="19" spans="2:14" ht="15" thickBot="1" x14ac:dyDescent="0.3">
      <c r="B19" s="185"/>
      <c r="C19" s="21"/>
      <c r="D19" s="20"/>
      <c r="E19" s="28"/>
      <c r="F19" s="6"/>
      <c r="G19" s="7"/>
      <c r="H19" s="19">
        <f t="shared" ref="H19" si="1">F19-G19</f>
        <v>0</v>
      </c>
      <c r="I19" s="137"/>
      <c r="J19" s="145"/>
      <c r="K19" s="145"/>
      <c r="L19" s="145"/>
      <c r="M19" s="145"/>
      <c r="N19" s="145"/>
    </row>
    <row r="20" spans="2:14" ht="15" thickBot="1" x14ac:dyDescent="0.3">
      <c r="B20" s="200"/>
      <c r="C20" s="32"/>
      <c r="D20" s="33"/>
      <c r="E20" s="34"/>
      <c r="F20" s="35">
        <f>SUM(F3:F19)</f>
        <v>399950</v>
      </c>
      <c r="G20" s="36">
        <f>SUM(G3:G19)</f>
        <v>1100</v>
      </c>
      <c r="H20" s="37">
        <f>SUM(H3:H19)</f>
        <v>371450</v>
      </c>
      <c r="I20" s="66"/>
      <c r="J20" s="131">
        <f>SUM(J3:J19)</f>
        <v>4035.8699999999994</v>
      </c>
      <c r="K20" s="131">
        <f>SUM(K3:K19)</f>
        <v>2326.88</v>
      </c>
      <c r="L20" s="131">
        <f>SUM(L3:L19)</f>
        <v>891.79</v>
      </c>
      <c r="M20" s="131">
        <f>SUM(M3:M19)</f>
        <v>864.62</v>
      </c>
      <c r="N20" s="131">
        <f>SUM(N3:N19)</f>
        <v>0</v>
      </c>
    </row>
    <row r="21" spans="2:14" x14ac:dyDescent="0.25">
      <c r="B21" s="201"/>
      <c r="C21" s="3"/>
      <c r="D21" s="4"/>
      <c r="E21" s="38" t="s">
        <v>8</v>
      </c>
      <c r="F21" s="39">
        <f>TOTAL!G8</f>
        <v>520000</v>
      </c>
      <c r="G21" s="40" t="s">
        <v>9</v>
      </c>
      <c r="H21" s="41">
        <f>H20/F21%</f>
        <v>71.432692307692307</v>
      </c>
      <c r="I21" s="58" t="s">
        <v>10</v>
      </c>
    </row>
    <row r="22" spans="2:14" ht="15" thickBot="1" x14ac:dyDescent="0.3">
      <c r="B22" s="202"/>
      <c r="C22" s="43"/>
      <c r="D22" s="44"/>
      <c r="E22" s="45"/>
      <c r="F22" s="46"/>
      <c r="G22" s="47"/>
      <c r="H22" s="48"/>
      <c r="I22" s="14"/>
    </row>
    <row r="23" spans="2:14" ht="18.75" thickTop="1" x14ac:dyDescent="0.25">
      <c r="B23" s="198" t="s">
        <v>11</v>
      </c>
      <c r="C23" s="49"/>
      <c r="D23" s="4"/>
      <c r="E23" s="5"/>
      <c r="F23" s="6"/>
      <c r="G23" s="7"/>
      <c r="H23" s="50"/>
      <c r="I23" s="14"/>
    </row>
    <row r="24" spans="2:14" x14ac:dyDescent="0.25">
      <c r="B24" s="199" t="s">
        <v>1</v>
      </c>
      <c r="C24" s="9" t="s">
        <v>2</v>
      </c>
      <c r="D24" s="10" t="s">
        <v>3</v>
      </c>
      <c r="E24" s="11" t="s">
        <v>4</v>
      </c>
      <c r="F24" s="12" t="s">
        <v>5</v>
      </c>
      <c r="G24" s="7" t="s">
        <v>12</v>
      </c>
      <c r="H24" s="13" t="s">
        <v>7</v>
      </c>
      <c r="I24" s="14"/>
    </row>
    <row r="25" spans="2:14" s="14" customFormat="1" x14ac:dyDescent="0.25">
      <c r="B25" s="182"/>
      <c r="C25" s="29"/>
      <c r="D25" s="30"/>
      <c r="E25" s="31"/>
      <c r="F25" s="6"/>
      <c r="G25" s="7"/>
      <c r="H25" s="19">
        <f t="shared" ref="H25:H28" si="2">F25-G25</f>
        <v>0</v>
      </c>
    </row>
    <row r="26" spans="2:14" s="14" customFormat="1" x14ac:dyDescent="0.25">
      <c r="B26" s="182"/>
      <c r="C26" s="29"/>
      <c r="D26" s="30"/>
      <c r="E26" s="31"/>
      <c r="F26" s="6"/>
      <c r="G26" s="7"/>
      <c r="H26" s="19">
        <f t="shared" si="2"/>
        <v>0</v>
      </c>
      <c r="I26" s="1"/>
    </row>
    <row r="27" spans="2:14" x14ac:dyDescent="0.25">
      <c r="B27" s="182"/>
      <c r="C27" s="29"/>
      <c r="D27" s="30"/>
      <c r="E27" s="31"/>
      <c r="F27" s="6"/>
      <c r="G27" s="7"/>
      <c r="H27" s="19">
        <f t="shared" si="2"/>
        <v>0</v>
      </c>
    </row>
    <row r="28" spans="2:14" ht="15" thickBot="1" x14ac:dyDescent="0.3">
      <c r="B28" s="182"/>
      <c r="C28" s="29"/>
      <c r="D28" s="30"/>
      <c r="E28" s="31"/>
      <c r="F28" s="6"/>
      <c r="G28" s="7"/>
      <c r="H28" s="19">
        <f t="shared" si="2"/>
        <v>0</v>
      </c>
    </row>
    <row r="29" spans="2:14" ht="15" thickBot="1" x14ac:dyDescent="0.3">
      <c r="B29" s="182"/>
      <c r="C29" s="29"/>
      <c r="D29" s="30"/>
      <c r="E29" s="31"/>
      <c r="F29" s="35"/>
      <c r="G29" s="36"/>
      <c r="H29" s="37">
        <f>SUM(H25:H28)</f>
        <v>0</v>
      </c>
    </row>
    <row r="30" spans="2:14" x14ac:dyDescent="0.25">
      <c r="B30" s="182"/>
      <c r="C30" s="29"/>
      <c r="D30" s="30"/>
      <c r="E30" s="31"/>
      <c r="F30" s="51"/>
      <c r="G30" s="52"/>
      <c r="H30" s="53"/>
    </row>
    <row r="31" spans="2:14" ht="15" thickBot="1" x14ac:dyDescent="0.3">
      <c r="B31" s="202"/>
      <c r="C31" s="43"/>
      <c r="D31" s="44"/>
      <c r="E31" s="45"/>
      <c r="F31" s="46"/>
      <c r="G31" s="47"/>
      <c r="H31" s="48"/>
      <c r="I31" s="14"/>
    </row>
    <row r="32" spans="2:14" ht="18.75" thickTop="1" x14ac:dyDescent="0.25">
      <c r="B32" s="198" t="s">
        <v>13</v>
      </c>
      <c r="C32" s="49"/>
      <c r="D32" s="4"/>
      <c r="E32" s="5"/>
      <c r="F32" s="6"/>
      <c r="G32" s="7"/>
      <c r="H32" s="50"/>
      <c r="I32" s="14"/>
    </row>
    <row r="33" spans="2:14" x14ac:dyDescent="0.25">
      <c r="B33" s="199" t="s">
        <v>1</v>
      </c>
      <c r="C33" s="9" t="s">
        <v>2</v>
      </c>
      <c r="D33" s="10" t="s">
        <v>3</v>
      </c>
      <c r="E33" s="11" t="s">
        <v>4</v>
      </c>
      <c r="F33" s="12" t="s">
        <v>5</v>
      </c>
      <c r="G33" s="7" t="s">
        <v>12</v>
      </c>
      <c r="H33" s="13" t="s">
        <v>7</v>
      </c>
      <c r="I33" s="14"/>
    </row>
    <row r="34" spans="2:14" s="14" customFormat="1" x14ac:dyDescent="0.25">
      <c r="B34" s="182">
        <v>4706</v>
      </c>
      <c r="C34" s="182" t="s">
        <v>102</v>
      </c>
      <c r="D34" s="183" t="s">
        <v>455</v>
      </c>
      <c r="E34" s="178">
        <v>42509</v>
      </c>
      <c r="F34" s="177">
        <v>2400</v>
      </c>
      <c r="G34" s="175"/>
      <c r="H34" s="19">
        <f t="shared" ref="H34:H36" si="3">F34-G34</f>
        <v>2400</v>
      </c>
    </row>
    <row r="35" spans="2:14" s="14" customFormat="1" x14ac:dyDescent="0.25">
      <c r="B35" s="182">
        <v>4710</v>
      </c>
      <c r="C35" s="182" t="s">
        <v>102</v>
      </c>
      <c r="D35" s="183" t="s">
        <v>504</v>
      </c>
      <c r="E35" s="178">
        <v>42513</v>
      </c>
      <c r="F35" s="177">
        <v>1430</v>
      </c>
      <c r="G35" s="175"/>
      <c r="H35" s="19">
        <f t="shared" si="3"/>
        <v>1430</v>
      </c>
    </row>
    <row r="36" spans="2:14" s="14" customFormat="1" x14ac:dyDescent="0.25">
      <c r="B36" s="195"/>
      <c r="C36" s="195"/>
      <c r="D36" s="196"/>
      <c r="E36" s="197"/>
      <c r="F36" s="177"/>
      <c r="G36" s="175"/>
      <c r="H36" s="19">
        <f t="shared" si="3"/>
        <v>0</v>
      </c>
    </row>
    <row r="37" spans="2:14" ht="15" thickBot="1" x14ac:dyDescent="0.3">
      <c r="B37" s="182"/>
      <c r="C37" s="29"/>
      <c r="D37" s="30"/>
      <c r="E37" s="31"/>
      <c r="F37" s="6"/>
      <c r="G37" s="7"/>
      <c r="H37" s="19">
        <f t="shared" ref="H37" si="4">F37-G37</f>
        <v>0</v>
      </c>
    </row>
    <row r="38" spans="2:14" ht="15" thickBot="1" x14ac:dyDescent="0.3">
      <c r="B38" s="203"/>
      <c r="C38" s="55"/>
      <c r="D38" s="56"/>
      <c r="E38" s="57"/>
      <c r="F38" s="35">
        <f>SUM(F34:F37)</f>
        <v>3830</v>
      </c>
      <c r="G38" s="36">
        <f>SUM(G34:G37)</f>
        <v>0</v>
      </c>
      <c r="H38" s="37">
        <f>SUM(H34:H37)</f>
        <v>3830</v>
      </c>
    </row>
    <row r="39" spans="2:14" x14ac:dyDescent="0.25">
      <c r="B39" s="203"/>
      <c r="C39" s="55"/>
      <c r="D39" s="56"/>
      <c r="E39" s="38"/>
      <c r="F39" s="39"/>
      <c r="G39" s="40"/>
      <c r="H39" s="41"/>
    </row>
    <row r="40" spans="2:14" ht="15" thickBot="1" x14ac:dyDescent="0.3">
      <c r="B40" s="202"/>
      <c r="C40" s="43"/>
      <c r="D40" s="44"/>
      <c r="E40" s="59"/>
      <c r="F40" s="46"/>
      <c r="G40" s="47"/>
      <c r="H40" s="48"/>
      <c r="I40" s="14"/>
    </row>
    <row r="41" spans="2:14" ht="18.75" thickTop="1" x14ac:dyDescent="0.25">
      <c r="B41" s="198" t="s">
        <v>14</v>
      </c>
      <c r="C41" s="49"/>
      <c r="D41" s="4"/>
      <c r="E41" s="5"/>
      <c r="F41" s="6"/>
      <c r="G41" s="7"/>
      <c r="H41" s="50"/>
      <c r="I41" s="14"/>
    </row>
    <row r="42" spans="2:14" x14ac:dyDescent="0.25">
      <c r="B42" s="199" t="s">
        <v>1</v>
      </c>
      <c r="C42" s="9" t="s">
        <v>2</v>
      </c>
      <c r="D42" s="10" t="s">
        <v>3</v>
      </c>
      <c r="E42" s="11" t="s">
        <v>4</v>
      </c>
      <c r="F42" s="12" t="s">
        <v>5</v>
      </c>
      <c r="G42" s="7" t="s">
        <v>12</v>
      </c>
      <c r="H42" s="13" t="s">
        <v>7</v>
      </c>
      <c r="I42" s="14"/>
    </row>
    <row r="43" spans="2:14" s="14" customFormat="1" x14ac:dyDescent="0.25">
      <c r="B43" s="185">
        <v>1314</v>
      </c>
      <c r="C43" s="185" t="s">
        <v>102</v>
      </c>
      <c r="D43" s="186" t="s">
        <v>61</v>
      </c>
      <c r="E43" s="176">
        <v>42494</v>
      </c>
      <c r="F43" s="177">
        <v>92.32</v>
      </c>
      <c r="G43" s="175"/>
      <c r="H43" s="19">
        <f t="shared" ref="H43:H51" si="5">F43-G43</f>
        <v>92.32</v>
      </c>
      <c r="J43" s="1"/>
      <c r="K43" s="1"/>
      <c r="L43" s="1"/>
      <c r="M43" s="1"/>
      <c r="N43" s="1"/>
    </row>
    <row r="44" spans="2:14" s="14" customFormat="1" x14ac:dyDescent="0.25">
      <c r="B44" s="182">
        <v>1315</v>
      </c>
      <c r="C44" s="182" t="s">
        <v>102</v>
      </c>
      <c r="D44" s="183" t="s">
        <v>451</v>
      </c>
      <c r="E44" s="178">
        <v>42495</v>
      </c>
      <c r="F44" s="177">
        <v>1106.44</v>
      </c>
      <c r="G44" s="175"/>
      <c r="H44" s="19">
        <f t="shared" si="5"/>
        <v>1106.44</v>
      </c>
      <c r="J44" s="1"/>
      <c r="K44" s="1"/>
      <c r="L44" s="1"/>
      <c r="M44" s="1"/>
      <c r="N44" s="1"/>
    </row>
    <row r="45" spans="2:14" s="14" customFormat="1" x14ac:dyDescent="0.25">
      <c r="B45" s="195">
        <v>1613</v>
      </c>
      <c r="C45" s="195" t="s">
        <v>102</v>
      </c>
      <c r="D45" s="195" t="s">
        <v>451</v>
      </c>
      <c r="E45" s="197">
        <v>42495</v>
      </c>
      <c r="F45" s="179">
        <v>1512.79</v>
      </c>
      <c r="G45" s="184"/>
      <c r="H45" s="19">
        <f t="shared" si="5"/>
        <v>1512.79</v>
      </c>
    </row>
    <row r="46" spans="2:14" s="14" customFormat="1" x14ac:dyDescent="0.25">
      <c r="B46" s="194">
        <v>1327</v>
      </c>
      <c r="C46" s="185" t="s">
        <v>102</v>
      </c>
      <c r="D46" s="185" t="s">
        <v>491</v>
      </c>
      <c r="E46" s="171">
        <v>42506</v>
      </c>
      <c r="F46" s="174">
        <v>39.36</v>
      </c>
      <c r="G46" s="175"/>
      <c r="H46" s="19">
        <f t="shared" si="5"/>
        <v>39.36</v>
      </c>
    </row>
    <row r="47" spans="2:14" s="14" customFormat="1" x14ac:dyDescent="0.25">
      <c r="B47" s="194">
        <v>1328</v>
      </c>
      <c r="C47" s="185" t="s">
        <v>102</v>
      </c>
      <c r="D47" s="185" t="s">
        <v>492</v>
      </c>
      <c r="E47" s="171">
        <v>42506</v>
      </c>
      <c r="F47" s="174">
        <v>218.7</v>
      </c>
      <c r="G47" s="175"/>
      <c r="H47" s="19">
        <f t="shared" si="5"/>
        <v>218.7</v>
      </c>
    </row>
    <row r="48" spans="2:14" s="14" customFormat="1" x14ac:dyDescent="0.25">
      <c r="B48" s="194">
        <v>4696</v>
      </c>
      <c r="C48" s="185" t="s">
        <v>102</v>
      </c>
      <c r="D48" s="196" t="s">
        <v>491</v>
      </c>
      <c r="E48" s="197">
        <v>42506</v>
      </c>
      <c r="F48" s="179">
        <v>802.8</v>
      </c>
      <c r="G48" s="175"/>
      <c r="H48" s="19">
        <f t="shared" si="5"/>
        <v>802.8</v>
      </c>
    </row>
    <row r="49" spans="2:14" s="14" customFormat="1" x14ac:dyDescent="0.25">
      <c r="B49" s="195">
        <v>4699</v>
      </c>
      <c r="C49" s="195" t="s">
        <v>102</v>
      </c>
      <c r="D49" s="196" t="s">
        <v>495</v>
      </c>
      <c r="E49" s="197">
        <v>42506</v>
      </c>
      <c r="F49" s="177">
        <v>17750</v>
      </c>
      <c r="G49" s="175"/>
      <c r="H49" s="19">
        <f t="shared" si="5"/>
        <v>17750</v>
      </c>
    </row>
    <row r="50" spans="2:14" s="14" customFormat="1" x14ac:dyDescent="0.25">
      <c r="B50" s="194">
        <v>1330</v>
      </c>
      <c r="C50" s="185" t="s">
        <v>102</v>
      </c>
      <c r="D50" s="185" t="s">
        <v>492</v>
      </c>
      <c r="E50" s="171">
        <v>42507</v>
      </c>
      <c r="F50" s="174">
        <v>368</v>
      </c>
      <c r="G50" s="175"/>
      <c r="H50" s="19">
        <f t="shared" si="5"/>
        <v>368</v>
      </c>
    </row>
    <row r="51" spans="2:14" s="14" customFormat="1" x14ac:dyDescent="0.25">
      <c r="B51" s="195">
        <v>4701</v>
      </c>
      <c r="C51" s="195" t="s">
        <v>102</v>
      </c>
      <c r="D51" s="196" t="s">
        <v>492</v>
      </c>
      <c r="E51" s="197">
        <v>42507</v>
      </c>
      <c r="F51" s="179">
        <v>2826.88</v>
      </c>
      <c r="G51" s="175"/>
      <c r="H51" s="19">
        <f t="shared" si="5"/>
        <v>2826.88</v>
      </c>
    </row>
    <row r="52" spans="2:14" s="14" customFormat="1" x14ac:dyDescent="0.25">
      <c r="B52" s="195">
        <v>4705</v>
      </c>
      <c r="C52" s="15" t="s">
        <v>102</v>
      </c>
      <c r="D52" s="16" t="s">
        <v>496</v>
      </c>
      <c r="E52" s="17">
        <v>42508</v>
      </c>
      <c r="F52" s="18">
        <v>2990</v>
      </c>
      <c r="G52" s="7"/>
      <c r="H52" s="19">
        <f t="shared" ref="H52:H54" si="6">F52-G52</f>
        <v>2990</v>
      </c>
      <c r="I52" s="1"/>
    </row>
    <row r="53" spans="2:14" x14ac:dyDescent="0.25">
      <c r="B53" s="185"/>
      <c r="C53" s="21"/>
      <c r="D53" s="21"/>
      <c r="E53" s="28"/>
      <c r="F53" s="6"/>
      <c r="G53" s="7"/>
      <c r="H53" s="19">
        <f t="shared" si="6"/>
        <v>0</v>
      </c>
      <c r="I53" s="58"/>
    </row>
    <row r="54" spans="2:14" ht="15" thickBot="1" x14ac:dyDescent="0.3">
      <c r="B54" s="185"/>
      <c r="C54" s="21"/>
      <c r="D54" s="21"/>
      <c r="E54" s="28"/>
      <c r="F54" s="6"/>
      <c r="G54" s="7"/>
      <c r="H54" s="19">
        <f t="shared" si="6"/>
        <v>0</v>
      </c>
    </row>
    <row r="55" spans="2:14" ht="15" thickBot="1" x14ac:dyDescent="0.3">
      <c r="B55" s="201"/>
      <c r="C55" s="3"/>
      <c r="D55" s="4"/>
      <c r="E55" s="61"/>
      <c r="F55" s="62">
        <f>SUM(F43:F54)</f>
        <v>27707.29</v>
      </c>
      <c r="G55" s="36">
        <f>SUM(G43:G54)</f>
        <v>0</v>
      </c>
      <c r="H55" s="63">
        <f>SUM(H43:H54)</f>
        <v>27707.29</v>
      </c>
    </row>
    <row r="56" spans="2:14" x14ac:dyDescent="0.25">
      <c r="B56" s="204"/>
      <c r="C56" s="3"/>
      <c r="D56" s="65"/>
      <c r="E56" s="38" t="s">
        <v>8</v>
      </c>
      <c r="F56" s="39">
        <f>TOTAL!G9</f>
        <v>0</v>
      </c>
      <c r="G56" s="40" t="s">
        <v>9</v>
      </c>
      <c r="H56" s="41" t="e">
        <f>H55/F56%</f>
        <v>#DIV/0!</v>
      </c>
      <c r="I56" s="58" t="s">
        <v>10</v>
      </c>
    </row>
    <row r="57" spans="2:14" ht="15" thickBot="1" x14ac:dyDescent="0.3">
      <c r="B57" s="202"/>
      <c r="C57" s="43"/>
      <c r="D57" s="44"/>
      <c r="E57" s="59"/>
      <c r="F57" s="46"/>
      <c r="G57" s="47"/>
      <c r="H57" s="48"/>
      <c r="I57" s="14"/>
      <c r="J57" s="54"/>
    </row>
    <row r="58" spans="2:14" ht="18.75" thickTop="1" x14ac:dyDescent="0.25">
      <c r="B58" s="198" t="s">
        <v>15</v>
      </c>
      <c r="C58" s="49"/>
      <c r="D58" s="4"/>
      <c r="E58" s="5"/>
      <c r="F58" s="6"/>
      <c r="G58" s="7"/>
      <c r="H58" s="50"/>
      <c r="I58" s="14"/>
    </row>
    <row r="59" spans="2:14" x14ac:dyDescent="0.25">
      <c r="B59" s="199" t="s">
        <v>1</v>
      </c>
      <c r="C59" s="9" t="s">
        <v>2</v>
      </c>
      <c r="D59" s="10" t="s">
        <v>3</v>
      </c>
      <c r="E59" s="11" t="s">
        <v>4</v>
      </c>
      <c r="F59" s="12" t="s">
        <v>5</v>
      </c>
      <c r="G59" s="7" t="s">
        <v>12</v>
      </c>
      <c r="H59" s="13" t="s">
        <v>7</v>
      </c>
      <c r="I59" s="14"/>
    </row>
    <row r="60" spans="2:14" s="14" customFormat="1" x14ac:dyDescent="0.25">
      <c r="B60" s="185">
        <v>163</v>
      </c>
      <c r="C60" s="185" t="s">
        <v>102</v>
      </c>
      <c r="D60" s="185" t="s">
        <v>297</v>
      </c>
      <c r="E60" s="171">
        <v>42493</v>
      </c>
      <c r="F60" s="174">
        <v>2030</v>
      </c>
      <c r="G60" s="175"/>
      <c r="H60" s="19">
        <f t="shared" ref="H60:H73" si="7">F60-G60</f>
        <v>2030</v>
      </c>
      <c r="J60" s="1"/>
      <c r="K60" s="1"/>
      <c r="L60" s="1"/>
      <c r="M60" s="1"/>
      <c r="N60" s="1"/>
    </row>
    <row r="61" spans="2:14" s="14" customFormat="1" x14ac:dyDescent="0.25">
      <c r="B61" s="194">
        <v>166</v>
      </c>
      <c r="C61" s="185" t="s">
        <v>102</v>
      </c>
      <c r="D61" s="196" t="s">
        <v>364</v>
      </c>
      <c r="E61" s="197">
        <v>42494</v>
      </c>
      <c r="F61" s="179">
        <v>819.4</v>
      </c>
      <c r="G61" s="175">
        <v>49.9</v>
      </c>
      <c r="H61" s="19">
        <f t="shared" si="7"/>
        <v>769.5</v>
      </c>
      <c r="J61" s="1"/>
      <c r="K61" s="1"/>
      <c r="L61" s="1"/>
      <c r="M61" s="1"/>
      <c r="N61" s="1"/>
    </row>
    <row r="62" spans="2:14" s="14" customFormat="1" x14ac:dyDescent="0.25">
      <c r="B62" s="195">
        <v>4682</v>
      </c>
      <c r="C62" s="195" t="s">
        <v>102</v>
      </c>
      <c r="D62" s="196" t="s">
        <v>476</v>
      </c>
      <c r="E62" s="197">
        <v>42494</v>
      </c>
      <c r="F62" s="177">
        <v>441.77</v>
      </c>
      <c r="G62" s="175">
        <v>42</v>
      </c>
      <c r="H62" s="19">
        <f t="shared" si="7"/>
        <v>399.77</v>
      </c>
    </row>
    <row r="63" spans="2:14" s="14" customFormat="1" x14ac:dyDescent="0.25">
      <c r="B63" s="185">
        <v>1317</v>
      </c>
      <c r="C63" s="185" t="s">
        <v>102</v>
      </c>
      <c r="D63" s="186" t="s">
        <v>452</v>
      </c>
      <c r="E63" s="176">
        <v>42496</v>
      </c>
      <c r="F63" s="177">
        <v>504</v>
      </c>
      <c r="G63" s="175">
        <v>28</v>
      </c>
      <c r="H63" s="19">
        <f t="shared" si="7"/>
        <v>476</v>
      </c>
    </row>
    <row r="64" spans="2:14" s="14" customFormat="1" x14ac:dyDescent="0.25">
      <c r="B64" s="195">
        <v>1321</v>
      </c>
      <c r="C64" s="195" t="s">
        <v>102</v>
      </c>
      <c r="D64" s="195" t="s">
        <v>152</v>
      </c>
      <c r="E64" s="197">
        <v>42500</v>
      </c>
      <c r="F64" s="179">
        <v>11153.82</v>
      </c>
      <c r="G64" s="184">
        <v>483.17</v>
      </c>
      <c r="H64" s="19">
        <f t="shared" si="7"/>
        <v>10670.65</v>
      </c>
    </row>
    <row r="65" spans="2:14" s="14" customFormat="1" x14ac:dyDescent="0.25">
      <c r="B65" s="185">
        <v>1322</v>
      </c>
      <c r="C65" s="185" t="s">
        <v>102</v>
      </c>
      <c r="D65" s="185" t="s">
        <v>152</v>
      </c>
      <c r="E65" s="171">
        <v>42500</v>
      </c>
      <c r="F65" s="174">
        <v>1171</v>
      </c>
      <c r="G65" s="175">
        <v>0</v>
      </c>
      <c r="H65" s="19">
        <f t="shared" si="7"/>
        <v>1171</v>
      </c>
    </row>
    <row r="66" spans="2:14" s="14" customFormat="1" x14ac:dyDescent="0.25">
      <c r="B66" s="195">
        <v>4688</v>
      </c>
      <c r="C66" s="195" t="s">
        <v>102</v>
      </c>
      <c r="D66" s="196" t="s">
        <v>477</v>
      </c>
      <c r="E66" s="197">
        <v>42500</v>
      </c>
      <c r="F66" s="179">
        <v>449.67</v>
      </c>
      <c r="G66" s="175">
        <v>93</v>
      </c>
      <c r="H66" s="19">
        <f t="shared" si="7"/>
        <v>356.67</v>
      </c>
    </row>
    <row r="67" spans="2:14" s="14" customFormat="1" x14ac:dyDescent="0.25">
      <c r="B67" s="195">
        <v>4690</v>
      </c>
      <c r="C67" s="195" t="s">
        <v>102</v>
      </c>
      <c r="D67" s="196" t="s">
        <v>478</v>
      </c>
      <c r="E67" s="197">
        <v>42501</v>
      </c>
      <c r="F67" s="179">
        <v>2340.2600000000002</v>
      </c>
      <c r="G67" s="175">
        <v>85</v>
      </c>
      <c r="H67" s="19">
        <f t="shared" si="7"/>
        <v>2255.2600000000002</v>
      </c>
    </row>
    <row r="68" spans="2:14" s="14" customFormat="1" x14ac:dyDescent="0.25">
      <c r="B68" s="194">
        <v>1324</v>
      </c>
      <c r="C68" s="185" t="s">
        <v>102</v>
      </c>
      <c r="D68" s="185" t="s">
        <v>234</v>
      </c>
      <c r="E68" s="171">
        <v>42502</v>
      </c>
      <c r="F68" s="174">
        <v>247.54</v>
      </c>
      <c r="G68" s="175"/>
      <c r="H68" s="19">
        <f t="shared" si="7"/>
        <v>247.54</v>
      </c>
    </row>
    <row r="69" spans="2:14" s="14" customFormat="1" x14ac:dyDescent="0.25">
      <c r="B69" s="195">
        <v>4703</v>
      </c>
      <c r="C69" s="195" t="s">
        <v>102</v>
      </c>
      <c r="D69" s="196" t="s">
        <v>484</v>
      </c>
      <c r="E69" s="197">
        <v>42507</v>
      </c>
      <c r="F69" s="179">
        <v>1336.23</v>
      </c>
      <c r="G69" s="175"/>
      <c r="H69" s="19">
        <f t="shared" si="7"/>
        <v>1336.23</v>
      </c>
      <c r="I69" s="1"/>
    </row>
    <row r="70" spans="2:14" s="14" customFormat="1" x14ac:dyDescent="0.25">
      <c r="B70" s="185">
        <v>1331</v>
      </c>
      <c r="C70" s="185" t="s">
        <v>102</v>
      </c>
      <c r="D70" s="185" t="s">
        <v>493</v>
      </c>
      <c r="E70" s="176">
        <v>42509</v>
      </c>
      <c r="F70" s="177">
        <v>560</v>
      </c>
      <c r="G70" s="175"/>
      <c r="H70" s="19">
        <f t="shared" si="7"/>
        <v>560</v>
      </c>
      <c r="I70" s="1"/>
    </row>
    <row r="71" spans="2:14" s="14" customFormat="1" x14ac:dyDescent="0.25">
      <c r="B71" s="185">
        <v>1332</v>
      </c>
      <c r="C71" s="185" t="s">
        <v>102</v>
      </c>
      <c r="D71" s="185" t="s">
        <v>493</v>
      </c>
      <c r="E71" s="176">
        <v>42509</v>
      </c>
      <c r="F71" s="177">
        <v>840</v>
      </c>
      <c r="G71" s="175"/>
      <c r="H71" s="19">
        <f t="shared" si="7"/>
        <v>840</v>
      </c>
      <c r="I71" s="1"/>
    </row>
    <row r="72" spans="2:14" x14ac:dyDescent="0.25">
      <c r="B72" s="195">
        <v>1333</v>
      </c>
      <c r="C72" s="195" t="s">
        <v>102</v>
      </c>
      <c r="D72" s="196" t="s">
        <v>494</v>
      </c>
      <c r="E72" s="197">
        <v>42509</v>
      </c>
      <c r="F72" s="179">
        <v>2466.7600000000002</v>
      </c>
      <c r="G72" s="175"/>
      <c r="H72" s="19">
        <f t="shared" si="7"/>
        <v>2466.7600000000002</v>
      </c>
      <c r="J72" s="14"/>
      <c r="K72" s="14"/>
      <c r="L72" s="14"/>
      <c r="M72" s="14"/>
      <c r="N72" s="14"/>
    </row>
    <row r="73" spans="2:14" x14ac:dyDescent="0.25">
      <c r="B73" s="185">
        <v>1334</v>
      </c>
      <c r="C73" s="185" t="s">
        <v>102</v>
      </c>
      <c r="D73" s="185" t="s">
        <v>494</v>
      </c>
      <c r="E73" s="176">
        <v>42509</v>
      </c>
      <c r="F73" s="177">
        <v>3780</v>
      </c>
      <c r="G73" s="175"/>
      <c r="H73" s="19">
        <f t="shared" si="7"/>
        <v>3780</v>
      </c>
      <c r="J73" s="14"/>
      <c r="K73" s="14"/>
      <c r="L73" s="14"/>
      <c r="M73" s="14"/>
      <c r="N73" s="14"/>
    </row>
    <row r="74" spans="2:14" x14ac:dyDescent="0.25">
      <c r="B74" s="185">
        <v>4707</v>
      </c>
      <c r="C74" s="21" t="s">
        <v>102</v>
      </c>
      <c r="D74" s="21" t="s">
        <v>497</v>
      </c>
      <c r="E74" s="28">
        <v>42509</v>
      </c>
      <c r="F74" s="6">
        <v>421.77</v>
      </c>
      <c r="G74" s="7">
        <v>22</v>
      </c>
      <c r="H74" s="19">
        <f t="shared" ref="H74:H80" si="8">F74-G74</f>
        <v>399.77</v>
      </c>
      <c r="J74" s="14"/>
      <c r="K74" s="14"/>
      <c r="L74" s="14"/>
      <c r="M74" s="14"/>
      <c r="N74" s="14"/>
    </row>
    <row r="75" spans="2:14" x14ac:dyDescent="0.25">
      <c r="B75" s="185">
        <v>1335</v>
      </c>
      <c r="C75" s="21" t="s">
        <v>102</v>
      </c>
      <c r="D75" s="21" t="s">
        <v>493</v>
      </c>
      <c r="E75" s="28">
        <v>42513</v>
      </c>
      <c r="F75" s="6">
        <v>420</v>
      </c>
      <c r="G75" s="7"/>
      <c r="H75" s="19">
        <f t="shared" si="8"/>
        <v>420</v>
      </c>
      <c r="J75" s="14"/>
      <c r="K75" s="14"/>
      <c r="L75" s="14"/>
      <c r="M75" s="14"/>
      <c r="N75" s="14"/>
    </row>
    <row r="76" spans="2:14" x14ac:dyDescent="0.25">
      <c r="B76" s="185">
        <v>1338</v>
      </c>
      <c r="C76" s="21" t="s">
        <v>102</v>
      </c>
      <c r="D76" s="21" t="s">
        <v>503</v>
      </c>
      <c r="E76" s="28">
        <v>42514</v>
      </c>
      <c r="F76" s="6">
        <v>509.08</v>
      </c>
      <c r="G76" s="7">
        <v>40</v>
      </c>
      <c r="H76" s="19">
        <f t="shared" si="8"/>
        <v>469.08</v>
      </c>
      <c r="J76" s="14"/>
      <c r="K76" s="14"/>
      <c r="L76" s="14"/>
      <c r="M76" s="14"/>
      <c r="N76" s="14"/>
    </row>
    <row r="77" spans="2:14" x14ac:dyDescent="0.25">
      <c r="B77" s="185">
        <v>4718</v>
      </c>
      <c r="C77" s="21" t="s">
        <v>102</v>
      </c>
      <c r="D77" s="21" t="s">
        <v>506</v>
      </c>
      <c r="E77" s="28">
        <v>42520</v>
      </c>
      <c r="F77" s="6">
        <v>429.77</v>
      </c>
      <c r="G77" s="7">
        <v>30</v>
      </c>
      <c r="H77" s="19">
        <f t="shared" si="8"/>
        <v>399.77</v>
      </c>
      <c r="J77" s="14"/>
      <c r="K77" s="14"/>
      <c r="L77" s="14"/>
      <c r="M77" s="14"/>
      <c r="N77" s="14"/>
    </row>
    <row r="78" spans="2:14" x14ac:dyDescent="0.25">
      <c r="B78" s="185">
        <v>4721</v>
      </c>
      <c r="C78" s="21" t="s">
        <v>102</v>
      </c>
      <c r="D78" s="21" t="s">
        <v>264</v>
      </c>
      <c r="E78" s="28">
        <v>42521</v>
      </c>
      <c r="F78" s="6">
        <v>399.77</v>
      </c>
      <c r="G78" s="7"/>
      <c r="H78" s="19">
        <f t="shared" si="8"/>
        <v>399.77</v>
      </c>
      <c r="J78" s="14"/>
      <c r="K78" s="14"/>
      <c r="L78" s="14"/>
      <c r="M78" s="14"/>
      <c r="N78" s="14"/>
    </row>
    <row r="79" spans="2:14" x14ac:dyDescent="0.25">
      <c r="B79" s="185">
        <v>4724</v>
      </c>
      <c r="C79" s="21" t="s">
        <v>102</v>
      </c>
      <c r="D79" s="21" t="s">
        <v>521</v>
      </c>
      <c r="E79" s="28">
        <v>42521</v>
      </c>
      <c r="F79" s="6">
        <v>108.9</v>
      </c>
      <c r="G79" s="7"/>
      <c r="H79" s="19">
        <f t="shared" si="8"/>
        <v>108.9</v>
      </c>
      <c r="I79" s="58"/>
    </row>
    <row r="80" spans="2:14" ht="15" thickBot="1" x14ac:dyDescent="0.3">
      <c r="B80" s="185"/>
      <c r="C80" s="21"/>
      <c r="D80" s="20"/>
      <c r="E80" s="28"/>
      <c r="F80" s="6"/>
      <c r="G80" s="7"/>
      <c r="H80" s="19">
        <f t="shared" si="8"/>
        <v>0</v>
      </c>
    </row>
    <row r="81" spans="2:14" ht="15" thickBot="1" x14ac:dyDescent="0.3">
      <c r="B81" s="201"/>
      <c r="C81" s="3"/>
      <c r="D81" s="4"/>
      <c r="E81" s="61"/>
      <c r="F81" s="62">
        <f>SUM(F60:F80)</f>
        <v>30429.74</v>
      </c>
      <c r="G81" s="36">
        <f>SUM(G60:G80)</f>
        <v>873.07</v>
      </c>
      <c r="H81" s="63">
        <f>SUM(H60:H80)</f>
        <v>29556.670000000002</v>
      </c>
    </row>
    <row r="82" spans="2:14" x14ac:dyDescent="0.25">
      <c r="B82" s="204"/>
      <c r="C82" s="3"/>
      <c r="D82" s="65"/>
      <c r="E82" s="38" t="s">
        <v>8</v>
      </c>
      <c r="F82" s="39">
        <f>TOTAL!G10</f>
        <v>60000</v>
      </c>
      <c r="G82" s="40" t="s">
        <v>9</v>
      </c>
      <c r="H82" s="41">
        <f>H81/F82%</f>
        <v>49.261116666666673</v>
      </c>
      <c r="I82" s="58" t="s">
        <v>10</v>
      </c>
    </row>
    <row r="83" spans="2:14" ht="15" thickBot="1" x14ac:dyDescent="0.3">
      <c r="B83" s="202"/>
      <c r="C83" s="43"/>
      <c r="D83" s="44"/>
      <c r="E83" s="45"/>
      <c r="F83" s="67"/>
      <c r="G83" s="47"/>
      <c r="H83" s="48"/>
      <c r="I83" s="14"/>
      <c r="J83" s="54"/>
    </row>
    <row r="84" spans="2:14" ht="18.75" thickTop="1" x14ac:dyDescent="0.25">
      <c r="B84" s="198" t="s">
        <v>49</v>
      </c>
      <c r="C84" s="49"/>
      <c r="D84" s="4"/>
      <c r="E84" s="5"/>
      <c r="F84" s="6"/>
      <c r="G84" s="7"/>
      <c r="H84" s="50"/>
      <c r="I84" s="14"/>
    </row>
    <row r="85" spans="2:14" x14ac:dyDescent="0.25">
      <c r="B85" s="199" t="s">
        <v>1</v>
      </c>
      <c r="C85" s="9" t="s">
        <v>2</v>
      </c>
      <c r="D85" s="10" t="s">
        <v>3</v>
      </c>
      <c r="E85" s="11" t="s">
        <v>4</v>
      </c>
      <c r="F85" s="12" t="s">
        <v>5</v>
      </c>
      <c r="G85" s="7" t="s">
        <v>12</v>
      </c>
      <c r="H85" s="13" t="s">
        <v>7</v>
      </c>
      <c r="I85" s="14"/>
    </row>
    <row r="86" spans="2:14" s="14" customFormat="1" x14ac:dyDescent="0.25">
      <c r="B86" s="195">
        <v>164</v>
      </c>
      <c r="C86" s="195" t="s">
        <v>84</v>
      </c>
      <c r="D86" s="196" t="s">
        <v>178</v>
      </c>
      <c r="E86" s="197">
        <v>42493</v>
      </c>
      <c r="F86" s="179">
        <v>290</v>
      </c>
      <c r="G86" s="7"/>
      <c r="H86" s="19">
        <f t="shared" ref="H86:H149" si="9">F86-G86</f>
        <v>290</v>
      </c>
      <c r="J86" s="1"/>
      <c r="K86" s="1"/>
      <c r="L86" s="1"/>
      <c r="M86" s="1"/>
      <c r="N86" s="1"/>
    </row>
    <row r="87" spans="2:14" s="14" customFormat="1" x14ac:dyDescent="0.25">
      <c r="B87" s="195">
        <v>165</v>
      </c>
      <c r="C87" s="195" t="s">
        <v>84</v>
      </c>
      <c r="D87" s="196" t="s">
        <v>101</v>
      </c>
      <c r="E87" s="197">
        <v>42493</v>
      </c>
      <c r="F87" s="179">
        <v>290</v>
      </c>
      <c r="G87" s="7"/>
      <c r="H87" s="19">
        <f t="shared" si="9"/>
        <v>290</v>
      </c>
      <c r="J87" s="1"/>
      <c r="K87" s="1"/>
      <c r="L87" s="1"/>
      <c r="M87" s="1"/>
      <c r="N87" s="1"/>
    </row>
    <row r="88" spans="2:14" s="14" customFormat="1" x14ac:dyDescent="0.25">
      <c r="B88" s="195">
        <v>166</v>
      </c>
      <c r="C88" s="195" t="s">
        <v>86</v>
      </c>
      <c r="D88" s="196" t="s">
        <v>454</v>
      </c>
      <c r="E88" s="197">
        <v>42494</v>
      </c>
      <c r="F88" s="179">
        <v>1004.03</v>
      </c>
      <c r="G88" s="7"/>
      <c r="H88" s="19">
        <f t="shared" si="9"/>
        <v>1004.03</v>
      </c>
      <c r="J88" s="68"/>
    </row>
    <row r="89" spans="2:14" s="14" customFormat="1" x14ac:dyDescent="0.25">
      <c r="B89" s="185">
        <v>167</v>
      </c>
      <c r="C89" s="185" t="s">
        <v>95</v>
      </c>
      <c r="D89" s="186" t="s">
        <v>455</v>
      </c>
      <c r="E89" s="176">
        <v>42494</v>
      </c>
      <c r="F89" s="177">
        <v>1250</v>
      </c>
      <c r="G89" s="7"/>
      <c r="H89" s="19">
        <f t="shared" si="9"/>
        <v>1250</v>
      </c>
      <c r="I89" s="1"/>
    </row>
    <row r="90" spans="2:14" s="14" customFormat="1" x14ac:dyDescent="0.25">
      <c r="B90" s="195">
        <v>168</v>
      </c>
      <c r="C90" s="195" t="s">
        <v>95</v>
      </c>
      <c r="D90" s="196" t="s">
        <v>456</v>
      </c>
      <c r="E90" s="197">
        <v>42496</v>
      </c>
      <c r="F90" s="179">
        <v>2180</v>
      </c>
      <c r="G90" s="7"/>
      <c r="H90" s="19">
        <f t="shared" si="9"/>
        <v>2180</v>
      </c>
      <c r="I90" s="1"/>
    </row>
    <row r="91" spans="2:14" s="14" customFormat="1" x14ac:dyDescent="0.25">
      <c r="B91" s="195">
        <v>169</v>
      </c>
      <c r="C91" s="195" t="s">
        <v>86</v>
      </c>
      <c r="D91" s="196" t="s">
        <v>310</v>
      </c>
      <c r="E91" s="197">
        <v>42496</v>
      </c>
      <c r="F91" s="177">
        <v>550</v>
      </c>
      <c r="G91" s="7"/>
      <c r="H91" s="19">
        <f t="shared" si="9"/>
        <v>550</v>
      </c>
      <c r="I91" s="1"/>
    </row>
    <row r="92" spans="2:14" x14ac:dyDescent="0.25">
      <c r="B92" s="195">
        <v>170</v>
      </c>
      <c r="C92" s="195" t="s">
        <v>84</v>
      </c>
      <c r="D92" s="196" t="s">
        <v>457</v>
      </c>
      <c r="E92" s="197">
        <v>42496</v>
      </c>
      <c r="F92" s="179">
        <v>290</v>
      </c>
      <c r="G92" s="7"/>
      <c r="H92" s="19">
        <f t="shared" si="9"/>
        <v>290</v>
      </c>
      <c r="J92" s="14"/>
      <c r="K92" s="14"/>
      <c r="L92" s="14"/>
      <c r="M92" s="14"/>
      <c r="N92" s="14"/>
    </row>
    <row r="93" spans="2:14" x14ac:dyDescent="0.25">
      <c r="B93" s="185">
        <v>172</v>
      </c>
      <c r="C93" s="185" t="s">
        <v>84</v>
      </c>
      <c r="D93" s="186" t="s">
        <v>458</v>
      </c>
      <c r="E93" s="176">
        <v>42496</v>
      </c>
      <c r="F93" s="177">
        <v>290</v>
      </c>
      <c r="G93" s="7"/>
      <c r="H93" s="19">
        <f t="shared" si="9"/>
        <v>290</v>
      </c>
      <c r="J93" s="14"/>
      <c r="K93" s="14"/>
      <c r="L93" s="14"/>
      <c r="M93" s="14"/>
      <c r="N93" s="14"/>
    </row>
    <row r="94" spans="2:14" x14ac:dyDescent="0.25">
      <c r="B94" s="195">
        <v>173</v>
      </c>
      <c r="C94" s="195" t="s">
        <v>86</v>
      </c>
      <c r="D94" s="196" t="s">
        <v>459</v>
      </c>
      <c r="E94" s="197">
        <v>42496</v>
      </c>
      <c r="F94" s="179">
        <v>390</v>
      </c>
      <c r="G94" s="7"/>
      <c r="H94" s="19">
        <f t="shared" si="9"/>
        <v>390</v>
      </c>
    </row>
    <row r="95" spans="2:14" x14ac:dyDescent="0.25">
      <c r="B95" s="185">
        <v>174</v>
      </c>
      <c r="C95" s="185" t="s">
        <v>95</v>
      </c>
      <c r="D95" s="186" t="s">
        <v>460</v>
      </c>
      <c r="E95" s="176">
        <v>42496</v>
      </c>
      <c r="F95" s="177">
        <v>890</v>
      </c>
      <c r="G95" s="7"/>
      <c r="H95" s="19">
        <f t="shared" si="9"/>
        <v>890</v>
      </c>
    </row>
    <row r="96" spans="2:14" x14ac:dyDescent="0.25">
      <c r="B96" s="185">
        <v>175</v>
      </c>
      <c r="C96" s="185" t="s">
        <v>95</v>
      </c>
      <c r="D96" s="185" t="s">
        <v>461</v>
      </c>
      <c r="E96" s="171">
        <v>42496</v>
      </c>
      <c r="F96" s="174">
        <v>430</v>
      </c>
      <c r="G96" s="7"/>
      <c r="H96" s="19">
        <f t="shared" si="9"/>
        <v>430</v>
      </c>
      <c r="J96" s="54"/>
    </row>
    <row r="97" spans="2:10" x14ac:dyDescent="0.25">
      <c r="B97" s="185">
        <v>176</v>
      </c>
      <c r="C97" s="185" t="s">
        <v>86</v>
      </c>
      <c r="D97" s="186" t="s">
        <v>462</v>
      </c>
      <c r="E97" s="176">
        <v>42496</v>
      </c>
      <c r="F97" s="177">
        <v>330</v>
      </c>
      <c r="G97" s="7"/>
      <c r="H97" s="19">
        <f t="shared" si="9"/>
        <v>330</v>
      </c>
      <c r="J97" s="54"/>
    </row>
    <row r="98" spans="2:10" x14ac:dyDescent="0.25">
      <c r="B98" s="185">
        <v>177</v>
      </c>
      <c r="C98" s="185" t="s">
        <v>84</v>
      </c>
      <c r="D98" s="186" t="s">
        <v>463</v>
      </c>
      <c r="E98" s="176">
        <v>42496</v>
      </c>
      <c r="F98" s="177">
        <v>290</v>
      </c>
      <c r="G98" s="7"/>
      <c r="H98" s="19">
        <f t="shared" si="9"/>
        <v>290</v>
      </c>
      <c r="J98" s="54"/>
    </row>
    <row r="99" spans="2:10" x14ac:dyDescent="0.25">
      <c r="B99" s="185">
        <v>179</v>
      </c>
      <c r="C99" s="185" t="s">
        <v>95</v>
      </c>
      <c r="D99" s="186" t="s">
        <v>270</v>
      </c>
      <c r="E99" s="176">
        <v>42496</v>
      </c>
      <c r="F99" s="177">
        <v>990</v>
      </c>
      <c r="G99" s="7"/>
      <c r="H99" s="19">
        <f t="shared" si="9"/>
        <v>990</v>
      </c>
      <c r="J99" s="54"/>
    </row>
    <row r="100" spans="2:10" x14ac:dyDescent="0.25">
      <c r="B100" s="185">
        <v>180</v>
      </c>
      <c r="C100" s="185" t="s">
        <v>86</v>
      </c>
      <c r="D100" s="186" t="s">
        <v>464</v>
      </c>
      <c r="E100" s="176">
        <v>42499</v>
      </c>
      <c r="F100" s="177">
        <v>590</v>
      </c>
      <c r="G100" s="7"/>
      <c r="H100" s="19">
        <f t="shared" si="9"/>
        <v>590</v>
      </c>
      <c r="J100" s="54"/>
    </row>
    <row r="101" spans="2:10" x14ac:dyDescent="0.25">
      <c r="B101" s="195">
        <v>181</v>
      </c>
      <c r="C101" s="195" t="s">
        <v>86</v>
      </c>
      <c r="D101" s="196" t="s">
        <v>465</v>
      </c>
      <c r="E101" s="197">
        <v>42499</v>
      </c>
      <c r="F101" s="179">
        <v>1690</v>
      </c>
      <c r="G101" s="7"/>
      <c r="H101" s="19">
        <f t="shared" si="9"/>
        <v>1690</v>
      </c>
      <c r="J101" s="54"/>
    </row>
    <row r="102" spans="2:10" x14ac:dyDescent="0.25">
      <c r="B102" s="195" t="s">
        <v>83</v>
      </c>
      <c r="C102" s="195" t="s">
        <v>84</v>
      </c>
      <c r="D102" s="196" t="s">
        <v>425</v>
      </c>
      <c r="E102" s="197">
        <v>42499</v>
      </c>
      <c r="F102" s="177">
        <v>290</v>
      </c>
      <c r="G102" s="7"/>
      <c r="H102" s="19">
        <f t="shared" si="9"/>
        <v>290</v>
      </c>
      <c r="J102" s="54"/>
    </row>
    <row r="103" spans="2:10" x14ac:dyDescent="0.25">
      <c r="B103" s="195">
        <v>1117</v>
      </c>
      <c r="C103" s="195" t="s">
        <v>86</v>
      </c>
      <c r="D103" s="196" t="s">
        <v>152</v>
      </c>
      <c r="E103" s="197">
        <v>42500</v>
      </c>
      <c r="F103" s="177">
        <v>18584.52</v>
      </c>
      <c r="G103" s="7"/>
      <c r="H103" s="19">
        <f t="shared" si="9"/>
        <v>18584.52</v>
      </c>
      <c r="J103" s="54"/>
    </row>
    <row r="104" spans="2:10" x14ac:dyDescent="0.25">
      <c r="B104" s="195">
        <v>183</v>
      </c>
      <c r="C104" s="195" t="s">
        <v>86</v>
      </c>
      <c r="D104" s="196" t="s">
        <v>466</v>
      </c>
      <c r="E104" s="197">
        <v>42501</v>
      </c>
      <c r="F104" s="179">
        <v>990</v>
      </c>
      <c r="G104" s="7"/>
      <c r="H104" s="19">
        <f t="shared" si="9"/>
        <v>990</v>
      </c>
      <c r="J104" s="54"/>
    </row>
    <row r="105" spans="2:10" x14ac:dyDescent="0.25">
      <c r="B105" s="185">
        <v>184</v>
      </c>
      <c r="C105" s="185" t="s">
        <v>86</v>
      </c>
      <c r="D105" s="186" t="s">
        <v>467</v>
      </c>
      <c r="E105" s="176">
        <v>42501</v>
      </c>
      <c r="F105" s="177">
        <v>630</v>
      </c>
      <c r="G105" s="7"/>
      <c r="H105" s="19">
        <f t="shared" si="9"/>
        <v>630</v>
      </c>
      <c r="J105" s="54"/>
    </row>
    <row r="106" spans="2:10" x14ac:dyDescent="0.25">
      <c r="B106" s="185">
        <v>185</v>
      </c>
      <c r="C106" s="185" t="s">
        <v>86</v>
      </c>
      <c r="D106" s="186" t="s">
        <v>251</v>
      </c>
      <c r="E106" s="176">
        <v>42501</v>
      </c>
      <c r="F106" s="177">
        <v>539.9</v>
      </c>
      <c r="G106" s="7"/>
      <c r="H106" s="19">
        <f t="shared" si="9"/>
        <v>539.9</v>
      </c>
      <c r="J106" s="54"/>
    </row>
    <row r="107" spans="2:10" x14ac:dyDescent="0.25">
      <c r="B107" s="195">
        <v>186</v>
      </c>
      <c r="C107" s="195" t="s">
        <v>95</v>
      </c>
      <c r="D107" s="196" t="s">
        <v>260</v>
      </c>
      <c r="E107" s="197">
        <v>42501</v>
      </c>
      <c r="F107" s="177">
        <v>550</v>
      </c>
      <c r="G107" s="7"/>
      <c r="H107" s="19">
        <f t="shared" si="9"/>
        <v>550</v>
      </c>
      <c r="J107" s="54"/>
    </row>
    <row r="108" spans="2:10" x14ac:dyDescent="0.25">
      <c r="B108" s="195">
        <v>187</v>
      </c>
      <c r="C108" s="195" t="s">
        <v>86</v>
      </c>
      <c r="D108" s="196" t="s">
        <v>468</v>
      </c>
      <c r="E108" s="197">
        <v>42501</v>
      </c>
      <c r="F108" s="179">
        <v>440</v>
      </c>
      <c r="G108" s="7"/>
      <c r="H108" s="19">
        <f t="shared" si="9"/>
        <v>440</v>
      </c>
      <c r="J108" s="54"/>
    </row>
    <row r="109" spans="2:10" x14ac:dyDescent="0.25">
      <c r="B109" s="195">
        <v>188</v>
      </c>
      <c r="C109" s="195" t="s">
        <v>95</v>
      </c>
      <c r="D109" s="196" t="s">
        <v>469</v>
      </c>
      <c r="E109" s="197">
        <v>42501</v>
      </c>
      <c r="F109" s="179">
        <v>430</v>
      </c>
      <c r="G109" s="7"/>
      <c r="H109" s="19">
        <f t="shared" si="9"/>
        <v>430</v>
      </c>
      <c r="J109" s="54"/>
    </row>
    <row r="110" spans="2:10" x14ac:dyDescent="0.25">
      <c r="B110" s="185">
        <v>189</v>
      </c>
      <c r="C110" s="185" t="s">
        <v>86</v>
      </c>
      <c r="D110" s="186" t="s">
        <v>470</v>
      </c>
      <c r="E110" s="176">
        <v>42501</v>
      </c>
      <c r="F110" s="177">
        <v>550</v>
      </c>
      <c r="G110" s="7"/>
      <c r="H110" s="19">
        <f t="shared" si="9"/>
        <v>550</v>
      </c>
      <c r="J110" s="54"/>
    </row>
    <row r="111" spans="2:10" x14ac:dyDescent="0.25">
      <c r="B111" s="185">
        <v>190</v>
      </c>
      <c r="C111" s="185" t="s">
        <v>86</v>
      </c>
      <c r="D111" s="186" t="s">
        <v>471</v>
      </c>
      <c r="E111" s="176">
        <v>42501</v>
      </c>
      <c r="F111" s="177">
        <v>1100</v>
      </c>
      <c r="G111" s="7"/>
      <c r="H111" s="19">
        <f t="shared" si="9"/>
        <v>1100</v>
      </c>
      <c r="J111" s="54"/>
    </row>
    <row r="112" spans="2:10" x14ac:dyDescent="0.25">
      <c r="B112" s="185">
        <v>191</v>
      </c>
      <c r="C112" s="185" t="s">
        <v>86</v>
      </c>
      <c r="D112" s="186" t="s">
        <v>472</v>
      </c>
      <c r="E112" s="176">
        <v>42501</v>
      </c>
      <c r="F112" s="177">
        <v>550</v>
      </c>
      <c r="G112" s="7"/>
      <c r="H112" s="19">
        <f t="shared" si="9"/>
        <v>550</v>
      </c>
      <c r="J112" s="54"/>
    </row>
    <row r="113" spans="2:10" x14ac:dyDescent="0.25">
      <c r="B113" s="185">
        <v>192</v>
      </c>
      <c r="C113" s="185" t="s">
        <v>86</v>
      </c>
      <c r="D113" s="186" t="s">
        <v>473</v>
      </c>
      <c r="E113" s="176">
        <v>42501</v>
      </c>
      <c r="F113" s="177">
        <v>520</v>
      </c>
      <c r="G113" s="7"/>
      <c r="H113" s="19">
        <f t="shared" si="9"/>
        <v>520</v>
      </c>
      <c r="J113" s="54"/>
    </row>
    <row r="114" spans="2:10" x14ac:dyDescent="0.25">
      <c r="B114" s="185">
        <v>193</v>
      </c>
      <c r="C114" s="185" t="s">
        <v>86</v>
      </c>
      <c r="D114" s="186" t="s">
        <v>474</v>
      </c>
      <c r="E114" s="176">
        <v>42501</v>
      </c>
      <c r="F114" s="177">
        <v>590</v>
      </c>
      <c r="G114" s="7"/>
      <c r="H114" s="19">
        <f t="shared" si="9"/>
        <v>590</v>
      </c>
      <c r="J114" s="54"/>
    </row>
    <row r="115" spans="2:10" x14ac:dyDescent="0.25">
      <c r="B115" s="185">
        <v>194</v>
      </c>
      <c r="C115" s="185" t="s">
        <v>86</v>
      </c>
      <c r="D115" s="186" t="s">
        <v>474</v>
      </c>
      <c r="E115" s="176">
        <v>42501</v>
      </c>
      <c r="F115" s="177">
        <v>1700</v>
      </c>
      <c r="G115" s="7"/>
      <c r="H115" s="19">
        <f t="shared" si="9"/>
        <v>1700</v>
      </c>
      <c r="J115" s="54"/>
    </row>
    <row r="116" spans="2:10" x14ac:dyDescent="0.25">
      <c r="B116" s="185">
        <v>195</v>
      </c>
      <c r="C116" s="185" t="s">
        <v>86</v>
      </c>
      <c r="D116" s="186" t="s">
        <v>270</v>
      </c>
      <c r="E116" s="176">
        <v>42501</v>
      </c>
      <c r="F116" s="177">
        <v>990</v>
      </c>
      <c r="G116" s="7"/>
      <c r="H116" s="19">
        <f t="shared" si="9"/>
        <v>990</v>
      </c>
      <c r="J116" s="54"/>
    </row>
    <row r="117" spans="2:10" x14ac:dyDescent="0.25">
      <c r="B117" s="185">
        <v>199</v>
      </c>
      <c r="C117" s="185" t="s">
        <v>86</v>
      </c>
      <c r="D117" s="186" t="s">
        <v>480</v>
      </c>
      <c r="E117" s="176">
        <v>42507</v>
      </c>
      <c r="F117" s="177">
        <v>3270</v>
      </c>
      <c r="G117" s="7"/>
      <c r="H117" s="19">
        <f t="shared" si="9"/>
        <v>3270</v>
      </c>
      <c r="J117" s="54"/>
    </row>
    <row r="118" spans="2:10" x14ac:dyDescent="0.25">
      <c r="B118" s="185">
        <v>200</v>
      </c>
      <c r="C118" s="185" t="s">
        <v>86</v>
      </c>
      <c r="D118" s="186" t="s">
        <v>481</v>
      </c>
      <c r="E118" s="176">
        <v>42507</v>
      </c>
      <c r="F118" s="177">
        <v>689.9</v>
      </c>
      <c r="G118" s="7">
        <v>49.9</v>
      </c>
      <c r="H118" s="19">
        <f t="shared" si="9"/>
        <v>640</v>
      </c>
      <c r="J118" s="54"/>
    </row>
    <row r="119" spans="2:10" x14ac:dyDescent="0.25">
      <c r="B119" s="185">
        <v>201</v>
      </c>
      <c r="C119" s="185" t="s">
        <v>86</v>
      </c>
      <c r="D119" s="186" t="s">
        <v>482</v>
      </c>
      <c r="E119" s="176">
        <v>42507</v>
      </c>
      <c r="F119" s="177">
        <v>490</v>
      </c>
      <c r="G119" s="7"/>
      <c r="H119" s="19">
        <f t="shared" si="9"/>
        <v>490</v>
      </c>
      <c r="J119" s="54"/>
    </row>
    <row r="120" spans="2:10" x14ac:dyDescent="0.25">
      <c r="B120" s="185">
        <v>202</v>
      </c>
      <c r="C120" s="185" t="s">
        <v>84</v>
      </c>
      <c r="D120" s="186" t="s">
        <v>483</v>
      </c>
      <c r="E120" s="176">
        <v>42507</v>
      </c>
      <c r="F120" s="177">
        <v>290</v>
      </c>
      <c r="G120" s="7"/>
      <c r="H120" s="19">
        <f t="shared" si="9"/>
        <v>290</v>
      </c>
      <c r="J120" s="54"/>
    </row>
    <row r="121" spans="2:10" x14ac:dyDescent="0.25">
      <c r="B121" s="185">
        <v>203</v>
      </c>
      <c r="C121" s="185" t="s">
        <v>86</v>
      </c>
      <c r="D121" s="186" t="s">
        <v>484</v>
      </c>
      <c r="E121" s="176">
        <v>42507</v>
      </c>
      <c r="F121" s="177">
        <v>490</v>
      </c>
      <c r="G121" s="7"/>
      <c r="H121" s="19">
        <f t="shared" si="9"/>
        <v>490</v>
      </c>
      <c r="J121" s="54"/>
    </row>
    <row r="122" spans="2:10" x14ac:dyDescent="0.25">
      <c r="B122" s="185">
        <v>204</v>
      </c>
      <c r="C122" s="185" t="s">
        <v>84</v>
      </c>
      <c r="D122" s="186" t="s">
        <v>485</v>
      </c>
      <c r="E122" s="176">
        <v>42507</v>
      </c>
      <c r="F122" s="177">
        <v>290</v>
      </c>
      <c r="G122" s="7"/>
      <c r="H122" s="19">
        <f t="shared" si="9"/>
        <v>290</v>
      </c>
      <c r="J122" s="54"/>
    </row>
    <row r="123" spans="2:10" x14ac:dyDescent="0.25">
      <c r="B123" s="185">
        <v>205</v>
      </c>
      <c r="C123" s="185" t="s">
        <v>84</v>
      </c>
      <c r="D123" s="186" t="s">
        <v>483</v>
      </c>
      <c r="E123" s="176">
        <v>42510</v>
      </c>
      <c r="F123" s="177">
        <v>290</v>
      </c>
      <c r="G123" s="7"/>
      <c r="H123" s="19">
        <f t="shared" si="9"/>
        <v>290</v>
      </c>
      <c r="J123" s="54"/>
    </row>
    <row r="124" spans="2:10" x14ac:dyDescent="0.25">
      <c r="B124" s="185">
        <v>206</v>
      </c>
      <c r="C124" s="185" t="s">
        <v>86</v>
      </c>
      <c r="D124" s="186" t="s">
        <v>486</v>
      </c>
      <c r="E124" s="176">
        <v>42510</v>
      </c>
      <c r="F124" s="177">
        <v>1327.5</v>
      </c>
      <c r="G124" s="7"/>
      <c r="H124" s="19">
        <f t="shared" si="9"/>
        <v>1327.5</v>
      </c>
      <c r="J124" s="54"/>
    </row>
    <row r="125" spans="2:10" x14ac:dyDescent="0.25">
      <c r="B125" s="185">
        <v>207</v>
      </c>
      <c r="C125" s="185" t="s">
        <v>86</v>
      </c>
      <c r="D125" s="186" t="s">
        <v>487</v>
      </c>
      <c r="E125" s="176">
        <v>42510</v>
      </c>
      <c r="F125" s="177">
        <v>300</v>
      </c>
      <c r="G125" s="7"/>
      <c r="H125" s="19">
        <f t="shared" si="9"/>
        <v>300</v>
      </c>
      <c r="J125" s="54"/>
    </row>
    <row r="126" spans="2:10" x14ac:dyDescent="0.25">
      <c r="B126" s="185">
        <v>208</v>
      </c>
      <c r="C126" s="185" t="s">
        <v>95</v>
      </c>
      <c r="D126" s="186" t="s">
        <v>488</v>
      </c>
      <c r="E126" s="176">
        <v>42510</v>
      </c>
      <c r="F126" s="177">
        <v>690</v>
      </c>
      <c r="G126" s="7"/>
      <c r="H126" s="19">
        <f t="shared" si="9"/>
        <v>690</v>
      </c>
      <c r="J126" s="54"/>
    </row>
    <row r="127" spans="2:10" x14ac:dyDescent="0.25">
      <c r="B127" s="185">
        <v>209</v>
      </c>
      <c r="C127" s="185" t="s">
        <v>86</v>
      </c>
      <c r="D127" s="186" t="s">
        <v>489</v>
      </c>
      <c r="E127" s="176">
        <v>42510</v>
      </c>
      <c r="F127" s="177">
        <v>2975</v>
      </c>
      <c r="G127" s="7"/>
      <c r="H127" s="19">
        <f t="shared" si="9"/>
        <v>2975</v>
      </c>
      <c r="J127" s="54"/>
    </row>
    <row r="128" spans="2:10" x14ac:dyDescent="0.25">
      <c r="B128" s="185">
        <v>210</v>
      </c>
      <c r="C128" s="185" t="s">
        <v>95</v>
      </c>
      <c r="D128" s="186" t="s">
        <v>490</v>
      </c>
      <c r="E128" s="176">
        <v>42510</v>
      </c>
      <c r="F128" s="177">
        <v>690</v>
      </c>
      <c r="G128" s="7"/>
      <c r="H128" s="19">
        <f t="shared" si="9"/>
        <v>690</v>
      </c>
      <c r="J128" s="54"/>
    </row>
    <row r="129" spans="2:10" x14ac:dyDescent="0.25">
      <c r="B129" s="185" t="s">
        <v>83</v>
      </c>
      <c r="C129" s="185" t="s">
        <v>84</v>
      </c>
      <c r="D129" s="186" t="s">
        <v>479</v>
      </c>
      <c r="E129" s="176">
        <v>42510</v>
      </c>
      <c r="F129" s="177">
        <v>290</v>
      </c>
      <c r="G129" s="7"/>
      <c r="H129" s="19">
        <f t="shared" si="9"/>
        <v>290</v>
      </c>
      <c r="J129" s="54"/>
    </row>
    <row r="130" spans="2:10" x14ac:dyDescent="0.25">
      <c r="B130" s="185">
        <v>212</v>
      </c>
      <c r="C130" s="185" t="s">
        <v>86</v>
      </c>
      <c r="D130" s="186" t="s">
        <v>502</v>
      </c>
      <c r="E130" s="176">
        <v>42514</v>
      </c>
      <c r="F130" s="177">
        <v>590</v>
      </c>
      <c r="G130" s="7"/>
      <c r="H130" s="19">
        <f t="shared" si="9"/>
        <v>590</v>
      </c>
      <c r="J130" s="54"/>
    </row>
    <row r="131" spans="2:10" x14ac:dyDescent="0.25">
      <c r="B131" s="185">
        <v>213</v>
      </c>
      <c r="C131" s="185" t="s">
        <v>86</v>
      </c>
      <c r="D131" s="186" t="s">
        <v>502</v>
      </c>
      <c r="E131" s="176">
        <v>42514</v>
      </c>
      <c r="F131" s="177">
        <v>590</v>
      </c>
      <c r="G131" s="7"/>
      <c r="H131" s="19">
        <f t="shared" si="9"/>
        <v>590</v>
      </c>
      <c r="J131" s="54"/>
    </row>
    <row r="132" spans="2:10" x14ac:dyDescent="0.25">
      <c r="B132" s="185" t="s">
        <v>83</v>
      </c>
      <c r="C132" s="185" t="s">
        <v>84</v>
      </c>
      <c r="D132" s="186" t="s">
        <v>498</v>
      </c>
      <c r="E132" s="176">
        <v>42514</v>
      </c>
      <c r="F132" s="177">
        <v>290</v>
      </c>
      <c r="G132" s="7"/>
      <c r="H132" s="19">
        <f t="shared" si="9"/>
        <v>290</v>
      </c>
      <c r="J132" s="54"/>
    </row>
    <row r="133" spans="2:10" x14ac:dyDescent="0.25">
      <c r="B133" s="185">
        <v>214</v>
      </c>
      <c r="C133" s="185" t="s">
        <v>86</v>
      </c>
      <c r="D133" s="186" t="s">
        <v>161</v>
      </c>
      <c r="E133" s="176">
        <v>42515</v>
      </c>
      <c r="F133" s="177">
        <v>2725</v>
      </c>
      <c r="G133" s="7"/>
      <c r="H133" s="19">
        <f t="shared" si="9"/>
        <v>2725</v>
      </c>
      <c r="J133" s="54"/>
    </row>
    <row r="134" spans="2:10" x14ac:dyDescent="0.25">
      <c r="B134" s="185">
        <v>215</v>
      </c>
      <c r="C134" s="185" t="s">
        <v>86</v>
      </c>
      <c r="D134" s="186" t="s">
        <v>494</v>
      </c>
      <c r="E134" s="176">
        <v>42515</v>
      </c>
      <c r="F134" s="177">
        <v>4900</v>
      </c>
      <c r="G134" s="7"/>
      <c r="H134" s="19">
        <f t="shared" si="9"/>
        <v>4900</v>
      </c>
      <c r="J134" s="54"/>
    </row>
    <row r="135" spans="2:10" x14ac:dyDescent="0.25">
      <c r="B135" s="185">
        <v>216</v>
      </c>
      <c r="C135" s="185" t="s">
        <v>86</v>
      </c>
      <c r="D135" s="186" t="s">
        <v>513</v>
      </c>
      <c r="E135" s="176">
        <v>42521</v>
      </c>
      <c r="F135" s="177">
        <v>590</v>
      </c>
      <c r="G135" s="7"/>
      <c r="H135" s="19">
        <f t="shared" si="9"/>
        <v>590</v>
      </c>
      <c r="J135" s="54"/>
    </row>
    <row r="136" spans="2:10" x14ac:dyDescent="0.25">
      <c r="B136" s="185">
        <v>217</v>
      </c>
      <c r="C136" s="185" t="s">
        <v>84</v>
      </c>
      <c r="D136" s="186" t="s">
        <v>514</v>
      </c>
      <c r="E136" s="176">
        <v>42521</v>
      </c>
      <c r="F136" s="177">
        <v>290</v>
      </c>
      <c r="G136" s="7"/>
      <c r="H136" s="19">
        <f t="shared" si="9"/>
        <v>290</v>
      </c>
      <c r="J136" s="54"/>
    </row>
    <row r="137" spans="2:10" x14ac:dyDescent="0.25">
      <c r="B137" s="185">
        <v>218</v>
      </c>
      <c r="C137" s="185" t="s">
        <v>86</v>
      </c>
      <c r="D137" s="186" t="s">
        <v>515</v>
      </c>
      <c r="E137" s="176">
        <v>42521</v>
      </c>
      <c r="F137" s="177">
        <v>1490</v>
      </c>
      <c r="G137" s="7"/>
      <c r="H137" s="19">
        <f t="shared" si="9"/>
        <v>1490</v>
      </c>
      <c r="J137" s="54"/>
    </row>
    <row r="138" spans="2:10" x14ac:dyDescent="0.25">
      <c r="B138" s="185">
        <v>219</v>
      </c>
      <c r="C138" s="185" t="s">
        <v>86</v>
      </c>
      <c r="D138" s="186" t="s">
        <v>481</v>
      </c>
      <c r="E138" s="176">
        <v>42521</v>
      </c>
      <c r="F138" s="177">
        <v>689.9</v>
      </c>
      <c r="G138" s="7">
        <v>49.9</v>
      </c>
      <c r="H138" s="19">
        <f t="shared" si="9"/>
        <v>640</v>
      </c>
      <c r="J138" s="54"/>
    </row>
    <row r="139" spans="2:10" x14ac:dyDescent="0.25">
      <c r="B139" s="185">
        <v>220</v>
      </c>
      <c r="C139" s="185" t="s">
        <v>84</v>
      </c>
      <c r="D139" s="186" t="s">
        <v>516</v>
      </c>
      <c r="E139" s="176">
        <v>42521</v>
      </c>
      <c r="F139" s="177">
        <v>290</v>
      </c>
      <c r="G139" s="7"/>
      <c r="H139" s="19">
        <f t="shared" si="9"/>
        <v>290</v>
      </c>
      <c r="J139" s="54"/>
    </row>
    <row r="140" spans="2:10" x14ac:dyDescent="0.25">
      <c r="B140" s="185">
        <v>221</v>
      </c>
      <c r="C140" s="185" t="s">
        <v>86</v>
      </c>
      <c r="D140" s="186" t="s">
        <v>179</v>
      </c>
      <c r="E140" s="176">
        <v>42521</v>
      </c>
      <c r="F140" s="177">
        <v>1600</v>
      </c>
      <c r="G140" s="7"/>
      <c r="H140" s="19">
        <f t="shared" si="9"/>
        <v>1600</v>
      </c>
      <c r="J140" s="54"/>
    </row>
    <row r="141" spans="2:10" x14ac:dyDescent="0.25">
      <c r="B141" s="185">
        <v>222</v>
      </c>
      <c r="C141" s="185" t="s">
        <v>86</v>
      </c>
      <c r="D141" s="186" t="s">
        <v>462</v>
      </c>
      <c r="E141" s="176">
        <v>42521</v>
      </c>
      <c r="F141" s="177">
        <v>490</v>
      </c>
      <c r="G141" s="7"/>
      <c r="H141" s="19">
        <f t="shared" si="9"/>
        <v>490</v>
      </c>
      <c r="J141" s="54"/>
    </row>
    <row r="142" spans="2:10" x14ac:dyDescent="0.25">
      <c r="B142" s="185">
        <v>223</v>
      </c>
      <c r="C142" s="185" t="s">
        <v>86</v>
      </c>
      <c r="D142" s="186" t="s">
        <v>517</v>
      </c>
      <c r="E142" s="176">
        <v>42521</v>
      </c>
      <c r="F142" s="177">
        <v>1150</v>
      </c>
      <c r="G142" s="7"/>
      <c r="H142" s="19">
        <f t="shared" si="9"/>
        <v>1150</v>
      </c>
      <c r="J142" s="54"/>
    </row>
    <row r="143" spans="2:10" x14ac:dyDescent="0.25">
      <c r="B143" s="185">
        <v>224</v>
      </c>
      <c r="C143" s="185" t="s">
        <v>84</v>
      </c>
      <c r="D143" s="186" t="s">
        <v>518</v>
      </c>
      <c r="E143" s="176">
        <v>42521</v>
      </c>
      <c r="F143" s="177">
        <v>290</v>
      </c>
      <c r="G143" s="7"/>
      <c r="H143" s="19">
        <f t="shared" si="9"/>
        <v>290</v>
      </c>
      <c r="J143" s="54"/>
    </row>
    <row r="144" spans="2:10" x14ac:dyDescent="0.25">
      <c r="B144" s="185">
        <v>225</v>
      </c>
      <c r="C144" s="185" t="s">
        <v>86</v>
      </c>
      <c r="D144" s="186" t="s">
        <v>519</v>
      </c>
      <c r="E144" s="176">
        <v>42521</v>
      </c>
      <c r="F144" s="177">
        <v>3300</v>
      </c>
      <c r="G144" s="7"/>
      <c r="H144" s="19">
        <f t="shared" si="9"/>
        <v>3300</v>
      </c>
      <c r="J144" s="54"/>
    </row>
    <row r="145" spans="2:10" x14ac:dyDescent="0.25">
      <c r="B145" s="185">
        <v>226</v>
      </c>
      <c r="C145" s="185" t="s">
        <v>86</v>
      </c>
      <c r="D145" s="186" t="s">
        <v>520</v>
      </c>
      <c r="E145" s="176">
        <v>42521</v>
      </c>
      <c r="F145" s="177">
        <v>390</v>
      </c>
      <c r="G145" s="7"/>
      <c r="H145" s="19">
        <f t="shared" si="9"/>
        <v>390</v>
      </c>
      <c r="J145" s="54"/>
    </row>
    <row r="146" spans="2:10" x14ac:dyDescent="0.25">
      <c r="B146" s="185">
        <v>227</v>
      </c>
      <c r="C146" s="185" t="s">
        <v>86</v>
      </c>
      <c r="D146" s="186" t="s">
        <v>489</v>
      </c>
      <c r="E146" s="176">
        <v>42521</v>
      </c>
      <c r="F146" s="177">
        <v>790</v>
      </c>
      <c r="G146" s="7"/>
      <c r="H146" s="19">
        <f t="shared" si="9"/>
        <v>790</v>
      </c>
      <c r="J146" s="54"/>
    </row>
    <row r="147" spans="2:10" x14ac:dyDescent="0.25">
      <c r="B147" s="185">
        <v>228</v>
      </c>
      <c r="C147" s="185" t="s">
        <v>86</v>
      </c>
      <c r="D147" s="186" t="s">
        <v>521</v>
      </c>
      <c r="E147" s="176">
        <v>42521</v>
      </c>
      <c r="F147" s="177">
        <v>490</v>
      </c>
      <c r="G147" s="7"/>
      <c r="H147" s="19">
        <f t="shared" si="9"/>
        <v>490</v>
      </c>
      <c r="J147" s="54"/>
    </row>
    <row r="148" spans="2:10" x14ac:dyDescent="0.25">
      <c r="B148" s="185">
        <v>229</v>
      </c>
      <c r="C148" s="185" t="s">
        <v>86</v>
      </c>
      <c r="D148" s="186" t="s">
        <v>522</v>
      </c>
      <c r="E148" s="176">
        <v>42521</v>
      </c>
      <c r="F148" s="177">
        <v>790</v>
      </c>
      <c r="G148" s="7"/>
      <c r="H148" s="19">
        <f t="shared" si="9"/>
        <v>790</v>
      </c>
      <c r="J148" s="54"/>
    </row>
    <row r="149" spans="2:10" x14ac:dyDescent="0.25">
      <c r="B149" s="185">
        <v>230</v>
      </c>
      <c r="C149" s="21" t="s">
        <v>95</v>
      </c>
      <c r="D149" s="20" t="s">
        <v>523</v>
      </c>
      <c r="E149" s="28">
        <v>42521</v>
      </c>
      <c r="F149" s="6">
        <v>550</v>
      </c>
      <c r="G149" s="7"/>
      <c r="H149" s="19">
        <f t="shared" si="9"/>
        <v>550</v>
      </c>
    </row>
    <row r="150" spans="2:10" ht="15" thickBot="1" x14ac:dyDescent="0.3">
      <c r="B150" s="185"/>
      <c r="C150" s="21"/>
      <c r="D150" s="20"/>
      <c r="E150" s="28"/>
      <c r="F150" s="6"/>
      <c r="G150" s="7"/>
      <c r="H150" s="19">
        <f t="shared" ref="H150" si="10">F150-G150</f>
        <v>0</v>
      </c>
    </row>
    <row r="151" spans="2:10" ht="15" thickBot="1" x14ac:dyDescent="0.3">
      <c r="E151" s="70"/>
      <c r="F151" s="62">
        <f>SUM(F86:F150)</f>
        <v>74565.75</v>
      </c>
      <c r="G151" s="36"/>
      <c r="H151" s="63">
        <f>SUM(H86:H150)</f>
        <v>74465.95</v>
      </c>
    </row>
    <row r="152" spans="2:10" x14ac:dyDescent="0.25">
      <c r="E152" s="38" t="s">
        <v>8</v>
      </c>
      <c r="F152" s="39">
        <f>TOTAL!G11</f>
        <v>56000</v>
      </c>
      <c r="G152" s="40" t="s">
        <v>16</v>
      </c>
      <c r="H152" s="71">
        <f>H151/F152%</f>
        <v>132.9749107142857</v>
      </c>
      <c r="I152" s="58" t="s">
        <v>10</v>
      </c>
    </row>
    <row r="153" spans="2:10" x14ac:dyDescent="0.25">
      <c r="E153" s="38"/>
      <c r="F153" s="39"/>
      <c r="G153" s="40"/>
      <c r="H153" s="71"/>
      <c r="I153" s="58"/>
    </row>
    <row r="154" spans="2:10" ht="15" thickBot="1" x14ac:dyDescent="0.3">
      <c r="E154" s="38"/>
      <c r="F154" s="39"/>
      <c r="G154" s="40"/>
      <c r="H154" s="71"/>
      <c r="I154" s="58"/>
    </row>
    <row r="155" spans="2:10" ht="18.75" thickTop="1" x14ac:dyDescent="0.25">
      <c r="B155" s="207" t="s">
        <v>150</v>
      </c>
      <c r="C155" s="76"/>
      <c r="D155" s="83"/>
      <c r="E155" s="77"/>
      <c r="F155" s="77"/>
      <c r="G155" s="77"/>
      <c r="H155" s="77"/>
      <c r="I155" s="58"/>
    </row>
    <row r="156" spans="2:10" x14ac:dyDescent="0.25">
      <c r="B156" s="199" t="s">
        <v>1</v>
      </c>
      <c r="C156" s="9" t="s">
        <v>2</v>
      </c>
      <c r="D156" s="10" t="s">
        <v>3</v>
      </c>
      <c r="E156" s="246" t="s">
        <v>4</v>
      </c>
      <c r="F156" s="12" t="s">
        <v>5</v>
      </c>
      <c r="G156" s="7" t="s">
        <v>12</v>
      </c>
      <c r="H156" s="13" t="s">
        <v>7</v>
      </c>
      <c r="I156" s="58"/>
    </row>
    <row r="157" spans="2:10" x14ac:dyDescent="0.25">
      <c r="B157" s="182">
        <v>182</v>
      </c>
      <c r="C157" s="29" t="s">
        <v>151</v>
      </c>
      <c r="D157" s="30" t="s">
        <v>152</v>
      </c>
      <c r="E157" s="31">
        <v>42501</v>
      </c>
      <c r="F157" s="6">
        <v>7700.09</v>
      </c>
      <c r="G157" s="7"/>
      <c r="H157" s="19">
        <f t="shared" ref="H157:H160" si="11">F157-G157</f>
        <v>7700.09</v>
      </c>
      <c r="I157" s="58"/>
    </row>
    <row r="158" spans="2:10" x14ac:dyDescent="0.25">
      <c r="B158" s="182">
        <v>198</v>
      </c>
      <c r="C158" s="29" t="s">
        <v>151</v>
      </c>
      <c r="D158" s="30" t="s">
        <v>152</v>
      </c>
      <c r="E158" s="31">
        <v>42507</v>
      </c>
      <c r="F158" s="6">
        <v>25483.91</v>
      </c>
      <c r="G158" s="7"/>
      <c r="H158" s="19">
        <f t="shared" si="11"/>
        <v>25483.91</v>
      </c>
      <c r="I158" s="58"/>
    </row>
    <row r="159" spans="2:10" x14ac:dyDescent="0.25">
      <c r="B159" s="182"/>
      <c r="C159" s="29"/>
      <c r="D159" s="30"/>
      <c r="E159" s="31"/>
      <c r="F159" s="6"/>
      <c r="G159" s="7"/>
      <c r="H159" s="19">
        <f t="shared" si="11"/>
        <v>0</v>
      </c>
      <c r="I159" s="58"/>
    </row>
    <row r="160" spans="2:10" ht="15" thickBot="1" x14ac:dyDescent="0.3">
      <c r="B160" s="182"/>
      <c r="C160" s="29"/>
      <c r="D160" s="30"/>
      <c r="E160" s="31"/>
      <c r="F160" s="6"/>
      <c r="G160" s="7"/>
      <c r="H160" s="19">
        <f t="shared" si="11"/>
        <v>0</v>
      </c>
      <c r="I160" s="58"/>
    </row>
    <row r="161" spans="2:14" ht="15" thickBot="1" x14ac:dyDescent="0.3">
      <c r="B161" s="182"/>
      <c r="C161" s="29"/>
      <c r="D161" s="30"/>
      <c r="E161" s="31"/>
      <c r="F161" s="35"/>
      <c r="G161" s="36"/>
      <c r="H161" s="37">
        <f>SUM(H157:H160)</f>
        <v>33184</v>
      </c>
      <c r="I161" s="58"/>
    </row>
    <row r="162" spans="2:14" x14ac:dyDescent="0.25">
      <c r="E162" s="38"/>
      <c r="F162" s="39"/>
      <c r="G162" s="40"/>
      <c r="H162" s="71"/>
      <c r="I162" s="58"/>
    </row>
    <row r="163" spans="2:14" ht="15" thickBot="1" x14ac:dyDescent="0.3">
      <c r="B163" s="206"/>
      <c r="C163" s="79"/>
      <c r="D163" s="80"/>
      <c r="E163" s="81"/>
      <c r="F163" s="82"/>
      <c r="G163" s="7"/>
      <c r="H163" s="74"/>
    </row>
    <row r="164" spans="2:14" ht="18.75" thickTop="1" x14ac:dyDescent="0.25">
      <c r="B164" s="207" t="s">
        <v>44</v>
      </c>
      <c r="C164" s="76"/>
      <c r="D164" s="83"/>
      <c r="E164" s="77"/>
      <c r="F164" s="84"/>
      <c r="G164" s="78"/>
      <c r="H164" s="50"/>
      <c r="J164" s="14"/>
    </row>
    <row r="165" spans="2:14" x14ac:dyDescent="0.25">
      <c r="B165" s="199" t="s">
        <v>1</v>
      </c>
      <c r="C165" s="9" t="s">
        <v>2</v>
      </c>
      <c r="D165" s="10" t="s">
        <v>3</v>
      </c>
      <c r="E165" s="11" t="s">
        <v>4</v>
      </c>
      <c r="F165" s="12" t="s">
        <v>5</v>
      </c>
      <c r="G165" s="7" t="s">
        <v>12</v>
      </c>
      <c r="H165" s="13" t="s">
        <v>7</v>
      </c>
    </row>
    <row r="166" spans="2:14" s="14" customFormat="1" x14ac:dyDescent="0.25">
      <c r="B166" s="185" t="s">
        <v>83</v>
      </c>
      <c r="C166" s="185" t="s">
        <v>102</v>
      </c>
      <c r="D166" s="186" t="s">
        <v>426</v>
      </c>
      <c r="E166" s="176">
        <v>42500</v>
      </c>
      <c r="F166" s="177">
        <v>400</v>
      </c>
      <c r="G166" s="175"/>
      <c r="H166" s="19">
        <f t="shared" ref="H166:H170" si="12">F166-G166</f>
        <v>400</v>
      </c>
      <c r="I166" s="1"/>
      <c r="J166" s="1"/>
      <c r="K166" s="1"/>
      <c r="L166" s="1"/>
      <c r="M166" s="1"/>
      <c r="N166" s="1"/>
    </row>
    <row r="167" spans="2:14" s="14" customFormat="1" x14ac:dyDescent="0.25">
      <c r="B167" s="185">
        <v>1320</v>
      </c>
      <c r="C167" s="185" t="s">
        <v>102</v>
      </c>
      <c r="D167" s="186" t="s">
        <v>250</v>
      </c>
      <c r="E167" s="176">
        <v>42500</v>
      </c>
      <c r="F167" s="177">
        <v>405</v>
      </c>
      <c r="G167" s="175">
        <v>55</v>
      </c>
      <c r="H167" s="19">
        <f t="shared" si="12"/>
        <v>350</v>
      </c>
      <c r="I167" s="1"/>
      <c r="J167" s="1"/>
      <c r="K167" s="1"/>
      <c r="L167" s="1"/>
      <c r="M167" s="1"/>
      <c r="N167" s="1"/>
    </row>
    <row r="168" spans="2:14" s="14" customFormat="1" x14ac:dyDescent="0.25">
      <c r="B168" s="185">
        <v>1323</v>
      </c>
      <c r="C168" s="185" t="s">
        <v>102</v>
      </c>
      <c r="D168" s="186" t="s">
        <v>453</v>
      </c>
      <c r="E168" s="176">
        <v>42501</v>
      </c>
      <c r="F168" s="177">
        <v>478</v>
      </c>
      <c r="G168" s="175">
        <v>28</v>
      </c>
      <c r="H168" s="19">
        <f t="shared" si="12"/>
        <v>450</v>
      </c>
      <c r="I168" s="1"/>
      <c r="J168" s="1"/>
    </row>
    <row r="169" spans="2:14" s="14" customFormat="1" x14ac:dyDescent="0.25">
      <c r="B169" s="185">
        <v>1326</v>
      </c>
      <c r="C169" s="185" t="s">
        <v>102</v>
      </c>
      <c r="D169" s="186" t="s">
        <v>512</v>
      </c>
      <c r="E169" s="176">
        <v>42503</v>
      </c>
      <c r="F169" s="177">
        <v>474</v>
      </c>
      <c r="G169" s="175">
        <v>24</v>
      </c>
      <c r="H169" s="19">
        <f t="shared" si="12"/>
        <v>450</v>
      </c>
      <c r="I169" s="58"/>
      <c r="J169" s="54"/>
    </row>
    <row r="170" spans="2:14" s="14" customFormat="1" x14ac:dyDescent="0.25">
      <c r="B170" s="185"/>
      <c r="C170" s="185"/>
      <c r="D170" s="186"/>
      <c r="E170" s="176"/>
      <c r="F170" s="177"/>
      <c r="G170" s="175"/>
      <c r="H170" s="19">
        <f t="shared" si="12"/>
        <v>0</v>
      </c>
      <c r="J170" s="1"/>
    </row>
    <row r="171" spans="2:14" ht="15" thickBot="1" x14ac:dyDescent="0.3">
      <c r="B171" s="185"/>
      <c r="C171" s="21"/>
      <c r="D171" s="20"/>
      <c r="E171" s="28"/>
      <c r="F171" s="6"/>
      <c r="G171" s="7"/>
      <c r="H171" s="19">
        <f t="shared" ref="H171" si="13">F171-G171</f>
        <v>0</v>
      </c>
      <c r="I171" s="101">
        <f>SUM(H168,H151,H86,H60,H43,H34,H25)</f>
        <v>79728.27</v>
      </c>
      <c r="K171" s="14"/>
      <c r="L171" s="14"/>
      <c r="M171" s="14"/>
      <c r="N171" s="14"/>
    </row>
    <row r="172" spans="2:14" ht="15" thickBot="1" x14ac:dyDescent="0.3">
      <c r="B172" s="208"/>
      <c r="C172" s="85"/>
      <c r="D172" s="14"/>
      <c r="E172" s="86"/>
      <c r="F172" s="62">
        <f>SUM(F166:F171)</f>
        <v>1757</v>
      </c>
      <c r="G172" s="36">
        <f>SUM(G166:G171)</f>
        <v>107</v>
      </c>
      <c r="H172" s="63">
        <f>SUM(H166:H171)</f>
        <v>1650</v>
      </c>
      <c r="I172" s="14"/>
      <c r="K172" s="14"/>
      <c r="L172" s="14"/>
      <c r="M172" s="14"/>
      <c r="N172" s="14"/>
    </row>
    <row r="173" spans="2:14" x14ac:dyDescent="0.25">
      <c r="E173" s="38" t="s">
        <v>8</v>
      </c>
      <c r="F173" s="39">
        <f>TOTAL!G12</f>
        <v>3500</v>
      </c>
      <c r="G173" s="40" t="s">
        <v>16</v>
      </c>
      <c r="H173" s="71">
        <f>H172/F173%</f>
        <v>47.142857142857146</v>
      </c>
      <c r="I173" s="58" t="s">
        <v>10</v>
      </c>
    </row>
    <row r="174" spans="2:14" ht="15" thickBot="1" x14ac:dyDescent="0.3">
      <c r="B174" s="201"/>
      <c r="C174" s="3"/>
      <c r="D174" s="87"/>
      <c r="E174" s="88"/>
      <c r="F174" s="89"/>
      <c r="G174" s="90"/>
      <c r="H174" s="8"/>
      <c r="I174" s="14"/>
    </row>
    <row r="175" spans="2:14" ht="15" thickBot="1" x14ac:dyDescent="0.3">
      <c r="D175" s="285" t="s">
        <v>551</v>
      </c>
      <c r="E175" s="285"/>
      <c r="F175" s="285"/>
      <c r="G175" s="285"/>
      <c r="H175" s="92">
        <f>SUM(SUM(H3:H5)+SUM(H43:H45)+SUM(H60:H63)+SUM(H86:H99))</f>
        <v>121944.85</v>
      </c>
      <c r="I175" s="14"/>
    </row>
    <row r="176" spans="2:14" ht="15" thickBot="1" x14ac:dyDescent="0.3">
      <c r="D176" s="286" t="s">
        <v>552</v>
      </c>
      <c r="E176" s="286"/>
      <c r="F176" s="286"/>
      <c r="G176" s="286"/>
      <c r="H176" s="93">
        <f>SUM(H64:H68)+SUM(H100:H116)+SUM(H157)+SUM(H166:H169)</f>
        <v>54785.630000000005</v>
      </c>
      <c r="I176" s="14"/>
    </row>
    <row r="177" spans="1:14" ht="15" thickBot="1" x14ac:dyDescent="0.3">
      <c r="D177" s="287" t="s">
        <v>553</v>
      </c>
      <c r="E177" s="287"/>
      <c r="F177" s="287"/>
      <c r="G177" s="287"/>
      <c r="H177" s="94">
        <f>SUM(SUM(H34)+SUM(H46:H52)+SUM(H69:H74)+SUM(H117:H129)+SUM(H158))</f>
        <v>74294.91</v>
      </c>
      <c r="I177" s="14"/>
    </row>
    <row r="178" spans="1:14" ht="15" thickBot="1" x14ac:dyDescent="0.3">
      <c r="D178" s="283" t="s">
        <v>554</v>
      </c>
      <c r="E178" s="283"/>
      <c r="F178" s="283"/>
      <c r="G178" s="283"/>
      <c r="H178" s="94">
        <f>SUM(SUM(H6:H11)+SUM(H35)+SUM(H75:H76)+SUM(H130:H134))</f>
        <v>140170.07999999999</v>
      </c>
      <c r="I178" s="14"/>
    </row>
    <row r="179" spans="1:14" ht="15" thickBot="1" x14ac:dyDescent="0.3">
      <c r="D179" s="289" t="s">
        <v>555</v>
      </c>
      <c r="E179" s="289"/>
      <c r="F179" s="289"/>
      <c r="G179" s="289"/>
      <c r="H179" s="248">
        <f>SUM(SUM(H12:H18)+SUM(H77:H79)+SUM(H135:H149))</f>
        <v>150648.44</v>
      </c>
      <c r="I179" s="14"/>
    </row>
    <row r="180" spans="1:14" ht="15" thickBot="1" x14ac:dyDescent="0.3">
      <c r="D180" s="96"/>
      <c r="E180" s="97"/>
      <c r="F180" s="98"/>
      <c r="G180" s="99"/>
      <c r="H180" s="100">
        <f>SUM(H175:H179)</f>
        <v>541843.90999999992</v>
      </c>
      <c r="I180" s="101">
        <f>SUM(H20,H38,H55,H81,H151,H161,H172)</f>
        <v>541843.90999999992</v>
      </c>
    </row>
    <row r="182" spans="1:14" x14ac:dyDescent="0.25">
      <c r="I182" s="42"/>
    </row>
    <row r="183" spans="1:14" x14ac:dyDescent="0.25">
      <c r="B183" s="180"/>
      <c r="C183" s="1"/>
      <c r="E183" s="70"/>
    </row>
    <row r="187" spans="1:14" x14ac:dyDescent="0.25">
      <c r="K187" s="104"/>
      <c r="L187" s="104"/>
      <c r="M187" s="104"/>
      <c r="N187" s="104"/>
    </row>
    <row r="188" spans="1:14" s="104" customFormat="1" x14ac:dyDescent="0.25">
      <c r="A188" s="1"/>
      <c r="B188" s="205"/>
      <c r="C188" s="69"/>
      <c r="D188" s="1"/>
      <c r="E188" s="70"/>
      <c r="F188" s="73"/>
      <c r="G188" s="103"/>
      <c r="I188" s="1"/>
      <c r="J188" s="1"/>
      <c r="K188" s="1"/>
      <c r="L188" s="1"/>
      <c r="M188" s="1"/>
      <c r="N188" s="1"/>
    </row>
    <row r="194" spans="1:14" x14ac:dyDescent="0.25">
      <c r="K194" s="104"/>
      <c r="L194" s="104"/>
      <c r="M194" s="104"/>
      <c r="N194" s="104"/>
    </row>
    <row r="195" spans="1:14" s="104" customFormat="1" x14ac:dyDescent="0.25">
      <c r="A195" s="1"/>
      <c r="B195" s="205"/>
      <c r="C195" s="69"/>
      <c r="D195" s="1"/>
      <c r="E195" s="70"/>
      <c r="F195" s="73"/>
      <c r="G195" s="103"/>
      <c r="I195" s="1"/>
      <c r="J195" s="1"/>
      <c r="K195" s="1"/>
      <c r="L195" s="1"/>
      <c r="M195" s="1"/>
      <c r="N195" s="1"/>
    </row>
  </sheetData>
  <sortState ref="B3:N18">
    <sortCondition ref="E3:E18"/>
    <sortCondition ref="B3:B18"/>
  </sortState>
  <mergeCells count="6">
    <mergeCell ref="D179:G179"/>
    <mergeCell ref="J1:N1"/>
    <mergeCell ref="D175:G175"/>
    <mergeCell ref="D176:G176"/>
    <mergeCell ref="D177:G177"/>
    <mergeCell ref="D178:G178"/>
  </mergeCells>
  <phoneticPr fontId="38" type="noConversion"/>
  <pageMargins left="0.75" right="0.75" top="1" bottom="1" header="0.49212598499999999" footer="0.49212598499999999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showGridLines="0" zoomScale="85" zoomScaleNormal="85" workbookViewId="0"/>
  </sheetViews>
  <sheetFormatPr defaultRowHeight="14.25" x14ac:dyDescent="0.25"/>
  <cols>
    <col min="1" max="1" width="9.140625" style="1" customWidth="1"/>
    <col min="2" max="2" width="11.5703125" style="205" customWidth="1"/>
    <col min="3" max="3" width="22" style="69" customWidth="1"/>
    <col min="4" max="4" width="60.28515625" style="1" bestFit="1" customWidth="1"/>
    <col min="5" max="5" width="18.7109375" style="72" customWidth="1"/>
    <col min="6" max="6" width="16.28515625" style="73" customWidth="1"/>
    <col min="7" max="7" width="16.5703125" style="103" customWidth="1"/>
    <col min="8" max="8" width="23.42578125" style="104" customWidth="1"/>
    <col min="9" max="9" width="34" style="1" customWidth="1"/>
    <col min="10" max="14" width="15.7109375" style="1" customWidth="1"/>
    <col min="15" max="16384" width="9.140625" style="1"/>
  </cols>
  <sheetData>
    <row r="1" spans="1:14" ht="18" x14ac:dyDescent="0.25">
      <c r="B1" s="198" t="s">
        <v>0</v>
      </c>
      <c r="C1" s="3"/>
      <c r="D1" s="4"/>
      <c r="E1" s="5"/>
      <c r="F1" s="6"/>
      <c r="G1" s="7"/>
      <c r="H1" s="8"/>
      <c r="J1" s="284" t="s">
        <v>43</v>
      </c>
      <c r="K1" s="284"/>
      <c r="L1" s="284"/>
      <c r="M1" s="284"/>
      <c r="N1" s="284"/>
    </row>
    <row r="2" spans="1:14" x14ac:dyDescent="0.25">
      <c r="B2" s="199" t="s">
        <v>1</v>
      </c>
      <c r="C2" s="9" t="s">
        <v>2</v>
      </c>
      <c r="D2" s="10" t="s">
        <v>3</v>
      </c>
      <c r="E2" s="11" t="s">
        <v>4</v>
      </c>
      <c r="F2" s="12" t="s">
        <v>5</v>
      </c>
      <c r="G2" s="7" t="s">
        <v>6</v>
      </c>
      <c r="H2" s="13" t="s">
        <v>7</v>
      </c>
      <c r="I2" s="11" t="s">
        <v>42</v>
      </c>
      <c r="J2" s="11" t="s">
        <v>50</v>
      </c>
      <c r="K2" s="11" t="s">
        <v>53</v>
      </c>
      <c r="L2" s="11" t="s">
        <v>51</v>
      </c>
      <c r="M2" s="11" t="s">
        <v>52</v>
      </c>
      <c r="N2" s="11" t="s">
        <v>54</v>
      </c>
    </row>
    <row r="3" spans="1:14" s="14" customFormat="1" x14ac:dyDescent="0.25">
      <c r="B3" s="194">
        <v>4729</v>
      </c>
      <c r="C3" s="231" t="s">
        <v>102</v>
      </c>
      <c r="D3" s="231" t="s">
        <v>543</v>
      </c>
      <c r="E3" s="232">
        <v>42523</v>
      </c>
      <c r="F3" s="233">
        <v>27790</v>
      </c>
      <c r="G3" s="25"/>
      <c r="H3" s="19">
        <f t="shared" ref="H3:H31" si="0">F3-G3</f>
        <v>27790</v>
      </c>
      <c r="I3" s="137" t="s">
        <v>616</v>
      </c>
      <c r="J3" s="145">
        <v>278.8</v>
      </c>
      <c r="K3" s="145">
        <v>145.46</v>
      </c>
      <c r="L3" s="145"/>
      <c r="M3" s="145">
        <f>60.61+181.82</f>
        <v>242.43</v>
      </c>
      <c r="N3" s="145"/>
    </row>
    <row r="4" spans="1:14" s="14" customFormat="1" x14ac:dyDescent="0.25">
      <c r="A4" s="20"/>
      <c r="B4" s="195">
        <v>1348</v>
      </c>
      <c r="C4" s="15" t="s">
        <v>102</v>
      </c>
      <c r="D4" s="16" t="s">
        <v>234</v>
      </c>
      <c r="E4" s="17">
        <v>42527</v>
      </c>
      <c r="F4" s="18">
        <v>27690</v>
      </c>
      <c r="G4" s="175">
        <v>100</v>
      </c>
      <c r="H4" s="19">
        <f t="shared" si="0"/>
        <v>27590</v>
      </c>
      <c r="I4" s="137" t="s">
        <v>615</v>
      </c>
      <c r="J4" s="145">
        <v>285.02999999999997</v>
      </c>
      <c r="K4" s="145">
        <v>148.71</v>
      </c>
      <c r="L4" s="145"/>
      <c r="M4" s="145">
        <v>185.89</v>
      </c>
      <c r="N4" s="146"/>
    </row>
    <row r="5" spans="1:14" s="14" customFormat="1" x14ac:dyDescent="0.25">
      <c r="A5" s="20"/>
      <c r="B5" s="185">
        <v>1349</v>
      </c>
      <c r="C5" s="21" t="s">
        <v>102</v>
      </c>
      <c r="D5" s="16" t="s">
        <v>234</v>
      </c>
      <c r="E5" s="17">
        <v>42528</v>
      </c>
      <c r="F5" s="6">
        <v>27690</v>
      </c>
      <c r="G5" s="175">
        <v>100</v>
      </c>
      <c r="H5" s="19">
        <f t="shared" si="0"/>
        <v>27590</v>
      </c>
      <c r="I5" s="137" t="s">
        <v>615</v>
      </c>
      <c r="J5" s="145">
        <v>285.02999999999997</v>
      </c>
      <c r="K5" s="145">
        <v>148.71</v>
      </c>
      <c r="L5" s="145"/>
      <c r="M5" s="145">
        <v>185.89</v>
      </c>
      <c r="N5" s="146"/>
    </row>
    <row r="6" spans="1:14" s="14" customFormat="1" x14ac:dyDescent="0.25">
      <c r="A6" s="20"/>
      <c r="B6" s="194">
        <v>4735</v>
      </c>
      <c r="C6" s="141" t="s">
        <v>535</v>
      </c>
      <c r="D6" s="141" t="s">
        <v>544</v>
      </c>
      <c r="E6" s="23">
        <v>42528</v>
      </c>
      <c r="F6" s="26">
        <v>19400</v>
      </c>
      <c r="G6" s="52">
        <v>180</v>
      </c>
      <c r="H6" s="19">
        <f t="shared" si="0"/>
        <v>19220</v>
      </c>
      <c r="I6" s="137" t="s">
        <v>319</v>
      </c>
      <c r="J6" s="145">
        <v>190.58</v>
      </c>
      <c r="K6" s="145">
        <v>99.43</v>
      </c>
      <c r="L6" s="145">
        <v>124.29</v>
      </c>
      <c r="M6" s="145"/>
      <c r="N6" s="145">
        <v>450</v>
      </c>
    </row>
    <row r="7" spans="1:14" x14ac:dyDescent="0.25">
      <c r="A7" s="20"/>
      <c r="B7" s="194">
        <v>4737</v>
      </c>
      <c r="C7" s="231" t="s">
        <v>535</v>
      </c>
      <c r="D7" s="231" t="s">
        <v>545</v>
      </c>
      <c r="E7" s="232">
        <v>42529</v>
      </c>
      <c r="F7" s="237">
        <v>9900</v>
      </c>
      <c r="G7" s="52"/>
      <c r="H7" s="19">
        <f t="shared" si="0"/>
        <v>9900</v>
      </c>
      <c r="I7" s="137" t="s">
        <v>617</v>
      </c>
      <c r="J7" s="145">
        <v>101.33</v>
      </c>
      <c r="K7" s="145">
        <v>52.87</v>
      </c>
      <c r="L7" s="145">
        <v>66.08</v>
      </c>
      <c r="M7" s="145"/>
      <c r="N7" s="146"/>
    </row>
    <row r="8" spans="1:14" x14ac:dyDescent="0.25">
      <c r="A8" s="20"/>
      <c r="B8" s="195">
        <v>1356</v>
      </c>
      <c r="C8" s="15" t="s">
        <v>535</v>
      </c>
      <c r="D8" s="16" t="s">
        <v>536</v>
      </c>
      <c r="E8" s="17">
        <v>42531</v>
      </c>
      <c r="F8" s="18">
        <v>20900</v>
      </c>
      <c r="G8" s="175"/>
      <c r="H8" s="19">
        <f t="shared" si="0"/>
        <v>20900</v>
      </c>
      <c r="I8" s="137" t="s">
        <v>319</v>
      </c>
      <c r="J8" s="145">
        <v>216</v>
      </c>
      <c r="K8" s="145">
        <v>112.7</v>
      </c>
      <c r="L8" s="145"/>
      <c r="M8" s="145">
        <f>46.96+140.87</f>
        <v>187.83</v>
      </c>
      <c r="N8" s="145"/>
    </row>
    <row r="9" spans="1:14" x14ac:dyDescent="0.25">
      <c r="A9" s="20"/>
      <c r="B9" s="182">
        <v>4749</v>
      </c>
      <c r="C9" s="29" t="s">
        <v>102</v>
      </c>
      <c r="D9" s="30" t="s">
        <v>547</v>
      </c>
      <c r="E9" s="31">
        <v>42534</v>
      </c>
      <c r="F9" s="18">
        <v>18200</v>
      </c>
      <c r="G9" s="175">
        <v>86.16</v>
      </c>
      <c r="H9" s="19">
        <f t="shared" si="0"/>
        <v>18113.84</v>
      </c>
      <c r="I9" s="137" t="s">
        <v>615</v>
      </c>
      <c r="J9" s="145">
        <v>185.29</v>
      </c>
      <c r="K9" s="145">
        <v>96.67</v>
      </c>
      <c r="L9" s="145">
        <v>120.84</v>
      </c>
      <c r="M9" s="145"/>
      <c r="N9" s="146"/>
    </row>
    <row r="10" spans="1:14" x14ac:dyDescent="0.25">
      <c r="A10" s="20"/>
      <c r="B10" s="185">
        <v>1366</v>
      </c>
      <c r="C10" s="21" t="s">
        <v>535</v>
      </c>
      <c r="D10" s="20" t="s">
        <v>562</v>
      </c>
      <c r="E10" s="28">
        <v>42536</v>
      </c>
      <c r="F10" s="6">
        <v>26900</v>
      </c>
      <c r="G10" s="27"/>
      <c r="H10" s="19">
        <f t="shared" si="0"/>
        <v>26900</v>
      </c>
      <c r="I10" s="137" t="s">
        <v>621</v>
      </c>
      <c r="J10" s="145">
        <v>278.01</v>
      </c>
      <c r="K10" s="145">
        <v>145.05000000000001</v>
      </c>
      <c r="L10" s="145"/>
      <c r="M10" s="145">
        <v>181.31</v>
      </c>
      <c r="N10" s="145"/>
    </row>
    <row r="11" spans="1:14" x14ac:dyDescent="0.25">
      <c r="A11" s="20"/>
      <c r="B11" s="182">
        <v>1369</v>
      </c>
      <c r="C11" s="29" t="s">
        <v>535</v>
      </c>
      <c r="D11" s="30" t="s">
        <v>564</v>
      </c>
      <c r="E11" s="31">
        <v>42538</v>
      </c>
      <c r="F11" s="6">
        <v>31000</v>
      </c>
      <c r="G11" s="175">
        <v>140</v>
      </c>
      <c r="H11" s="19">
        <f t="shared" si="0"/>
        <v>30860</v>
      </c>
      <c r="I11" s="137" t="s">
        <v>620</v>
      </c>
      <c r="J11" s="145">
        <v>309</v>
      </c>
      <c r="K11" s="145">
        <v>161.22</v>
      </c>
      <c r="L11" s="145"/>
      <c r="M11" s="145">
        <v>201.52</v>
      </c>
      <c r="N11" s="145"/>
    </row>
    <row r="12" spans="1:14" x14ac:dyDescent="0.25">
      <c r="A12" s="20"/>
      <c r="B12" s="182">
        <v>4766</v>
      </c>
      <c r="C12" s="29" t="s">
        <v>102</v>
      </c>
      <c r="D12" s="30" t="s">
        <v>161</v>
      </c>
      <c r="E12" s="31">
        <v>42538</v>
      </c>
      <c r="F12" s="18">
        <v>36400</v>
      </c>
      <c r="G12" s="7"/>
      <c r="H12" s="19">
        <f t="shared" si="0"/>
        <v>36400</v>
      </c>
      <c r="I12" s="137" t="s">
        <v>615</v>
      </c>
      <c r="J12" s="145">
        <v>369.37</v>
      </c>
      <c r="K12" s="145">
        <v>192.71</v>
      </c>
      <c r="L12" s="145">
        <v>240.89</v>
      </c>
      <c r="M12" s="145"/>
      <c r="N12" s="145"/>
    </row>
    <row r="13" spans="1:14" x14ac:dyDescent="0.25">
      <c r="A13" s="20"/>
      <c r="B13" s="182">
        <v>1377</v>
      </c>
      <c r="C13" s="29" t="s">
        <v>102</v>
      </c>
      <c r="D13" s="30" t="s">
        <v>234</v>
      </c>
      <c r="E13" s="28">
        <v>42545</v>
      </c>
      <c r="F13" s="6">
        <v>18790</v>
      </c>
      <c r="G13" s="7"/>
      <c r="H13" s="19">
        <f t="shared" si="0"/>
        <v>18790</v>
      </c>
      <c r="I13" s="137" t="s">
        <v>615</v>
      </c>
      <c r="J13" s="145">
        <v>193.62</v>
      </c>
      <c r="K13" s="145">
        <v>101.02</v>
      </c>
      <c r="L13" s="145"/>
      <c r="M13" s="145">
        <v>126.27</v>
      </c>
      <c r="N13" s="145"/>
    </row>
    <row r="14" spans="1:14" x14ac:dyDescent="0.25">
      <c r="A14" s="20"/>
      <c r="B14" s="182">
        <v>1378</v>
      </c>
      <c r="C14" s="29" t="s">
        <v>535</v>
      </c>
      <c r="D14" s="30" t="s">
        <v>586</v>
      </c>
      <c r="E14" s="28">
        <v>42545</v>
      </c>
      <c r="F14" s="6">
        <v>7900</v>
      </c>
      <c r="G14" s="7"/>
      <c r="H14" s="19">
        <f t="shared" si="0"/>
        <v>7900</v>
      </c>
      <c r="I14" s="137" t="s">
        <v>619</v>
      </c>
      <c r="J14" s="145">
        <v>81.650000000000006</v>
      </c>
      <c r="K14" s="145">
        <v>42.6</v>
      </c>
      <c r="L14" s="145"/>
      <c r="M14" s="145">
        <f>17.75+53.25</f>
        <v>71</v>
      </c>
      <c r="N14" s="145"/>
    </row>
    <row r="15" spans="1:14" x14ac:dyDescent="0.25">
      <c r="A15" s="20"/>
      <c r="B15" s="182">
        <v>1379</v>
      </c>
      <c r="C15" s="29" t="s">
        <v>535</v>
      </c>
      <c r="D15" s="30" t="s">
        <v>586</v>
      </c>
      <c r="E15" s="28">
        <v>42545</v>
      </c>
      <c r="F15" s="6">
        <v>7900</v>
      </c>
      <c r="G15" s="7"/>
      <c r="H15" s="19">
        <f t="shared" si="0"/>
        <v>7900</v>
      </c>
      <c r="I15" s="137" t="s">
        <v>619</v>
      </c>
      <c r="J15" s="145">
        <v>81.650000000000006</v>
      </c>
      <c r="K15" s="145">
        <v>42.6</v>
      </c>
      <c r="L15" s="145"/>
      <c r="M15" s="145">
        <f>17.75+53.25</f>
        <v>71</v>
      </c>
      <c r="N15" s="145"/>
    </row>
    <row r="16" spans="1:14" x14ac:dyDescent="0.25">
      <c r="A16" s="20"/>
      <c r="B16" s="182">
        <v>1380</v>
      </c>
      <c r="C16" s="29" t="s">
        <v>535</v>
      </c>
      <c r="D16" s="30" t="s">
        <v>586</v>
      </c>
      <c r="E16" s="28">
        <v>42545</v>
      </c>
      <c r="F16" s="6">
        <v>7900</v>
      </c>
      <c r="G16" s="7"/>
      <c r="H16" s="19">
        <f t="shared" si="0"/>
        <v>7900</v>
      </c>
      <c r="I16" s="137" t="s">
        <v>619</v>
      </c>
      <c r="J16" s="145">
        <v>81.650000000000006</v>
      </c>
      <c r="K16" s="145">
        <v>42.6</v>
      </c>
      <c r="L16" s="145"/>
      <c r="M16" s="145">
        <f>17.75+53.25</f>
        <v>71</v>
      </c>
      <c r="N16" s="145"/>
    </row>
    <row r="17" spans="1:14" x14ac:dyDescent="0.25">
      <c r="A17" s="20"/>
      <c r="B17" s="182">
        <v>4773</v>
      </c>
      <c r="C17" s="29" t="s">
        <v>535</v>
      </c>
      <c r="D17" s="30" t="s">
        <v>586</v>
      </c>
      <c r="E17" s="28">
        <v>42545</v>
      </c>
      <c r="F17" s="6">
        <v>26100</v>
      </c>
      <c r="G17" s="7"/>
      <c r="H17" s="19">
        <f t="shared" si="0"/>
        <v>26100</v>
      </c>
      <c r="I17" s="137" t="s">
        <v>443</v>
      </c>
      <c r="J17" s="145">
        <v>259.2</v>
      </c>
      <c r="K17" s="145">
        <v>135.22999999999999</v>
      </c>
      <c r="L17" s="145"/>
      <c r="M17" s="145">
        <f>56.35+169.04</f>
        <v>225.39</v>
      </c>
      <c r="N17" s="145"/>
    </row>
    <row r="18" spans="1:14" x14ac:dyDescent="0.25">
      <c r="A18" s="20"/>
      <c r="B18" s="182">
        <v>4774</v>
      </c>
      <c r="C18" s="29" t="s">
        <v>535</v>
      </c>
      <c r="D18" s="30" t="s">
        <v>586</v>
      </c>
      <c r="E18" s="28">
        <v>42545</v>
      </c>
      <c r="F18" s="6">
        <v>26100</v>
      </c>
      <c r="G18" s="7"/>
      <c r="H18" s="19">
        <f t="shared" si="0"/>
        <v>26100</v>
      </c>
      <c r="I18" s="137" t="s">
        <v>443</v>
      </c>
      <c r="J18" s="145">
        <v>255.75</v>
      </c>
      <c r="K18" s="145">
        <v>133.43</v>
      </c>
      <c r="L18" s="145"/>
      <c r="M18" s="145">
        <f>55.6+166.79</f>
        <v>222.39</v>
      </c>
      <c r="N18" s="145"/>
    </row>
    <row r="19" spans="1:14" x14ac:dyDescent="0.25">
      <c r="A19" s="20"/>
      <c r="B19" s="182">
        <v>4776</v>
      </c>
      <c r="C19" s="29" t="s">
        <v>535</v>
      </c>
      <c r="D19" s="30" t="s">
        <v>586</v>
      </c>
      <c r="E19" s="28">
        <v>42545</v>
      </c>
      <c r="F19" s="6">
        <v>26100</v>
      </c>
      <c r="G19" s="7"/>
      <c r="H19" s="19">
        <f t="shared" si="0"/>
        <v>26100</v>
      </c>
      <c r="I19" s="137" t="s">
        <v>443</v>
      </c>
      <c r="J19" s="145">
        <v>255.75</v>
      </c>
      <c r="K19" s="145">
        <v>133.43</v>
      </c>
      <c r="L19" s="145"/>
      <c r="M19" s="145">
        <f>55.6+166.79</f>
        <v>222.39</v>
      </c>
      <c r="N19" s="145"/>
    </row>
    <row r="20" spans="1:14" x14ac:dyDescent="0.25">
      <c r="A20" s="20"/>
      <c r="B20" s="182">
        <v>4778</v>
      </c>
      <c r="C20" s="29" t="s">
        <v>535</v>
      </c>
      <c r="D20" s="30" t="s">
        <v>591</v>
      </c>
      <c r="E20" s="28">
        <v>42545</v>
      </c>
      <c r="F20" s="6">
        <v>34000</v>
      </c>
      <c r="G20" s="7"/>
      <c r="H20" s="19">
        <f t="shared" si="0"/>
        <v>34000</v>
      </c>
      <c r="I20" s="137" t="s">
        <v>625</v>
      </c>
      <c r="J20" s="145">
        <v>347.99</v>
      </c>
      <c r="K20" s="145">
        <v>181.56</v>
      </c>
      <c r="L20" s="145">
        <v>226.95</v>
      </c>
      <c r="M20" s="145"/>
      <c r="N20" s="145"/>
    </row>
    <row r="21" spans="1:14" x14ac:dyDescent="0.25">
      <c r="A21" s="20"/>
      <c r="B21" s="185">
        <v>1389</v>
      </c>
      <c r="C21" s="21" t="s">
        <v>609</v>
      </c>
      <c r="D21" s="20" t="s">
        <v>418</v>
      </c>
      <c r="E21" s="28">
        <v>42549</v>
      </c>
      <c r="F21" s="6">
        <v>18900</v>
      </c>
      <c r="G21" s="52"/>
      <c r="H21" s="19">
        <f t="shared" si="0"/>
        <v>18900</v>
      </c>
      <c r="I21" s="137" t="s">
        <v>348</v>
      </c>
      <c r="J21" s="145">
        <v>244.81</v>
      </c>
      <c r="K21" s="145">
        <v>163.21</v>
      </c>
      <c r="L21" s="145"/>
      <c r="M21" s="145"/>
      <c r="N21" s="145"/>
    </row>
    <row r="22" spans="1:14" x14ac:dyDescent="0.25">
      <c r="A22" s="20"/>
      <c r="B22" s="182">
        <v>4787</v>
      </c>
      <c r="C22" s="29" t="s">
        <v>535</v>
      </c>
      <c r="D22" s="30" t="s">
        <v>601</v>
      </c>
      <c r="E22" s="28">
        <v>42549</v>
      </c>
      <c r="F22" s="6">
        <v>27800</v>
      </c>
      <c r="G22" s="7"/>
      <c r="H22" s="19">
        <f t="shared" si="0"/>
        <v>27800</v>
      </c>
      <c r="I22" s="137" t="s">
        <v>628</v>
      </c>
      <c r="J22" s="145">
        <f>244.04+111.31</f>
        <v>355.35</v>
      </c>
      <c r="K22" s="145">
        <v>236.9</v>
      </c>
      <c r="L22" s="145"/>
      <c r="M22" s="145"/>
      <c r="N22" s="145"/>
    </row>
    <row r="23" spans="1:14" x14ac:dyDescent="0.25">
      <c r="A23" s="20"/>
      <c r="B23" s="182">
        <v>1392</v>
      </c>
      <c r="C23" s="29" t="s">
        <v>102</v>
      </c>
      <c r="D23" s="30" t="s">
        <v>234</v>
      </c>
      <c r="E23" s="28">
        <v>42551</v>
      </c>
      <c r="F23" s="6">
        <v>8900</v>
      </c>
      <c r="G23" s="7"/>
      <c r="H23" s="19">
        <f t="shared" si="0"/>
        <v>8900</v>
      </c>
      <c r="I23" s="137" t="s">
        <v>615</v>
      </c>
      <c r="J23" s="145">
        <v>91.41</v>
      </c>
      <c r="K23" s="145">
        <v>47.69</v>
      </c>
      <c r="L23" s="145"/>
      <c r="M23" s="145">
        <v>59.61</v>
      </c>
      <c r="N23" s="145"/>
    </row>
    <row r="24" spans="1:14" x14ac:dyDescent="0.25">
      <c r="A24" s="20"/>
      <c r="B24" s="182">
        <v>4791</v>
      </c>
      <c r="C24" s="238" t="s">
        <v>535</v>
      </c>
      <c r="D24" s="239" t="s">
        <v>603</v>
      </c>
      <c r="E24" s="235">
        <v>42551</v>
      </c>
      <c r="F24" s="236">
        <v>8900</v>
      </c>
      <c r="G24" s="7"/>
      <c r="H24" s="19">
        <f t="shared" si="0"/>
        <v>8900</v>
      </c>
      <c r="I24" s="137" t="s">
        <v>618</v>
      </c>
      <c r="J24" s="145">
        <v>90.08</v>
      </c>
      <c r="K24" s="145">
        <v>47</v>
      </c>
      <c r="L24" s="145">
        <v>58.75</v>
      </c>
      <c r="M24" s="145"/>
      <c r="N24" s="145"/>
    </row>
    <row r="25" spans="1:14" x14ac:dyDescent="0.25">
      <c r="A25" s="20"/>
      <c r="B25" s="182">
        <v>4792</v>
      </c>
      <c r="C25" s="29" t="s">
        <v>535</v>
      </c>
      <c r="D25" s="30" t="s">
        <v>604</v>
      </c>
      <c r="E25" s="28">
        <v>42551</v>
      </c>
      <c r="F25" s="6">
        <v>19990</v>
      </c>
      <c r="G25" s="7"/>
      <c r="H25" s="19">
        <f t="shared" si="0"/>
        <v>19990</v>
      </c>
      <c r="I25" s="137" t="s">
        <v>627</v>
      </c>
      <c r="J25" s="145">
        <v>204.6</v>
      </c>
      <c r="K25" s="145">
        <v>106.75</v>
      </c>
      <c r="L25" s="145">
        <v>133.43</v>
      </c>
      <c r="M25" s="145"/>
      <c r="N25" s="145"/>
    </row>
    <row r="26" spans="1:14" x14ac:dyDescent="0.25">
      <c r="A26" s="20"/>
      <c r="B26" s="182">
        <v>1394</v>
      </c>
      <c r="C26" s="29" t="s">
        <v>535</v>
      </c>
      <c r="D26" s="30" t="s">
        <v>593</v>
      </c>
      <c r="E26" s="28">
        <v>42552</v>
      </c>
      <c r="F26" s="6">
        <v>8900</v>
      </c>
      <c r="G26" s="7"/>
      <c r="H26" s="19">
        <f t="shared" si="0"/>
        <v>8900</v>
      </c>
      <c r="I26" s="137" t="s">
        <v>626</v>
      </c>
      <c r="J26" s="145">
        <v>91.98</v>
      </c>
      <c r="K26" s="145">
        <v>47.99</v>
      </c>
      <c r="L26" s="145"/>
      <c r="M26" s="145">
        <f>19.97+59.99</f>
        <v>79.960000000000008</v>
      </c>
      <c r="N26" s="145"/>
    </row>
    <row r="27" spans="1:14" x14ac:dyDescent="0.25">
      <c r="A27" s="20"/>
      <c r="B27" s="185">
        <v>1396</v>
      </c>
      <c r="C27" s="21" t="s">
        <v>535</v>
      </c>
      <c r="D27" s="20" t="s">
        <v>608</v>
      </c>
      <c r="E27" s="28">
        <v>42552</v>
      </c>
      <c r="F27" s="6">
        <v>8900</v>
      </c>
      <c r="G27" s="52"/>
      <c r="H27" s="19">
        <f t="shared" si="0"/>
        <v>8900</v>
      </c>
      <c r="I27" s="137" t="s">
        <v>623</v>
      </c>
      <c r="J27" s="145">
        <v>91.98</v>
      </c>
      <c r="K27" s="145">
        <v>47.99</v>
      </c>
      <c r="L27" s="145"/>
      <c r="M27" s="145">
        <v>59.99</v>
      </c>
      <c r="N27" s="145"/>
    </row>
    <row r="28" spans="1:14" x14ac:dyDescent="0.25">
      <c r="A28" s="20"/>
      <c r="B28" s="182">
        <v>4794</v>
      </c>
      <c r="C28" s="29" t="s">
        <v>535</v>
      </c>
      <c r="D28" s="30" t="s">
        <v>593</v>
      </c>
      <c r="E28" s="28">
        <v>42552</v>
      </c>
      <c r="F28" s="6">
        <v>27990</v>
      </c>
      <c r="G28" s="7"/>
      <c r="H28" s="19">
        <f t="shared" si="0"/>
        <v>27990</v>
      </c>
      <c r="I28" s="137" t="s">
        <v>626</v>
      </c>
      <c r="J28" s="145">
        <v>286.48</v>
      </c>
      <c r="K28" s="145">
        <v>149.47</v>
      </c>
      <c r="L28" s="145"/>
      <c r="M28" s="145">
        <v>186.83</v>
      </c>
      <c r="N28" s="145"/>
    </row>
    <row r="29" spans="1:14" x14ac:dyDescent="0.25">
      <c r="A29" s="20"/>
      <c r="B29" s="182">
        <v>4796</v>
      </c>
      <c r="C29" s="29" t="s">
        <v>535</v>
      </c>
      <c r="D29" s="30" t="s">
        <v>606</v>
      </c>
      <c r="E29" s="28">
        <v>42552</v>
      </c>
      <c r="F29" s="6">
        <v>20900</v>
      </c>
      <c r="G29" s="7">
        <v>180</v>
      </c>
      <c r="H29" s="19">
        <f t="shared" si="0"/>
        <v>20720</v>
      </c>
      <c r="I29" s="137" t="s">
        <v>319</v>
      </c>
      <c r="J29" s="145">
        <v>203.42</v>
      </c>
      <c r="K29" s="145">
        <v>106.13</v>
      </c>
      <c r="L29" s="145">
        <v>132.66</v>
      </c>
      <c r="M29" s="145"/>
      <c r="N29" s="145">
        <v>450</v>
      </c>
    </row>
    <row r="30" spans="1:14" x14ac:dyDescent="0.25">
      <c r="B30" s="182">
        <v>4797</v>
      </c>
      <c r="C30" s="29" t="s">
        <v>535</v>
      </c>
      <c r="D30" s="30" t="s">
        <v>607</v>
      </c>
      <c r="E30" s="28">
        <v>42552</v>
      </c>
      <c r="F30" s="6">
        <v>19990</v>
      </c>
      <c r="G30" s="7"/>
      <c r="H30" s="19">
        <f t="shared" si="0"/>
        <v>19990</v>
      </c>
      <c r="I30" s="137" t="s">
        <v>624</v>
      </c>
      <c r="J30" s="145">
        <v>204.6</v>
      </c>
      <c r="K30" s="145">
        <v>106.75</v>
      </c>
      <c r="L30" s="145">
        <v>133.43</v>
      </c>
      <c r="M30" s="145"/>
      <c r="N30" s="145"/>
    </row>
    <row r="31" spans="1:14" x14ac:dyDescent="0.25">
      <c r="B31" s="182">
        <v>4798</v>
      </c>
      <c r="C31" s="29" t="s">
        <v>535</v>
      </c>
      <c r="D31" s="30" t="s">
        <v>608</v>
      </c>
      <c r="E31" s="28">
        <v>42552</v>
      </c>
      <c r="F31" s="6">
        <v>18900</v>
      </c>
      <c r="G31" s="7"/>
      <c r="H31" s="19">
        <f t="shared" si="0"/>
        <v>18900</v>
      </c>
      <c r="I31" s="137" t="s">
        <v>622</v>
      </c>
      <c r="J31" s="145">
        <v>193.44</v>
      </c>
      <c r="K31" s="145">
        <v>100.93</v>
      </c>
      <c r="L31" s="145"/>
      <c r="M31" s="145">
        <v>126.16</v>
      </c>
      <c r="N31" s="145"/>
    </row>
    <row r="32" spans="1:14" ht="15" thickBot="1" x14ac:dyDescent="0.3">
      <c r="B32" s="185"/>
      <c r="C32" s="21"/>
      <c r="D32" s="20"/>
      <c r="E32" s="28"/>
      <c r="F32" s="6"/>
      <c r="G32" s="7"/>
      <c r="H32" s="19">
        <f t="shared" ref="H32" si="1">F32-G32</f>
        <v>0</v>
      </c>
      <c r="I32" s="66"/>
      <c r="J32" s="133"/>
      <c r="K32" s="134"/>
      <c r="L32" s="134"/>
      <c r="M32" s="134"/>
      <c r="N32" s="134"/>
    </row>
    <row r="33" spans="2:14" ht="15" thickBot="1" x14ac:dyDescent="0.3">
      <c r="B33" s="200"/>
      <c r="C33" s="32"/>
      <c r="D33" s="33"/>
      <c r="E33" s="34"/>
      <c r="F33" s="35">
        <f>SUM(F3:F32)</f>
        <v>590730</v>
      </c>
      <c r="G33" s="36">
        <f>SUM(G3:G32)</f>
        <v>786.16</v>
      </c>
      <c r="H33" s="37">
        <f>SUM(H3:H32)</f>
        <v>589943.84</v>
      </c>
      <c r="I33" s="66"/>
      <c r="J33" s="131">
        <f>SUM(J3:J32)</f>
        <v>6113.8499999999995</v>
      </c>
      <c r="K33" s="131">
        <f>SUM(K3:K32)</f>
        <v>3276.8099999999995</v>
      </c>
      <c r="L33" s="131">
        <f>SUM(L3:L32)</f>
        <v>1237.3200000000002</v>
      </c>
      <c r="M33" s="131">
        <f>SUM(M3:M32)</f>
        <v>2706.8599999999997</v>
      </c>
      <c r="N33" s="131">
        <f>SUM(N3:N32)</f>
        <v>900</v>
      </c>
    </row>
    <row r="34" spans="2:14" x14ac:dyDescent="0.25">
      <c r="B34" s="201"/>
      <c r="C34" s="3"/>
      <c r="D34" s="4"/>
      <c r="E34" s="38" t="s">
        <v>8</v>
      </c>
      <c r="F34" s="39">
        <f>TOTAL!H8</f>
        <v>450000</v>
      </c>
      <c r="G34" s="40" t="s">
        <v>9</v>
      </c>
      <c r="H34" s="41">
        <f>H33/F34%</f>
        <v>131.0986311111111</v>
      </c>
      <c r="I34" s="58" t="s">
        <v>10</v>
      </c>
    </row>
    <row r="35" spans="2:14" ht="15" thickBot="1" x14ac:dyDescent="0.3">
      <c r="B35" s="202"/>
      <c r="C35" s="43"/>
      <c r="D35" s="44"/>
      <c r="E35" s="45"/>
      <c r="F35" s="46"/>
      <c r="G35" s="47"/>
      <c r="H35" s="48"/>
      <c r="I35" s="14"/>
    </row>
    <row r="36" spans="2:14" ht="18.75" thickTop="1" x14ac:dyDescent="0.25">
      <c r="B36" s="198" t="s">
        <v>11</v>
      </c>
      <c r="C36" s="49"/>
      <c r="D36" s="4"/>
      <c r="E36" s="5"/>
      <c r="F36" s="6"/>
      <c r="G36" s="7"/>
      <c r="H36" s="50"/>
      <c r="I36" s="14"/>
    </row>
    <row r="37" spans="2:14" x14ac:dyDescent="0.25">
      <c r="B37" s="199" t="s">
        <v>1</v>
      </c>
      <c r="C37" s="9" t="s">
        <v>2</v>
      </c>
      <c r="D37" s="10" t="s">
        <v>3</v>
      </c>
      <c r="E37" s="11" t="s">
        <v>4</v>
      </c>
      <c r="F37" s="12" t="s">
        <v>5</v>
      </c>
      <c r="G37" s="7" t="s">
        <v>12</v>
      </c>
      <c r="H37" s="13" t="s">
        <v>7</v>
      </c>
      <c r="I37" s="14"/>
    </row>
    <row r="38" spans="2:14" s="14" customFormat="1" x14ac:dyDescent="0.25">
      <c r="B38" s="182"/>
      <c r="C38" s="29"/>
      <c r="D38" s="30"/>
      <c r="E38" s="31"/>
      <c r="F38" s="6"/>
      <c r="G38" s="7"/>
      <c r="H38" s="19">
        <f t="shared" ref="H38:H45" si="2">F38-G38</f>
        <v>0</v>
      </c>
    </row>
    <row r="39" spans="2:14" s="14" customFormat="1" x14ac:dyDescent="0.25">
      <c r="B39" s="182"/>
      <c r="C39" s="29"/>
      <c r="D39" s="30"/>
      <c r="E39" s="31"/>
      <c r="F39" s="6"/>
      <c r="G39" s="7"/>
      <c r="H39" s="19">
        <f t="shared" si="2"/>
        <v>0</v>
      </c>
    </row>
    <row r="40" spans="2:14" s="14" customFormat="1" x14ac:dyDescent="0.25">
      <c r="B40" s="182"/>
      <c r="C40" s="29"/>
      <c r="D40" s="30"/>
      <c r="E40" s="31"/>
      <c r="F40" s="6"/>
      <c r="G40" s="7"/>
      <c r="H40" s="19">
        <f t="shared" si="2"/>
        <v>0</v>
      </c>
    </row>
    <row r="41" spans="2:14" s="14" customFormat="1" x14ac:dyDescent="0.25">
      <c r="B41" s="182"/>
      <c r="C41" s="29"/>
      <c r="D41" s="30"/>
      <c r="E41" s="31"/>
      <c r="F41" s="6"/>
      <c r="G41" s="7"/>
      <c r="H41" s="19">
        <f t="shared" si="2"/>
        <v>0</v>
      </c>
      <c r="I41" s="1"/>
    </row>
    <row r="42" spans="2:14" s="14" customFormat="1" x14ac:dyDescent="0.25">
      <c r="B42" s="182"/>
      <c r="C42" s="29"/>
      <c r="D42" s="30"/>
      <c r="E42" s="31"/>
      <c r="F42" s="6"/>
      <c r="G42" s="7"/>
      <c r="H42" s="19">
        <f t="shared" si="2"/>
        <v>0</v>
      </c>
      <c r="I42" s="1"/>
    </row>
    <row r="43" spans="2:14" s="14" customFormat="1" x14ac:dyDescent="0.25">
      <c r="B43" s="182"/>
      <c r="C43" s="29"/>
      <c r="D43" s="30"/>
      <c r="E43" s="31"/>
      <c r="F43" s="6"/>
      <c r="G43" s="7"/>
      <c r="H43" s="19">
        <f t="shared" si="2"/>
        <v>0</v>
      </c>
      <c r="I43" s="1"/>
    </row>
    <row r="44" spans="2:14" x14ac:dyDescent="0.25">
      <c r="B44" s="182"/>
      <c r="C44" s="29"/>
      <c r="D44" s="30"/>
      <c r="E44" s="31"/>
      <c r="F44" s="6"/>
      <c r="G44" s="7"/>
      <c r="H44" s="19">
        <f t="shared" si="2"/>
        <v>0</v>
      </c>
    </row>
    <row r="45" spans="2:14" ht="15" thickBot="1" x14ac:dyDescent="0.3">
      <c r="B45" s="182"/>
      <c r="C45" s="29"/>
      <c r="D45" s="30"/>
      <c r="E45" s="31"/>
      <c r="F45" s="6"/>
      <c r="G45" s="7"/>
      <c r="H45" s="19">
        <f t="shared" si="2"/>
        <v>0</v>
      </c>
    </row>
    <row r="46" spans="2:14" ht="15" thickBot="1" x14ac:dyDescent="0.3">
      <c r="B46" s="182"/>
      <c r="C46" s="29"/>
      <c r="D46" s="30"/>
      <c r="E46" s="31"/>
      <c r="F46" s="35"/>
      <c r="G46" s="36"/>
      <c r="H46" s="37">
        <f>SUM(H38:H45)</f>
        <v>0</v>
      </c>
    </row>
    <row r="47" spans="2:14" x14ac:dyDescent="0.25">
      <c r="B47" s="182"/>
      <c r="C47" s="29"/>
      <c r="D47" s="30"/>
      <c r="E47" s="31"/>
      <c r="F47" s="51"/>
      <c r="G47" s="52"/>
      <c r="H47" s="53"/>
    </row>
    <row r="48" spans="2:14" ht="15" thickBot="1" x14ac:dyDescent="0.3">
      <c r="B48" s="202"/>
      <c r="C48" s="43"/>
      <c r="D48" s="44"/>
      <c r="E48" s="45"/>
      <c r="F48" s="46"/>
      <c r="G48" s="47"/>
      <c r="H48" s="48"/>
      <c r="I48" s="14"/>
    </row>
    <row r="49" spans="2:14" ht="18.75" thickTop="1" x14ac:dyDescent="0.25">
      <c r="B49" s="198" t="s">
        <v>13</v>
      </c>
      <c r="C49" s="49"/>
      <c r="D49" s="4"/>
      <c r="E49" s="5"/>
      <c r="F49" s="6"/>
      <c r="G49" s="7"/>
      <c r="H49" s="50"/>
      <c r="I49" s="14"/>
    </row>
    <row r="50" spans="2:14" x14ac:dyDescent="0.25">
      <c r="B50" s="199" t="s">
        <v>1</v>
      </c>
      <c r="C50" s="9" t="s">
        <v>2</v>
      </c>
      <c r="D50" s="10" t="s">
        <v>3</v>
      </c>
      <c r="E50" s="11" t="s">
        <v>4</v>
      </c>
      <c r="F50" s="12" t="s">
        <v>5</v>
      </c>
      <c r="G50" s="7" t="s">
        <v>12</v>
      </c>
      <c r="H50" s="13" t="s">
        <v>7</v>
      </c>
      <c r="I50" s="14"/>
    </row>
    <row r="51" spans="2:14" s="14" customFormat="1" x14ac:dyDescent="0.25">
      <c r="B51" s="194">
        <v>231</v>
      </c>
      <c r="C51" s="29" t="s">
        <v>102</v>
      </c>
      <c r="D51" s="30" t="s">
        <v>537</v>
      </c>
      <c r="E51" s="31">
        <v>42522</v>
      </c>
      <c r="F51" s="6">
        <v>1250</v>
      </c>
      <c r="G51" s="7"/>
      <c r="H51" s="19">
        <f>F51-G51</f>
        <v>1250</v>
      </c>
    </row>
    <row r="52" spans="2:14" s="14" customFormat="1" x14ac:dyDescent="0.25">
      <c r="B52" s="194">
        <v>4754</v>
      </c>
      <c r="C52" s="141" t="s">
        <v>102</v>
      </c>
      <c r="D52" s="141" t="s">
        <v>571</v>
      </c>
      <c r="E52" s="23">
        <v>42535</v>
      </c>
      <c r="F52" s="6">
        <v>2400</v>
      </c>
      <c r="G52" s="7">
        <v>135.85</v>
      </c>
      <c r="H52" s="19">
        <f>F52-G52</f>
        <v>2264.15</v>
      </c>
    </row>
    <row r="53" spans="2:14" s="14" customFormat="1" x14ac:dyDescent="0.25">
      <c r="B53" s="185">
        <v>1384</v>
      </c>
      <c r="C53" s="21" t="s">
        <v>102</v>
      </c>
      <c r="D53" s="20" t="s">
        <v>591</v>
      </c>
      <c r="E53" s="28">
        <v>42548</v>
      </c>
      <c r="F53" s="6">
        <v>1290</v>
      </c>
      <c r="G53" s="7"/>
      <c r="H53" s="19">
        <f>F53-G53</f>
        <v>1290</v>
      </c>
    </row>
    <row r="54" spans="2:14" s="14" customFormat="1" x14ac:dyDescent="0.25">
      <c r="B54" s="182">
        <v>1393</v>
      </c>
      <c r="C54" s="29" t="s">
        <v>102</v>
      </c>
      <c r="D54" s="30" t="s">
        <v>610</v>
      </c>
      <c r="E54" s="31">
        <v>42551</v>
      </c>
      <c r="F54" s="6">
        <v>1200</v>
      </c>
      <c r="G54" s="7">
        <v>32</v>
      </c>
      <c r="H54" s="19">
        <f>F54-G54</f>
        <v>1168</v>
      </c>
      <c r="I54" s="1"/>
    </row>
    <row r="55" spans="2:14" s="14" customFormat="1" x14ac:dyDescent="0.25">
      <c r="B55" s="182"/>
      <c r="C55" s="29"/>
      <c r="D55" s="30"/>
      <c r="E55" s="28"/>
      <c r="F55" s="6"/>
      <c r="G55" s="7"/>
      <c r="H55" s="19">
        <f t="shared" ref="H55:H57" si="3">F55-G55</f>
        <v>0</v>
      </c>
      <c r="I55" s="1"/>
    </row>
    <row r="56" spans="2:14" s="14" customFormat="1" x14ac:dyDescent="0.25">
      <c r="B56" s="182"/>
      <c r="C56" s="29"/>
      <c r="D56" s="30"/>
      <c r="E56" s="31"/>
      <c r="F56" s="6"/>
      <c r="G56" s="7"/>
      <c r="H56" s="19">
        <f t="shared" si="3"/>
        <v>0</v>
      </c>
      <c r="I56" s="1"/>
    </row>
    <row r="57" spans="2:14" ht="15" thickBot="1" x14ac:dyDescent="0.3">
      <c r="B57" s="182"/>
      <c r="C57" s="29"/>
      <c r="D57" s="30"/>
      <c r="E57" s="31"/>
      <c r="F57" s="6"/>
      <c r="G57" s="7"/>
      <c r="H57" s="19">
        <f t="shared" si="3"/>
        <v>0</v>
      </c>
    </row>
    <row r="58" spans="2:14" ht="15" thickBot="1" x14ac:dyDescent="0.3">
      <c r="B58" s="203"/>
      <c r="C58" s="55"/>
      <c r="D58" s="56"/>
      <c r="E58" s="57"/>
      <c r="F58" s="35">
        <f>SUM(F51:F57)</f>
        <v>6140</v>
      </c>
      <c r="G58" s="36">
        <f>SUM(G51:G57)</f>
        <v>167.85</v>
      </c>
      <c r="H58" s="37">
        <f>SUM(H51:H57)</f>
        <v>5972.15</v>
      </c>
    </row>
    <row r="59" spans="2:14" x14ac:dyDescent="0.25">
      <c r="B59" s="203"/>
      <c r="C59" s="55"/>
      <c r="D59" s="56"/>
      <c r="E59" s="38"/>
      <c r="F59" s="39"/>
      <c r="G59" s="40"/>
      <c r="H59" s="41"/>
    </row>
    <row r="60" spans="2:14" ht="15" thickBot="1" x14ac:dyDescent="0.3">
      <c r="B60" s="202"/>
      <c r="C60" s="43"/>
      <c r="D60" s="44"/>
      <c r="E60" s="59"/>
      <c r="F60" s="46"/>
      <c r="G60" s="47"/>
      <c r="H60" s="48"/>
      <c r="I60" s="14"/>
    </row>
    <row r="61" spans="2:14" ht="18.75" thickTop="1" x14ac:dyDescent="0.25">
      <c r="B61" s="198" t="s">
        <v>14</v>
      </c>
      <c r="C61" s="49"/>
      <c r="D61" s="4"/>
      <c r="E61" s="5"/>
      <c r="F61" s="6"/>
      <c r="G61" s="7"/>
      <c r="H61" s="50"/>
      <c r="I61" s="14"/>
    </row>
    <row r="62" spans="2:14" x14ac:dyDescent="0.25">
      <c r="B62" s="199" t="s">
        <v>1</v>
      </c>
      <c r="C62" s="9" t="s">
        <v>2</v>
      </c>
      <c r="D62" s="10" t="s">
        <v>3</v>
      </c>
      <c r="E62" s="11" t="s">
        <v>4</v>
      </c>
      <c r="F62" s="12" t="s">
        <v>5</v>
      </c>
      <c r="G62" s="7" t="s">
        <v>12</v>
      </c>
      <c r="H62" s="13" t="s">
        <v>7</v>
      </c>
      <c r="I62" s="14"/>
    </row>
    <row r="63" spans="2:14" s="14" customFormat="1" x14ac:dyDescent="0.25">
      <c r="B63" s="185">
        <v>233</v>
      </c>
      <c r="C63" s="21" t="s">
        <v>538</v>
      </c>
      <c r="D63" s="20" t="s">
        <v>539</v>
      </c>
      <c r="E63" s="28">
        <v>42529</v>
      </c>
      <c r="F63" s="6">
        <v>1978.52</v>
      </c>
      <c r="G63" s="7"/>
      <c r="H63" s="19">
        <f t="shared" ref="H63:H70" si="4">F63-G63</f>
        <v>1978.52</v>
      </c>
      <c r="J63" s="1"/>
      <c r="K63" s="1"/>
      <c r="L63" s="1"/>
      <c r="M63" s="1"/>
      <c r="N63" s="1"/>
    </row>
    <row r="64" spans="2:14" s="14" customFormat="1" x14ac:dyDescent="0.25">
      <c r="B64" s="182">
        <v>1353</v>
      </c>
      <c r="C64" s="29" t="s">
        <v>102</v>
      </c>
      <c r="D64" s="30" t="s">
        <v>61</v>
      </c>
      <c r="E64" s="31">
        <v>42530</v>
      </c>
      <c r="F64" s="6">
        <v>149.9</v>
      </c>
      <c r="G64" s="7"/>
      <c r="H64" s="19">
        <f t="shared" si="4"/>
        <v>149.9</v>
      </c>
      <c r="J64" s="1"/>
      <c r="K64" s="1"/>
      <c r="L64" s="1"/>
      <c r="M64" s="1"/>
      <c r="N64" s="1"/>
    </row>
    <row r="65" spans="2:14" s="14" customFormat="1" x14ac:dyDescent="0.25">
      <c r="B65" s="195">
        <v>4742</v>
      </c>
      <c r="C65" s="15" t="s">
        <v>102</v>
      </c>
      <c r="D65" s="15" t="s">
        <v>61</v>
      </c>
      <c r="E65" s="17">
        <v>42530</v>
      </c>
      <c r="F65" s="18">
        <v>526.12</v>
      </c>
      <c r="G65" s="60"/>
      <c r="H65" s="19">
        <f t="shared" si="4"/>
        <v>526.12</v>
      </c>
    </row>
    <row r="66" spans="2:14" s="14" customFormat="1" x14ac:dyDescent="0.25">
      <c r="B66" s="194">
        <v>4747</v>
      </c>
      <c r="C66" s="141" t="s">
        <v>102</v>
      </c>
      <c r="D66" s="141" t="s">
        <v>212</v>
      </c>
      <c r="E66" s="23">
        <v>42531</v>
      </c>
      <c r="F66" s="26">
        <v>11980</v>
      </c>
      <c r="G66" s="7"/>
      <c r="H66" s="19">
        <f t="shared" si="4"/>
        <v>11980</v>
      </c>
    </row>
    <row r="67" spans="2:14" s="14" customFormat="1" x14ac:dyDescent="0.25">
      <c r="B67" s="194">
        <v>1371</v>
      </c>
      <c r="C67" s="141" t="s">
        <v>102</v>
      </c>
      <c r="D67" s="141" t="s">
        <v>585</v>
      </c>
      <c r="E67" s="23">
        <v>42542</v>
      </c>
      <c r="F67" s="26">
        <v>1686.2</v>
      </c>
      <c r="G67" s="7"/>
      <c r="H67" s="19">
        <f t="shared" si="4"/>
        <v>1686.2</v>
      </c>
    </row>
    <row r="68" spans="2:14" s="14" customFormat="1" x14ac:dyDescent="0.25">
      <c r="B68" s="194">
        <v>1372</v>
      </c>
      <c r="C68" s="141" t="s">
        <v>102</v>
      </c>
      <c r="D68" s="141" t="s">
        <v>585</v>
      </c>
      <c r="E68" s="23">
        <v>42542</v>
      </c>
      <c r="F68" s="26">
        <v>1686.2</v>
      </c>
      <c r="G68" s="7"/>
      <c r="H68" s="19">
        <f t="shared" si="4"/>
        <v>1686.2</v>
      </c>
    </row>
    <row r="69" spans="2:14" s="14" customFormat="1" x14ac:dyDescent="0.25">
      <c r="B69" s="194">
        <v>4781</v>
      </c>
      <c r="C69" s="141" t="s">
        <v>102</v>
      </c>
      <c r="D69" s="16" t="s">
        <v>598</v>
      </c>
      <c r="E69" s="17">
        <v>42548</v>
      </c>
      <c r="F69" s="18">
        <v>2973.1</v>
      </c>
      <c r="G69" s="7"/>
      <c r="H69" s="19">
        <f t="shared" si="4"/>
        <v>2973.1</v>
      </c>
    </row>
    <row r="70" spans="2:14" s="14" customFormat="1" x14ac:dyDescent="0.25">
      <c r="B70" s="195">
        <v>4782</v>
      </c>
      <c r="C70" s="15" t="s">
        <v>102</v>
      </c>
      <c r="D70" s="16" t="s">
        <v>598</v>
      </c>
      <c r="E70" s="17">
        <v>42548</v>
      </c>
      <c r="F70" s="6">
        <v>2574.56</v>
      </c>
      <c r="G70" s="7"/>
      <c r="H70" s="19">
        <f t="shared" si="4"/>
        <v>2574.56</v>
      </c>
    </row>
    <row r="71" spans="2:14" s="14" customFormat="1" x14ac:dyDescent="0.25">
      <c r="B71" s="195"/>
      <c r="C71" s="15"/>
      <c r="D71" s="16"/>
      <c r="E71" s="17"/>
      <c r="F71" s="18"/>
      <c r="G71" s="7"/>
      <c r="H71" s="19">
        <f t="shared" ref="H71:H72" si="5">F71-G71</f>
        <v>0</v>
      </c>
    </row>
    <row r="72" spans="2:14" ht="15" thickBot="1" x14ac:dyDescent="0.3">
      <c r="B72" s="185"/>
      <c r="C72" s="21"/>
      <c r="D72" s="21"/>
      <c r="E72" s="28"/>
      <c r="F72" s="6"/>
      <c r="G72" s="7"/>
      <c r="H72" s="19">
        <f t="shared" si="5"/>
        <v>0</v>
      </c>
    </row>
    <row r="73" spans="2:14" ht="15" thickBot="1" x14ac:dyDescent="0.3">
      <c r="B73" s="201"/>
      <c r="C73" s="3"/>
      <c r="D73" s="4"/>
      <c r="E73" s="61"/>
      <c r="F73" s="62">
        <f>SUM(F63:F72)</f>
        <v>23554.600000000002</v>
      </c>
      <c r="G73" s="36">
        <f>SUM(G63:G72)</f>
        <v>0</v>
      </c>
      <c r="H73" s="63">
        <f>SUM(H63:H72)</f>
        <v>23554.600000000002</v>
      </c>
    </row>
    <row r="74" spans="2:14" x14ac:dyDescent="0.25">
      <c r="B74" s="204"/>
      <c r="C74" s="3"/>
      <c r="D74" s="65"/>
      <c r="E74" s="38" t="s">
        <v>8</v>
      </c>
      <c r="F74" s="39">
        <f>TOTAL!H9</f>
        <v>0</v>
      </c>
      <c r="G74" s="40" t="s">
        <v>9</v>
      </c>
      <c r="H74" s="41" t="e">
        <f>H73/F74%</f>
        <v>#DIV/0!</v>
      </c>
      <c r="I74" s="58" t="s">
        <v>10</v>
      </c>
    </row>
    <row r="75" spans="2:14" ht="15" thickBot="1" x14ac:dyDescent="0.3">
      <c r="B75" s="202"/>
      <c r="C75" s="43"/>
      <c r="D75" s="44"/>
      <c r="E75" s="59"/>
      <c r="F75" s="46"/>
      <c r="G75" s="47"/>
      <c r="H75" s="48"/>
      <c r="I75" s="14"/>
      <c r="J75" s="54"/>
    </row>
    <row r="76" spans="2:14" ht="18.75" thickTop="1" x14ac:dyDescent="0.25">
      <c r="B76" s="198" t="s">
        <v>15</v>
      </c>
      <c r="C76" s="49"/>
      <c r="D76" s="4"/>
      <c r="E76" s="5"/>
      <c r="F76" s="6"/>
      <c r="G76" s="7"/>
      <c r="H76" s="50"/>
      <c r="I76" s="14"/>
    </row>
    <row r="77" spans="2:14" x14ac:dyDescent="0.25">
      <c r="B77" s="199" t="s">
        <v>1</v>
      </c>
      <c r="C77" s="9" t="s">
        <v>2</v>
      </c>
      <c r="D77" s="10" t="s">
        <v>3</v>
      </c>
      <c r="E77" s="11" t="s">
        <v>4</v>
      </c>
      <c r="F77" s="12" t="s">
        <v>5</v>
      </c>
      <c r="G77" s="7" t="s">
        <v>12</v>
      </c>
      <c r="H77" s="13" t="s">
        <v>7</v>
      </c>
      <c r="I77" s="14"/>
    </row>
    <row r="78" spans="2:14" s="14" customFormat="1" x14ac:dyDescent="0.25">
      <c r="B78" s="194">
        <v>4728</v>
      </c>
      <c r="C78" s="141" t="s">
        <v>102</v>
      </c>
      <c r="D78" s="141" t="s">
        <v>519</v>
      </c>
      <c r="E78" s="23">
        <v>42522</v>
      </c>
      <c r="F78" s="26">
        <v>3932.19</v>
      </c>
      <c r="G78" s="7">
        <v>285.77</v>
      </c>
      <c r="H78" s="19">
        <f t="shared" ref="H78:H101" si="6">F78-G78</f>
        <v>3646.42</v>
      </c>
      <c r="J78" s="1"/>
      <c r="K78" s="1"/>
      <c r="L78" s="1"/>
      <c r="M78" s="1"/>
      <c r="N78" s="1"/>
    </row>
    <row r="79" spans="2:14" s="14" customFormat="1" x14ac:dyDescent="0.25">
      <c r="B79" s="185">
        <v>4733</v>
      </c>
      <c r="C79" s="21" t="s">
        <v>102</v>
      </c>
      <c r="D79" s="20" t="s">
        <v>533</v>
      </c>
      <c r="E79" s="28">
        <v>42529</v>
      </c>
      <c r="F79" s="125">
        <v>849.47</v>
      </c>
      <c r="G79" s="7">
        <v>89.89</v>
      </c>
      <c r="H79" s="19">
        <f t="shared" si="6"/>
        <v>759.58</v>
      </c>
      <c r="J79" s="1"/>
      <c r="K79" s="1"/>
      <c r="L79" s="1"/>
      <c r="M79" s="1"/>
      <c r="N79" s="1"/>
    </row>
    <row r="80" spans="2:14" s="14" customFormat="1" x14ac:dyDescent="0.25">
      <c r="B80" s="195">
        <v>4734</v>
      </c>
      <c r="C80" s="15" t="s">
        <v>102</v>
      </c>
      <c r="D80" s="15" t="s">
        <v>534</v>
      </c>
      <c r="E80" s="17">
        <v>42529</v>
      </c>
      <c r="F80" s="18">
        <v>849.44</v>
      </c>
      <c r="G80" s="60">
        <v>49.91</v>
      </c>
      <c r="H80" s="19">
        <f t="shared" si="6"/>
        <v>799.53000000000009</v>
      </c>
    </row>
    <row r="81" spans="2:14" s="14" customFormat="1" x14ac:dyDescent="0.25">
      <c r="B81" s="194">
        <v>4739</v>
      </c>
      <c r="C81" s="141" t="s">
        <v>102</v>
      </c>
      <c r="D81" s="141" t="s">
        <v>546</v>
      </c>
      <c r="E81" s="23">
        <v>42530</v>
      </c>
      <c r="F81" s="26">
        <v>1698.16</v>
      </c>
      <c r="G81" s="175"/>
      <c r="H81" s="19">
        <f t="shared" si="6"/>
        <v>1698.16</v>
      </c>
    </row>
    <row r="82" spans="2:14" s="14" customFormat="1" x14ac:dyDescent="0.25">
      <c r="B82" s="185">
        <v>4740</v>
      </c>
      <c r="C82" s="21" t="s">
        <v>102</v>
      </c>
      <c r="D82" s="20" t="s">
        <v>542</v>
      </c>
      <c r="E82" s="28">
        <v>42530</v>
      </c>
      <c r="F82" s="18">
        <v>799.53</v>
      </c>
      <c r="G82" s="175"/>
      <c r="H82" s="19">
        <f t="shared" si="6"/>
        <v>799.53</v>
      </c>
    </row>
    <row r="83" spans="2:14" s="14" customFormat="1" x14ac:dyDescent="0.25">
      <c r="B83" s="194">
        <v>1358</v>
      </c>
      <c r="C83" s="141" t="s">
        <v>102</v>
      </c>
      <c r="D83" s="16" t="s">
        <v>558</v>
      </c>
      <c r="E83" s="17">
        <v>42531</v>
      </c>
      <c r="F83" s="18">
        <v>399.77</v>
      </c>
      <c r="G83" s="175">
        <v>28</v>
      </c>
      <c r="H83" s="19">
        <f t="shared" si="6"/>
        <v>371.77</v>
      </c>
    </row>
    <row r="84" spans="2:14" s="14" customFormat="1" x14ac:dyDescent="0.25">
      <c r="B84" s="194">
        <v>1359</v>
      </c>
      <c r="C84" s="141" t="s">
        <v>102</v>
      </c>
      <c r="D84" s="16" t="s">
        <v>522</v>
      </c>
      <c r="E84" s="17">
        <v>42531</v>
      </c>
      <c r="F84" s="18">
        <v>2427.2800000000002</v>
      </c>
      <c r="G84" s="52">
        <v>95</v>
      </c>
      <c r="H84" s="19">
        <f t="shared" si="6"/>
        <v>2332.2800000000002</v>
      </c>
    </row>
    <row r="85" spans="2:14" s="14" customFormat="1" x14ac:dyDescent="0.25">
      <c r="B85" s="195">
        <v>1362</v>
      </c>
      <c r="C85" s="15" t="s">
        <v>102</v>
      </c>
      <c r="D85" s="16" t="s">
        <v>152</v>
      </c>
      <c r="E85" s="17">
        <v>42535</v>
      </c>
      <c r="F85" s="6">
        <v>12671.57</v>
      </c>
      <c r="G85" s="7">
        <f>52.8+575.46</f>
        <v>628.26</v>
      </c>
      <c r="H85" s="19">
        <f t="shared" si="6"/>
        <v>12043.31</v>
      </c>
    </row>
    <row r="86" spans="2:14" s="14" customFormat="1" x14ac:dyDescent="0.25">
      <c r="B86" s="195">
        <v>4767</v>
      </c>
      <c r="C86" s="15" t="s">
        <v>102</v>
      </c>
      <c r="D86" s="16" t="s">
        <v>569</v>
      </c>
      <c r="E86" s="17">
        <v>42538</v>
      </c>
      <c r="F86" s="18">
        <v>23952.48</v>
      </c>
      <c r="G86" s="175">
        <v>258.3</v>
      </c>
      <c r="H86" s="19">
        <f t="shared" si="6"/>
        <v>23694.18</v>
      </c>
    </row>
    <row r="87" spans="2:14" s="14" customFormat="1" x14ac:dyDescent="0.25">
      <c r="B87" s="195">
        <v>1370</v>
      </c>
      <c r="C87" s="15" t="s">
        <v>102</v>
      </c>
      <c r="D87" s="16" t="s">
        <v>584</v>
      </c>
      <c r="E87" s="17">
        <v>42541</v>
      </c>
      <c r="F87" s="18">
        <v>4626</v>
      </c>
      <c r="G87" s="7"/>
      <c r="H87" s="19">
        <f t="shared" si="6"/>
        <v>4626</v>
      </c>
      <c r="I87" s="1"/>
    </row>
    <row r="88" spans="2:14" s="14" customFormat="1" x14ac:dyDescent="0.25">
      <c r="B88" s="185">
        <v>1376</v>
      </c>
      <c r="C88" s="21" t="s">
        <v>102</v>
      </c>
      <c r="D88" s="20" t="s">
        <v>578</v>
      </c>
      <c r="E88" s="28">
        <v>42543</v>
      </c>
      <c r="F88" s="6">
        <v>1320</v>
      </c>
      <c r="G88" s="7"/>
      <c r="H88" s="19">
        <f t="shared" si="6"/>
        <v>1320</v>
      </c>
      <c r="I88" s="1"/>
    </row>
    <row r="89" spans="2:14" s="14" customFormat="1" x14ac:dyDescent="0.25">
      <c r="B89" s="185">
        <v>4770</v>
      </c>
      <c r="C89" s="21" t="s">
        <v>102</v>
      </c>
      <c r="D89" s="21" t="s">
        <v>588</v>
      </c>
      <c r="E89" s="28">
        <v>42544</v>
      </c>
      <c r="F89" s="6">
        <v>395</v>
      </c>
      <c r="G89" s="52"/>
      <c r="H89" s="19">
        <f t="shared" si="6"/>
        <v>395</v>
      </c>
      <c r="I89" s="1"/>
    </row>
    <row r="90" spans="2:14" x14ac:dyDescent="0.25">
      <c r="B90" s="195" t="s">
        <v>83</v>
      </c>
      <c r="C90" s="15" t="s">
        <v>102</v>
      </c>
      <c r="D90" s="16" t="s">
        <v>572</v>
      </c>
      <c r="E90" s="17">
        <v>42544</v>
      </c>
      <c r="F90" s="18">
        <v>232</v>
      </c>
      <c r="G90" s="7">
        <v>22</v>
      </c>
      <c r="H90" s="19">
        <f t="shared" si="6"/>
        <v>210</v>
      </c>
      <c r="J90" s="14"/>
      <c r="K90" s="14"/>
      <c r="L90" s="14"/>
      <c r="M90" s="14"/>
      <c r="N90" s="14"/>
    </row>
    <row r="91" spans="2:14" x14ac:dyDescent="0.25">
      <c r="B91" s="185">
        <v>1382</v>
      </c>
      <c r="C91" s="21" t="s">
        <v>102</v>
      </c>
      <c r="D91" s="21" t="s">
        <v>587</v>
      </c>
      <c r="E91" s="28">
        <v>42545</v>
      </c>
      <c r="F91" s="6">
        <v>1292.8499999999999</v>
      </c>
      <c r="G91" s="7">
        <v>48</v>
      </c>
      <c r="H91" s="19">
        <f t="shared" si="6"/>
        <v>1244.8499999999999</v>
      </c>
      <c r="J91" s="14"/>
      <c r="K91" s="14"/>
      <c r="L91" s="14"/>
      <c r="M91" s="14"/>
      <c r="N91" s="14"/>
    </row>
    <row r="92" spans="2:14" x14ac:dyDescent="0.25">
      <c r="B92" s="185">
        <v>4772</v>
      </c>
      <c r="C92" s="21" t="s">
        <v>102</v>
      </c>
      <c r="D92" s="21" t="s">
        <v>589</v>
      </c>
      <c r="E92" s="28">
        <v>42545</v>
      </c>
      <c r="F92" s="6">
        <v>542.85</v>
      </c>
      <c r="G92" s="175">
        <v>40.35</v>
      </c>
      <c r="H92" s="19">
        <f t="shared" si="6"/>
        <v>502.5</v>
      </c>
      <c r="I92" s="58"/>
    </row>
    <row r="93" spans="2:14" x14ac:dyDescent="0.25">
      <c r="B93" s="185">
        <v>4777</v>
      </c>
      <c r="C93" s="21" t="s">
        <v>102</v>
      </c>
      <c r="D93" s="21" t="s">
        <v>590</v>
      </c>
      <c r="E93" s="28">
        <v>42545</v>
      </c>
      <c r="F93" s="6">
        <v>8980</v>
      </c>
      <c r="G93" s="175">
        <f>1102.8+52.95</f>
        <v>1155.75</v>
      </c>
      <c r="H93" s="19">
        <f t="shared" si="6"/>
        <v>7824.25</v>
      </c>
      <c r="I93" s="58"/>
    </row>
    <row r="94" spans="2:14" x14ac:dyDescent="0.25">
      <c r="B94" s="185">
        <v>263</v>
      </c>
      <c r="C94" s="21" t="s">
        <v>102</v>
      </c>
      <c r="D94" s="21" t="s">
        <v>591</v>
      </c>
      <c r="E94" s="28">
        <v>42548</v>
      </c>
      <c r="F94" s="6">
        <v>1903.7</v>
      </c>
      <c r="G94" s="7"/>
      <c r="H94" s="19">
        <f t="shared" si="6"/>
        <v>1903.7</v>
      </c>
      <c r="I94" s="58"/>
    </row>
    <row r="95" spans="2:14" x14ac:dyDescent="0.25">
      <c r="B95" s="185">
        <v>4783</v>
      </c>
      <c r="C95" s="21" t="s">
        <v>102</v>
      </c>
      <c r="D95" s="21" t="s">
        <v>251</v>
      </c>
      <c r="E95" s="28">
        <v>42548</v>
      </c>
      <c r="F95" s="6">
        <v>912.33</v>
      </c>
      <c r="G95" s="7">
        <v>62.9</v>
      </c>
      <c r="H95" s="19">
        <f t="shared" si="6"/>
        <v>849.43000000000006</v>
      </c>
      <c r="I95" s="58"/>
    </row>
    <row r="96" spans="2:14" x14ac:dyDescent="0.25">
      <c r="B96" s="185">
        <v>4784</v>
      </c>
      <c r="C96" s="21" t="s">
        <v>102</v>
      </c>
      <c r="D96" s="21" t="s">
        <v>599</v>
      </c>
      <c r="E96" s="28">
        <v>42548</v>
      </c>
      <c r="F96" s="6">
        <v>452.67</v>
      </c>
      <c r="G96" s="7">
        <v>52.9</v>
      </c>
      <c r="H96" s="19">
        <f t="shared" si="6"/>
        <v>399.77000000000004</v>
      </c>
      <c r="I96" s="58"/>
    </row>
    <row r="97" spans="2:14" x14ac:dyDescent="0.25">
      <c r="B97" s="185">
        <v>1386</v>
      </c>
      <c r="C97" s="21" t="s">
        <v>102</v>
      </c>
      <c r="D97" s="21" t="s">
        <v>592</v>
      </c>
      <c r="E97" s="28">
        <v>42549</v>
      </c>
      <c r="F97" s="6">
        <v>3004.92</v>
      </c>
      <c r="G97" s="7">
        <v>40</v>
      </c>
      <c r="H97" s="19">
        <f t="shared" si="6"/>
        <v>2964.92</v>
      </c>
      <c r="I97" s="58"/>
    </row>
    <row r="98" spans="2:14" x14ac:dyDescent="0.25">
      <c r="B98" s="185">
        <v>4785</v>
      </c>
      <c r="C98" s="21" t="s">
        <v>102</v>
      </c>
      <c r="D98" s="21" t="s">
        <v>600</v>
      </c>
      <c r="E98" s="28">
        <v>42549</v>
      </c>
      <c r="F98" s="6">
        <v>960</v>
      </c>
      <c r="G98" s="7"/>
      <c r="H98" s="19">
        <f t="shared" si="6"/>
        <v>960</v>
      </c>
      <c r="I98" s="58"/>
    </row>
    <row r="99" spans="2:14" x14ac:dyDescent="0.25">
      <c r="B99" s="185">
        <v>4788</v>
      </c>
      <c r="C99" s="21" t="s">
        <v>102</v>
      </c>
      <c r="D99" s="21" t="s">
        <v>238</v>
      </c>
      <c r="E99" s="28">
        <v>42549</v>
      </c>
      <c r="F99" s="6">
        <v>1088</v>
      </c>
      <c r="G99" s="7"/>
      <c r="H99" s="19">
        <f t="shared" si="6"/>
        <v>1088</v>
      </c>
      <c r="I99" s="58"/>
    </row>
    <row r="100" spans="2:14" x14ac:dyDescent="0.25">
      <c r="B100" s="185">
        <v>4789</v>
      </c>
      <c r="C100" s="21" t="s">
        <v>102</v>
      </c>
      <c r="D100" s="21" t="s">
        <v>602</v>
      </c>
      <c r="E100" s="28">
        <v>42551</v>
      </c>
      <c r="F100" s="6">
        <v>492.17</v>
      </c>
      <c r="G100" s="7">
        <v>42.9</v>
      </c>
      <c r="H100" s="19">
        <f t="shared" si="6"/>
        <v>449.27000000000004</v>
      </c>
      <c r="I100" s="58"/>
    </row>
    <row r="101" spans="2:14" x14ac:dyDescent="0.25">
      <c r="B101" s="185">
        <v>4793</v>
      </c>
      <c r="C101" s="21" t="s">
        <v>102</v>
      </c>
      <c r="D101" s="21" t="s">
        <v>605</v>
      </c>
      <c r="E101" s="28">
        <v>42552</v>
      </c>
      <c r="F101" s="6">
        <v>724.8</v>
      </c>
      <c r="G101" s="175">
        <f>33.27+76.26</f>
        <v>109.53</v>
      </c>
      <c r="H101" s="19">
        <f t="shared" si="6"/>
        <v>615.27</v>
      </c>
      <c r="I101" s="58"/>
    </row>
    <row r="102" spans="2:14" x14ac:dyDescent="0.25">
      <c r="B102" s="185"/>
      <c r="C102" s="21"/>
      <c r="D102" s="21"/>
      <c r="E102" s="28"/>
      <c r="F102" s="6"/>
      <c r="G102" s="7"/>
      <c r="H102" s="19">
        <f t="shared" ref="H102:H103" si="7">F102-G102</f>
        <v>0</v>
      </c>
      <c r="I102" s="58"/>
    </row>
    <row r="103" spans="2:14" ht="15" thickBot="1" x14ac:dyDescent="0.3">
      <c r="B103" s="185"/>
      <c r="C103" s="21"/>
      <c r="D103" s="21"/>
      <c r="E103" s="28"/>
      <c r="F103" s="6"/>
      <c r="G103" s="7"/>
      <c r="H103" s="19">
        <f t="shared" si="7"/>
        <v>0</v>
      </c>
    </row>
    <row r="104" spans="2:14" ht="15" thickBot="1" x14ac:dyDescent="0.3">
      <c r="B104" s="201"/>
      <c r="C104" s="3"/>
      <c r="D104" s="4"/>
      <c r="E104" s="61"/>
      <c r="F104" s="62">
        <f>SUM(F78:F103)</f>
        <v>74507.179999999993</v>
      </c>
      <c r="G104" s="36">
        <f>SUM(G78:G103)</f>
        <v>3009.46</v>
      </c>
      <c r="H104" s="63">
        <f>SUM(H78:H103)</f>
        <v>71497.72</v>
      </c>
    </row>
    <row r="105" spans="2:14" x14ac:dyDescent="0.25">
      <c r="B105" s="204"/>
      <c r="C105" s="3"/>
      <c r="D105" s="65"/>
      <c r="E105" s="38" t="s">
        <v>8</v>
      </c>
      <c r="F105" s="39">
        <f>TOTAL!H10</f>
        <v>60000</v>
      </c>
      <c r="G105" s="40" t="s">
        <v>9</v>
      </c>
      <c r="H105" s="41">
        <f>H104/F105%</f>
        <v>119.16286666666667</v>
      </c>
      <c r="I105" s="58" t="s">
        <v>10</v>
      </c>
    </row>
    <row r="106" spans="2:14" ht="15" thickBot="1" x14ac:dyDescent="0.3">
      <c r="B106" s="202"/>
      <c r="C106" s="43"/>
      <c r="D106" s="44"/>
      <c r="E106" s="45"/>
      <c r="F106" s="67"/>
      <c r="G106" s="47"/>
      <c r="H106" s="48"/>
      <c r="I106" s="14"/>
      <c r="J106" s="54"/>
    </row>
    <row r="107" spans="2:14" ht="18.75" thickTop="1" x14ac:dyDescent="0.25">
      <c r="B107" s="198" t="s">
        <v>49</v>
      </c>
      <c r="C107" s="49"/>
      <c r="D107" s="4"/>
      <c r="E107" s="5"/>
      <c r="F107" s="6"/>
      <c r="G107" s="7"/>
      <c r="H107" s="50"/>
      <c r="I107" s="14"/>
    </row>
    <row r="108" spans="2:14" x14ac:dyDescent="0.25">
      <c r="B108" s="199" t="s">
        <v>1</v>
      </c>
      <c r="C108" s="9" t="s">
        <v>2</v>
      </c>
      <c r="D108" s="10" t="s">
        <v>3</v>
      </c>
      <c r="E108" s="11" t="s">
        <v>4</v>
      </c>
      <c r="F108" s="12" t="s">
        <v>5</v>
      </c>
      <c r="G108" s="7" t="s">
        <v>12</v>
      </c>
      <c r="H108" s="13" t="s">
        <v>7</v>
      </c>
      <c r="I108" s="14"/>
    </row>
    <row r="109" spans="2:14" s="14" customFormat="1" x14ac:dyDescent="0.25">
      <c r="B109" s="195">
        <v>232</v>
      </c>
      <c r="C109" s="15" t="s">
        <v>86</v>
      </c>
      <c r="D109" s="16" t="s">
        <v>521</v>
      </c>
      <c r="E109" s="17">
        <v>42522</v>
      </c>
      <c r="F109" s="51">
        <v>490</v>
      </c>
      <c r="G109" s="7"/>
      <c r="H109" s="19">
        <f t="shared" ref="H109:H151" si="8">F109-G109</f>
        <v>490</v>
      </c>
      <c r="J109" s="1"/>
      <c r="K109" s="1"/>
      <c r="L109" s="1"/>
      <c r="M109" s="1"/>
      <c r="N109" s="1"/>
    </row>
    <row r="110" spans="2:14" s="14" customFormat="1" x14ac:dyDescent="0.25">
      <c r="B110" s="195">
        <v>234</v>
      </c>
      <c r="C110" s="15" t="s">
        <v>86</v>
      </c>
      <c r="D110" s="16" t="s">
        <v>540</v>
      </c>
      <c r="E110" s="17">
        <v>42529</v>
      </c>
      <c r="F110" s="125">
        <v>450</v>
      </c>
      <c r="G110" s="7"/>
      <c r="H110" s="19">
        <f t="shared" si="8"/>
        <v>450</v>
      </c>
      <c r="J110" s="1"/>
      <c r="K110" s="1"/>
      <c r="L110" s="1"/>
      <c r="M110" s="1"/>
      <c r="N110" s="1"/>
    </row>
    <row r="111" spans="2:14" s="14" customFormat="1" x14ac:dyDescent="0.25">
      <c r="B111" s="195">
        <v>235</v>
      </c>
      <c r="C111" s="15" t="s">
        <v>95</v>
      </c>
      <c r="D111" s="16" t="s">
        <v>541</v>
      </c>
      <c r="E111" s="17">
        <v>42529</v>
      </c>
      <c r="F111" s="125">
        <v>690</v>
      </c>
      <c r="G111" s="7"/>
      <c r="H111" s="19">
        <f t="shared" si="8"/>
        <v>690</v>
      </c>
      <c r="J111" s="68"/>
    </row>
    <row r="112" spans="2:14" s="14" customFormat="1" x14ac:dyDescent="0.25">
      <c r="B112" s="195">
        <v>237</v>
      </c>
      <c r="C112" s="15" t="s">
        <v>86</v>
      </c>
      <c r="D112" s="16" t="s">
        <v>542</v>
      </c>
      <c r="E112" s="17">
        <v>42530</v>
      </c>
      <c r="F112" s="51">
        <v>490</v>
      </c>
      <c r="G112" s="7"/>
      <c r="H112" s="19">
        <f t="shared" si="8"/>
        <v>490</v>
      </c>
      <c r="I112" s="1"/>
    </row>
    <row r="113" spans="2:14" s="14" customFormat="1" x14ac:dyDescent="0.25">
      <c r="B113" s="195">
        <v>238</v>
      </c>
      <c r="C113" s="15" t="s">
        <v>86</v>
      </c>
      <c r="D113" s="16" t="s">
        <v>546</v>
      </c>
      <c r="E113" s="17">
        <v>42531</v>
      </c>
      <c r="F113" s="51">
        <v>450</v>
      </c>
      <c r="G113" s="7"/>
      <c r="H113" s="19">
        <f t="shared" si="8"/>
        <v>450</v>
      </c>
      <c r="I113" s="1"/>
    </row>
    <row r="114" spans="2:14" s="14" customFormat="1" x14ac:dyDescent="0.25">
      <c r="B114" s="195">
        <v>239</v>
      </c>
      <c r="C114" s="15" t="s">
        <v>86</v>
      </c>
      <c r="D114" s="16" t="s">
        <v>565</v>
      </c>
      <c r="E114" s="17">
        <v>42531</v>
      </c>
      <c r="F114" s="51">
        <v>590</v>
      </c>
      <c r="G114" s="7"/>
      <c r="H114" s="19">
        <f t="shared" si="8"/>
        <v>590</v>
      </c>
      <c r="I114" s="1"/>
    </row>
    <row r="115" spans="2:14" x14ac:dyDescent="0.25">
      <c r="B115" s="195">
        <v>240</v>
      </c>
      <c r="C115" s="15" t="s">
        <v>86</v>
      </c>
      <c r="D115" s="16" t="s">
        <v>453</v>
      </c>
      <c r="E115" s="17">
        <v>42531</v>
      </c>
      <c r="F115" s="51">
        <v>900</v>
      </c>
      <c r="G115" s="7"/>
      <c r="H115" s="19">
        <f t="shared" si="8"/>
        <v>900</v>
      </c>
      <c r="J115" s="14"/>
      <c r="K115" s="14"/>
      <c r="L115" s="14"/>
      <c r="M115" s="14"/>
      <c r="N115" s="14"/>
    </row>
    <row r="116" spans="2:14" x14ac:dyDescent="0.25">
      <c r="B116" s="185">
        <v>241</v>
      </c>
      <c r="C116" s="21" t="s">
        <v>86</v>
      </c>
      <c r="D116" s="20" t="s">
        <v>522</v>
      </c>
      <c r="E116" s="28">
        <v>42531</v>
      </c>
      <c r="F116" s="125">
        <v>490</v>
      </c>
      <c r="G116" s="7"/>
      <c r="H116" s="19">
        <f t="shared" si="8"/>
        <v>490</v>
      </c>
      <c r="J116" s="14"/>
      <c r="K116" s="14"/>
      <c r="L116" s="14"/>
      <c r="M116" s="14"/>
      <c r="N116" s="14"/>
    </row>
    <row r="117" spans="2:14" x14ac:dyDescent="0.25">
      <c r="B117" s="185">
        <v>1121</v>
      </c>
      <c r="C117" s="21" t="s">
        <v>86</v>
      </c>
      <c r="D117" s="20" t="s">
        <v>152</v>
      </c>
      <c r="E117" s="28">
        <v>42534</v>
      </c>
      <c r="F117" s="6">
        <v>10228.59</v>
      </c>
      <c r="G117" s="7"/>
      <c r="H117" s="19">
        <f t="shared" si="8"/>
        <v>10228.59</v>
      </c>
    </row>
    <row r="118" spans="2:14" x14ac:dyDescent="0.25">
      <c r="B118" s="185">
        <v>242</v>
      </c>
      <c r="C118" s="21" t="s">
        <v>86</v>
      </c>
      <c r="D118" s="20" t="s">
        <v>566</v>
      </c>
      <c r="E118" s="28">
        <v>42535</v>
      </c>
      <c r="F118" s="125">
        <v>690</v>
      </c>
      <c r="G118" s="7"/>
      <c r="H118" s="19">
        <f t="shared" si="8"/>
        <v>690</v>
      </c>
    </row>
    <row r="119" spans="2:14" x14ac:dyDescent="0.25">
      <c r="B119" s="185">
        <v>243</v>
      </c>
      <c r="C119" s="21" t="s">
        <v>95</v>
      </c>
      <c r="D119" s="20" t="s">
        <v>567</v>
      </c>
      <c r="E119" s="28">
        <v>42538</v>
      </c>
      <c r="F119" s="125">
        <v>390</v>
      </c>
      <c r="G119" s="7"/>
      <c r="H119" s="19">
        <f t="shared" si="8"/>
        <v>390</v>
      </c>
      <c r="J119" s="54"/>
    </row>
    <row r="120" spans="2:14" x14ac:dyDescent="0.25">
      <c r="B120" s="185">
        <v>244</v>
      </c>
      <c r="C120" s="21" t="s">
        <v>86</v>
      </c>
      <c r="D120" s="20" t="s">
        <v>568</v>
      </c>
      <c r="E120" s="28">
        <v>42538</v>
      </c>
      <c r="F120" s="125">
        <v>490</v>
      </c>
      <c r="G120" s="7"/>
      <c r="H120" s="19">
        <f t="shared" si="8"/>
        <v>490</v>
      </c>
      <c r="J120" s="54"/>
    </row>
    <row r="121" spans="2:14" x14ac:dyDescent="0.25">
      <c r="B121" s="185">
        <v>245</v>
      </c>
      <c r="C121" s="21" t="s">
        <v>86</v>
      </c>
      <c r="D121" s="20" t="s">
        <v>516</v>
      </c>
      <c r="E121" s="28">
        <v>42538</v>
      </c>
      <c r="F121" s="125">
        <v>590</v>
      </c>
      <c r="G121" s="7"/>
      <c r="H121" s="19">
        <f t="shared" si="8"/>
        <v>590</v>
      </c>
      <c r="J121" s="54"/>
    </row>
    <row r="122" spans="2:14" x14ac:dyDescent="0.25">
      <c r="B122" s="185">
        <v>246</v>
      </c>
      <c r="C122" s="21" t="s">
        <v>86</v>
      </c>
      <c r="D122" s="20" t="s">
        <v>569</v>
      </c>
      <c r="E122" s="28">
        <v>42538</v>
      </c>
      <c r="F122" s="125">
        <v>990</v>
      </c>
      <c r="G122" s="7"/>
      <c r="H122" s="19">
        <f t="shared" si="8"/>
        <v>990</v>
      </c>
      <c r="J122" s="54"/>
    </row>
    <row r="123" spans="2:14" x14ac:dyDescent="0.25">
      <c r="B123" s="185">
        <v>247</v>
      </c>
      <c r="C123" s="21" t="s">
        <v>86</v>
      </c>
      <c r="D123" s="20" t="s">
        <v>294</v>
      </c>
      <c r="E123" s="28">
        <v>42538</v>
      </c>
      <c r="F123" s="125">
        <v>490</v>
      </c>
      <c r="G123" s="7"/>
      <c r="H123" s="19">
        <f t="shared" si="8"/>
        <v>490</v>
      </c>
      <c r="J123" s="54"/>
    </row>
    <row r="124" spans="2:14" x14ac:dyDescent="0.25">
      <c r="B124" s="185">
        <v>248</v>
      </c>
      <c r="C124" s="21" t="s">
        <v>95</v>
      </c>
      <c r="D124" s="20" t="s">
        <v>570</v>
      </c>
      <c r="E124" s="28">
        <v>42538</v>
      </c>
      <c r="F124" s="125">
        <v>790</v>
      </c>
      <c r="G124" s="7"/>
      <c r="H124" s="19">
        <f t="shared" si="8"/>
        <v>790</v>
      </c>
      <c r="J124" s="54"/>
    </row>
    <row r="125" spans="2:14" x14ac:dyDescent="0.25">
      <c r="B125" s="185">
        <v>250</v>
      </c>
      <c r="C125" s="21" t="s">
        <v>86</v>
      </c>
      <c r="D125" s="20" t="s">
        <v>472</v>
      </c>
      <c r="E125" s="28">
        <v>42543</v>
      </c>
      <c r="F125" s="6">
        <v>590</v>
      </c>
      <c r="G125" s="7"/>
      <c r="H125" s="19">
        <f t="shared" si="8"/>
        <v>590</v>
      </c>
      <c r="J125" s="54"/>
    </row>
    <row r="126" spans="2:14" x14ac:dyDescent="0.25">
      <c r="B126" s="185">
        <v>251</v>
      </c>
      <c r="C126" s="21" t="s">
        <v>84</v>
      </c>
      <c r="D126" s="20" t="s">
        <v>576</v>
      </c>
      <c r="E126" s="28">
        <v>42544</v>
      </c>
      <c r="F126" s="6">
        <v>290</v>
      </c>
      <c r="G126" s="7"/>
      <c r="H126" s="19">
        <f t="shared" si="8"/>
        <v>290</v>
      </c>
      <c r="J126" s="54"/>
    </row>
    <row r="127" spans="2:14" x14ac:dyDescent="0.25">
      <c r="B127" s="185">
        <v>252</v>
      </c>
      <c r="C127" s="21" t="s">
        <v>86</v>
      </c>
      <c r="D127" s="20" t="s">
        <v>577</v>
      </c>
      <c r="E127" s="28">
        <v>42544</v>
      </c>
      <c r="F127" s="6">
        <v>1580</v>
      </c>
      <c r="G127" s="7"/>
      <c r="H127" s="19">
        <f t="shared" si="8"/>
        <v>1580</v>
      </c>
      <c r="J127" s="54"/>
    </row>
    <row r="128" spans="2:14" x14ac:dyDescent="0.25">
      <c r="B128" s="185">
        <v>253</v>
      </c>
      <c r="C128" s="21" t="s">
        <v>95</v>
      </c>
      <c r="D128" s="20" t="s">
        <v>450</v>
      </c>
      <c r="E128" s="28">
        <v>42544</v>
      </c>
      <c r="F128" s="6">
        <v>590</v>
      </c>
      <c r="G128" s="7"/>
      <c r="H128" s="19">
        <f t="shared" si="8"/>
        <v>590</v>
      </c>
      <c r="J128" s="54"/>
    </row>
    <row r="129" spans="2:10" x14ac:dyDescent="0.25">
      <c r="B129" s="185" t="s">
        <v>83</v>
      </c>
      <c r="C129" s="21" t="s">
        <v>84</v>
      </c>
      <c r="D129" s="20" t="s">
        <v>573</v>
      </c>
      <c r="E129" s="28">
        <v>42544</v>
      </c>
      <c r="F129" s="125">
        <v>290</v>
      </c>
      <c r="G129" s="7"/>
      <c r="H129" s="19">
        <f t="shared" si="8"/>
        <v>290</v>
      </c>
      <c r="J129" s="54"/>
    </row>
    <row r="130" spans="2:10" x14ac:dyDescent="0.25">
      <c r="B130" s="185" t="s">
        <v>83</v>
      </c>
      <c r="C130" s="21" t="s">
        <v>84</v>
      </c>
      <c r="D130" s="20" t="s">
        <v>574</v>
      </c>
      <c r="E130" s="28">
        <v>42544</v>
      </c>
      <c r="F130" s="125">
        <v>290</v>
      </c>
      <c r="G130" s="7"/>
      <c r="H130" s="19">
        <f t="shared" si="8"/>
        <v>290</v>
      </c>
      <c r="J130" s="54"/>
    </row>
    <row r="131" spans="2:10" x14ac:dyDescent="0.25">
      <c r="B131" s="185">
        <v>254</v>
      </c>
      <c r="C131" s="21" t="s">
        <v>86</v>
      </c>
      <c r="D131" s="20" t="s">
        <v>578</v>
      </c>
      <c r="E131" s="28">
        <v>42545</v>
      </c>
      <c r="F131" s="125">
        <v>690</v>
      </c>
      <c r="G131" s="7"/>
      <c r="H131" s="19">
        <f t="shared" si="8"/>
        <v>690</v>
      </c>
      <c r="J131" s="54"/>
    </row>
    <row r="132" spans="2:10" x14ac:dyDescent="0.25">
      <c r="B132" s="185">
        <v>255</v>
      </c>
      <c r="C132" s="21" t="s">
        <v>86</v>
      </c>
      <c r="D132" s="20" t="s">
        <v>456</v>
      </c>
      <c r="E132" s="28">
        <v>42545</v>
      </c>
      <c r="F132" s="6">
        <v>1290</v>
      </c>
      <c r="G132" s="7"/>
      <c r="H132" s="19">
        <f t="shared" si="8"/>
        <v>1290</v>
      </c>
      <c r="J132" s="54"/>
    </row>
    <row r="133" spans="2:10" x14ac:dyDescent="0.25">
      <c r="B133" s="195">
        <v>256</v>
      </c>
      <c r="C133" s="15" t="s">
        <v>95</v>
      </c>
      <c r="D133" s="16" t="s">
        <v>579</v>
      </c>
      <c r="E133" s="17">
        <v>42545</v>
      </c>
      <c r="F133" s="51">
        <v>390</v>
      </c>
      <c r="G133" s="7"/>
      <c r="H133" s="19">
        <f t="shared" si="8"/>
        <v>390</v>
      </c>
      <c r="J133" s="54"/>
    </row>
    <row r="134" spans="2:10" x14ac:dyDescent="0.25">
      <c r="B134" s="185">
        <v>257</v>
      </c>
      <c r="C134" s="21" t="s">
        <v>86</v>
      </c>
      <c r="D134" s="20" t="s">
        <v>580</v>
      </c>
      <c r="E134" s="28">
        <v>42545</v>
      </c>
      <c r="F134" s="6">
        <v>590</v>
      </c>
      <c r="G134" s="7"/>
      <c r="H134" s="19">
        <f t="shared" si="8"/>
        <v>590</v>
      </c>
      <c r="J134" s="54"/>
    </row>
    <row r="135" spans="2:10" x14ac:dyDescent="0.25">
      <c r="B135" s="185">
        <v>258</v>
      </c>
      <c r="C135" s="21" t="s">
        <v>86</v>
      </c>
      <c r="D135" s="20" t="s">
        <v>581</v>
      </c>
      <c r="E135" s="28">
        <v>42545</v>
      </c>
      <c r="F135" s="6">
        <v>990</v>
      </c>
      <c r="G135" s="7"/>
      <c r="H135" s="19">
        <f t="shared" si="8"/>
        <v>990</v>
      </c>
      <c r="J135" s="54"/>
    </row>
    <row r="136" spans="2:10" x14ac:dyDescent="0.25">
      <c r="B136" s="185">
        <v>259</v>
      </c>
      <c r="C136" s="21" t="s">
        <v>86</v>
      </c>
      <c r="D136" s="20" t="s">
        <v>582</v>
      </c>
      <c r="E136" s="28">
        <v>42545</v>
      </c>
      <c r="F136" s="6">
        <v>590</v>
      </c>
      <c r="G136" s="7"/>
      <c r="H136" s="19">
        <f t="shared" si="8"/>
        <v>590</v>
      </c>
      <c r="J136" s="54"/>
    </row>
    <row r="137" spans="2:10" x14ac:dyDescent="0.25">
      <c r="B137" s="185">
        <v>260</v>
      </c>
      <c r="C137" s="21" t="s">
        <v>86</v>
      </c>
      <c r="D137" s="20" t="s">
        <v>569</v>
      </c>
      <c r="E137" s="28">
        <v>42545</v>
      </c>
      <c r="F137" s="6">
        <v>990</v>
      </c>
      <c r="G137" s="7"/>
      <c r="H137" s="19">
        <f t="shared" si="8"/>
        <v>990</v>
      </c>
      <c r="J137" s="54"/>
    </row>
    <row r="138" spans="2:10" x14ac:dyDescent="0.25">
      <c r="B138" s="185">
        <v>261</v>
      </c>
      <c r="C138" s="21" t="s">
        <v>86</v>
      </c>
      <c r="D138" s="20" t="s">
        <v>583</v>
      </c>
      <c r="E138" s="28">
        <v>42545</v>
      </c>
      <c r="F138" s="6">
        <v>810</v>
      </c>
      <c r="G138" s="7"/>
      <c r="H138" s="19">
        <f t="shared" si="8"/>
        <v>810</v>
      </c>
      <c r="J138" s="54"/>
    </row>
    <row r="139" spans="2:10" x14ac:dyDescent="0.25">
      <c r="B139" s="185">
        <v>263</v>
      </c>
      <c r="C139" s="21" t="s">
        <v>86</v>
      </c>
      <c r="D139" s="21" t="s">
        <v>591</v>
      </c>
      <c r="E139" s="28">
        <v>42548</v>
      </c>
      <c r="F139" s="6">
        <v>590</v>
      </c>
      <c r="G139" s="7"/>
      <c r="H139" s="19">
        <f t="shared" si="8"/>
        <v>590</v>
      </c>
      <c r="J139" s="54"/>
    </row>
    <row r="140" spans="2:10" x14ac:dyDescent="0.25">
      <c r="B140" s="185" t="s">
        <v>83</v>
      </c>
      <c r="C140" s="21" t="s">
        <v>86</v>
      </c>
      <c r="D140" s="20" t="s">
        <v>575</v>
      </c>
      <c r="E140" s="28">
        <v>42548</v>
      </c>
      <c r="F140" s="125">
        <v>230</v>
      </c>
      <c r="G140" s="7"/>
      <c r="H140" s="19">
        <f t="shared" si="8"/>
        <v>230</v>
      </c>
      <c r="J140" s="54"/>
    </row>
    <row r="141" spans="2:10" x14ac:dyDescent="0.25">
      <c r="B141" s="185">
        <v>264</v>
      </c>
      <c r="C141" s="21" t="s">
        <v>86</v>
      </c>
      <c r="D141" s="20" t="s">
        <v>594</v>
      </c>
      <c r="E141" s="28">
        <v>42549</v>
      </c>
      <c r="F141" s="6">
        <v>790</v>
      </c>
      <c r="G141" s="7"/>
      <c r="H141" s="19">
        <f t="shared" si="8"/>
        <v>790</v>
      </c>
      <c r="J141" s="54"/>
    </row>
    <row r="142" spans="2:10" x14ac:dyDescent="0.25">
      <c r="B142" s="185">
        <v>265</v>
      </c>
      <c r="C142" s="21" t="s">
        <v>86</v>
      </c>
      <c r="D142" s="20" t="s">
        <v>238</v>
      </c>
      <c r="E142" s="28">
        <v>42549</v>
      </c>
      <c r="F142" s="6">
        <v>3240</v>
      </c>
      <c r="G142" s="7"/>
      <c r="H142" s="19">
        <f t="shared" si="8"/>
        <v>3240</v>
      </c>
      <c r="J142" s="54"/>
    </row>
    <row r="143" spans="2:10" x14ac:dyDescent="0.25">
      <c r="B143" s="185">
        <v>266</v>
      </c>
      <c r="C143" s="21" t="s">
        <v>86</v>
      </c>
      <c r="D143" s="20" t="s">
        <v>251</v>
      </c>
      <c r="E143" s="28">
        <v>42549</v>
      </c>
      <c r="F143" s="6">
        <v>1290</v>
      </c>
      <c r="G143" s="7"/>
      <c r="H143" s="19">
        <f t="shared" si="8"/>
        <v>1290</v>
      </c>
      <c r="J143" s="54"/>
    </row>
    <row r="144" spans="2:10" x14ac:dyDescent="0.25">
      <c r="B144" s="185">
        <v>267</v>
      </c>
      <c r="C144" s="21" t="s">
        <v>86</v>
      </c>
      <c r="D144" s="20" t="s">
        <v>571</v>
      </c>
      <c r="E144" s="28">
        <v>42550</v>
      </c>
      <c r="F144" s="6">
        <v>616</v>
      </c>
      <c r="G144" s="7"/>
      <c r="H144" s="19">
        <f t="shared" si="8"/>
        <v>616</v>
      </c>
      <c r="J144" s="54"/>
    </row>
    <row r="145" spans="2:10" x14ac:dyDescent="0.25">
      <c r="B145" s="185">
        <v>268</v>
      </c>
      <c r="C145" s="21" t="s">
        <v>86</v>
      </c>
      <c r="D145" s="20" t="s">
        <v>571</v>
      </c>
      <c r="E145" s="28">
        <v>42550</v>
      </c>
      <c r="F145" s="6">
        <v>590</v>
      </c>
      <c r="G145" s="7"/>
      <c r="H145" s="19">
        <f t="shared" si="8"/>
        <v>590</v>
      </c>
      <c r="J145" s="54"/>
    </row>
    <row r="146" spans="2:10" x14ac:dyDescent="0.25">
      <c r="B146" s="185">
        <v>269</v>
      </c>
      <c r="C146" s="21" t="s">
        <v>95</v>
      </c>
      <c r="D146" s="20" t="s">
        <v>595</v>
      </c>
      <c r="E146" s="28">
        <v>42550</v>
      </c>
      <c r="F146" s="6">
        <v>490</v>
      </c>
      <c r="G146" s="7"/>
      <c r="H146" s="19">
        <f t="shared" si="8"/>
        <v>490</v>
      </c>
      <c r="J146" s="54"/>
    </row>
    <row r="147" spans="2:10" x14ac:dyDescent="0.25">
      <c r="B147" s="185">
        <v>270</v>
      </c>
      <c r="C147" s="21" t="s">
        <v>95</v>
      </c>
      <c r="D147" s="20" t="s">
        <v>596</v>
      </c>
      <c r="E147" s="28">
        <v>42550</v>
      </c>
      <c r="F147" s="6">
        <v>550</v>
      </c>
      <c r="G147" s="7"/>
      <c r="H147" s="19">
        <f t="shared" si="8"/>
        <v>550</v>
      </c>
      <c r="J147" s="54"/>
    </row>
    <row r="148" spans="2:10" x14ac:dyDescent="0.25">
      <c r="B148" s="185">
        <v>271</v>
      </c>
      <c r="C148" s="21" t="s">
        <v>86</v>
      </c>
      <c r="D148" s="20" t="s">
        <v>597</v>
      </c>
      <c r="E148" s="28">
        <v>42551</v>
      </c>
      <c r="F148" s="6">
        <v>490</v>
      </c>
      <c r="G148" s="7"/>
      <c r="H148" s="19">
        <f t="shared" si="8"/>
        <v>490</v>
      </c>
      <c r="J148" s="54"/>
    </row>
    <row r="149" spans="2:10" x14ac:dyDescent="0.25">
      <c r="B149" s="185">
        <v>272</v>
      </c>
      <c r="C149" s="21" t="s">
        <v>86</v>
      </c>
      <c r="D149" s="20" t="s">
        <v>180</v>
      </c>
      <c r="E149" s="28">
        <v>42551</v>
      </c>
      <c r="F149" s="6">
        <v>391.79</v>
      </c>
      <c r="G149" s="7"/>
      <c r="H149" s="19">
        <f t="shared" si="8"/>
        <v>391.79</v>
      </c>
      <c r="J149" s="54"/>
    </row>
    <row r="150" spans="2:10" x14ac:dyDescent="0.25">
      <c r="B150" s="185" t="s">
        <v>83</v>
      </c>
      <c r="C150" s="21" t="s">
        <v>84</v>
      </c>
      <c r="D150" s="20" t="s">
        <v>584</v>
      </c>
      <c r="E150" s="28">
        <v>42551</v>
      </c>
      <c r="F150" s="6">
        <v>290</v>
      </c>
      <c r="G150" s="7"/>
      <c r="H150" s="19">
        <f t="shared" si="8"/>
        <v>290</v>
      </c>
      <c r="J150" s="54"/>
    </row>
    <row r="151" spans="2:10" x14ac:dyDescent="0.25">
      <c r="B151" s="185">
        <v>273</v>
      </c>
      <c r="C151" s="21" t="s">
        <v>86</v>
      </c>
      <c r="D151" s="20" t="s">
        <v>605</v>
      </c>
      <c r="E151" s="28">
        <v>42552</v>
      </c>
      <c r="F151" s="6">
        <v>714.26</v>
      </c>
      <c r="G151" s="7"/>
      <c r="H151" s="19">
        <f t="shared" si="8"/>
        <v>714.26</v>
      </c>
      <c r="J151" s="54"/>
    </row>
    <row r="152" spans="2:10" x14ac:dyDescent="0.25">
      <c r="B152" s="185"/>
      <c r="C152" s="21"/>
      <c r="D152" s="20"/>
      <c r="E152" s="28"/>
      <c r="F152" s="6"/>
      <c r="G152" s="7"/>
      <c r="H152" s="19">
        <f t="shared" ref="H152:H153" si="9">F152-G152</f>
        <v>0</v>
      </c>
    </row>
    <row r="153" spans="2:10" ht="15" thickBot="1" x14ac:dyDescent="0.3">
      <c r="B153" s="185"/>
      <c r="C153" s="21"/>
      <c r="D153" s="20"/>
      <c r="E153" s="28"/>
      <c r="F153" s="6"/>
      <c r="G153" s="7"/>
      <c r="H153" s="19">
        <f t="shared" si="9"/>
        <v>0</v>
      </c>
    </row>
    <row r="154" spans="2:10" ht="15" thickBot="1" x14ac:dyDescent="0.3">
      <c r="E154" s="70"/>
      <c r="F154" s="62">
        <f>SUM(F109:F153)</f>
        <v>39450.639999999999</v>
      </c>
      <c r="G154" s="36"/>
      <c r="H154" s="63">
        <f>SUM(H109:H153)</f>
        <v>39450.639999999999</v>
      </c>
    </row>
    <row r="155" spans="2:10" x14ac:dyDescent="0.25">
      <c r="E155" s="38" t="s">
        <v>8</v>
      </c>
      <c r="F155" s="39">
        <f>TOTAL!H11</f>
        <v>56000</v>
      </c>
      <c r="G155" s="40" t="s">
        <v>16</v>
      </c>
      <c r="H155" s="71">
        <f>H154/F155%</f>
        <v>70.447571428571422</v>
      </c>
      <c r="I155" s="58" t="s">
        <v>10</v>
      </c>
    </row>
    <row r="156" spans="2:10" x14ac:dyDescent="0.25">
      <c r="E156" s="38"/>
      <c r="F156" s="39"/>
      <c r="G156" s="40"/>
      <c r="H156" s="71"/>
      <c r="I156" s="58"/>
    </row>
    <row r="157" spans="2:10" ht="15" thickBot="1" x14ac:dyDescent="0.3">
      <c r="E157" s="38"/>
      <c r="F157" s="39"/>
      <c r="G157" s="40"/>
      <c r="H157" s="71"/>
      <c r="I157" s="58"/>
    </row>
    <row r="158" spans="2:10" ht="18.75" thickTop="1" x14ac:dyDescent="0.25">
      <c r="B158" s="207" t="s">
        <v>150</v>
      </c>
      <c r="C158" s="76"/>
      <c r="D158" s="83"/>
      <c r="E158" s="77"/>
      <c r="F158" s="77"/>
      <c r="G158" s="77"/>
      <c r="H158" s="77"/>
      <c r="I158" s="58"/>
    </row>
    <row r="159" spans="2:10" x14ac:dyDescent="0.25">
      <c r="B159" s="199" t="s">
        <v>1</v>
      </c>
      <c r="C159" s="9" t="s">
        <v>2</v>
      </c>
      <c r="D159" s="10" t="s">
        <v>3</v>
      </c>
      <c r="E159" s="247" t="s">
        <v>4</v>
      </c>
      <c r="F159" s="12" t="s">
        <v>5</v>
      </c>
      <c r="G159" s="7" t="s">
        <v>12</v>
      </c>
      <c r="H159" s="13" t="s">
        <v>7</v>
      </c>
      <c r="I159" s="58"/>
    </row>
    <row r="160" spans="2:10" x14ac:dyDescent="0.25">
      <c r="B160" s="182">
        <v>236</v>
      </c>
      <c r="C160" s="182" t="s">
        <v>151</v>
      </c>
      <c r="D160" s="183" t="s">
        <v>152</v>
      </c>
      <c r="E160" s="178">
        <v>42530</v>
      </c>
      <c r="F160" s="177">
        <v>24026.84</v>
      </c>
      <c r="G160" s="175"/>
      <c r="H160" s="19">
        <f t="shared" ref="H160:H163" si="10">F160-G160</f>
        <v>24026.84</v>
      </c>
      <c r="I160" s="58"/>
    </row>
    <row r="161" spans="2:14" x14ac:dyDescent="0.25">
      <c r="B161" s="182">
        <v>249</v>
      </c>
      <c r="C161" s="182" t="s">
        <v>151</v>
      </c>
      <c r="D161" s="183" t="s">
        <v>152</v>
      </c>
      <c r="E161" s="178">
        <v>42541</v>
      </c>
      <c r="F161" s="177">
        <v>46326.44</v>
      </c>
      <c r="G161" s="175"/>
      <c r="H161" s="19">
        <f t="shared" si="10"/>
        <v>46326.44</v>
      </c>
      <c r="I161" s="58"/>
    </row>
    <row r="162" spans="2:14" x14ac:dyDescent="0.25">
      <c r="B162" s="182"/>
      <c r="C162" s="29"/>
      <c r="D162" s="30"/>
      <c r="E162" s="31"/>
      <c r="F162" s="6"/>
      <c r="G162" s="7"/>
      <c r="H162" s="19">
        <f t="shared" si="10"/>
        <v>0</v>
      </c>
      <c r="I162" s="58"/>
    </row>
    <row r="163" spans="2:14" ht="15" thickBot="1" x14ac:dyDescent="0.3">
      <c r="B163" s="182"/>
      <c r="C163" s="29"/>
      <c r="D163" s="30"/>
      <c r="E163" s="31"/>
      <c r="F163" s="6"/>
      <c r="G163" s="7"/>
      <c r="H163" s="19">
        <f t="shared" si="10"/>
        <v>0</v>
      </c>
      <c r="I163" s="58"/>
    </row>
    <row r="164" spans="2:14" ht="15" thickBot="1" x14ac:dyDescent="0.3">
      <c r="B164" s="182"/>
      <c r="C164" s="29"/>
      <c r="D164" s="30"/>
      <c r="E164" s="31"/>
      <c r="F164" s="35"/>
      <c r="G164" s="36"/>
      <c r="H164" s="37">
        <f>SUM(H160:H163)</f>
        <v>70353.279999999999</v>
      </c>
      <c r="I164" s="58"/>
    </row>
    <row r="165" spans="2:14" x14ac:dyDescent="0.25">
      <c r="E165" s="38"/>
      <c r="F165" s="39"/>
      <c r="G165" s="40"/>
      <c r="H165" s="71"/>
      <c r="I165" s="58"/>
    </row>
    <row r="166" spans="2:14" ht="15" thickBot="1" x14ac:dyDescent="0.3">
      <c r="B166" s="206"/>
      <c r="C166" s="79"/>
      <c r="D166" s="80"/>
      <c r="E166" s="81"/>
      <c r="F166" s="82"/>
      <c r="G166" s="7"/>
      <c r="H166" s="74"/>
    </row>
    <row r="167" spans="2:14" ht="18.75" thickTop="1" x14ac:dyDescent="0.25">
      <c r="B167" s="207" t="s">
        <v>44</v>
      </c>
      <c r="C167" s="76"/>
      <c r="D167" s="83"/>
      <c r="E167" s="77"/>
      <c r="F167" s="84"/>
      <c r="G167" s="78"/>
      <c r="H167" s="50"/>
      <c r="J167" s="14"/>
    </row>
    <row r="168" spans="2:14" x14ac:dyDescent="0.25">
      <c r="B168" s="199" t="s">
        <v>1</v>
      </c>
      <c r="C168" s="9" t="s">
        <v>2</v>
      </c>
      <c r="D168" s="10" t="s">
        <v>3</v>
      </c>
      <c r="E168" s="11" t="s">
        <v>4</v>
      </c>
      <c r="F168" s="12" t="s">
        <v>5</v>
      </c>
      <c r="G168" s="7" t="s">
        <v>12</v>
      </c>
      <c r="H168" s="13" t="s">
        <v>7</v>
      </c>
    </row>
    <row r="169" spans="2:14" s="14" customFormat="1" x14ac:dyDescent="0.25">
      <c r="B169" s="194">
        <v>231</v>
      </c>
      <c r="C169" s="29" t="s">
        <v>102</v>
      </c>
      <c r="D169" s="30" t="s">
        <v>537</v>
      </c>
      <c r="E169" s="31">
        <v>42522</v>
      </c>
      <c r="F169" s="6">
        <v>350</v>
      </c>
      <c r="G169" s="7"/>
      <c r="H169" s="19">
        <f t="shared" ref="H169:H181" si="11">F169-G169</f>
        <v>350</v>
      </c>
      <c r="I169" s="1"/>
      <c r="J169" s="1"/>
      <c r="K169" s="1"/>
      <c r="L169" s="1"/>
      <c r="M169" s="1"/>
      <c r="N169" s="1"/>
    </row>
    <row r="170" spans="2:14" s="14" customFormat="1" x14ac:dyDescent="0.25">
      <c r="B170" s="185">
        <v>1354</v>
      </c>
      <c r="C170" s="21" t="s">
        <v>102</v>
      </c>
      <c r="D170" s="20" t="s">
        <v>257</v>
      </c>
      <c r="E170" s="28">
        <v>42530</v>
      </c>
      <c r="F170" s="6">
        <v>1750</v>
      </c>
      <c r="G170" s="7">
        <v>60.35</v>
      </c>
      <c r="H170" s="19">
        <f t="shared" si="11"/>
        <v>1689.65</v>
      </c>
      <c r="I170" s="1"/>
      <c r="J170" s="1"/>
      <c r="K170" s="1"/>
      <c r="L170" s="1"/>
      <c r="M170" s="1"/>
      <c r="N170" s="1"/>
    </row>
    <row r="171" spans="2:14" s="14" customFormat="1" x14ac:dyDescent="0.25">
      <c r="B171" s="185">
        <v>1355</v>
      </c>
      <c r="C171" s="21" t="s">
        <v>102</v>
      </c>
      <c r="D171" s="20" t="s">
        <v>199</v>
      </c>
      <c r="E171" s="28">
        <v>42530</v>
      </c>
      <c r="F171" s="6">
        <v>266</v>
      </c>
      <c r="G171" s="7">
        <v>66</v>
      </c>
      <c r="H171" s="19">
        <f t="shared" si="11"/>
        <v>200</v>
      </c>
      <c r="I171" s="1"/>
      <c r="J171" s="1"/>
    </row>
    <row r="172" spans="2:14" s="14" customFormat="1" x14ac:dyDescent="0.25">
      <c r="B172" s="185">
        <v>1358</v>
      </c>
      <c r="C172" s="21" t="s">
        <v>102</v>
      </c>
      <c r="D172" s="20" t="s">
        <v>557</v>
      </c>
      <c r="E172" s="28">
        <v>42531</v>
      </c>
      <c r="F172" s="6">
        <v>350</v>
      </c>
      <c r="G172" s="7"/>
      <c r="H172" s="19">
        <f t="shared" si="11"/>
        <v>350</v>
      </c>
      <c r="I172" s="58"/>
      <c r="J172" s="54"/>
    </row>
    <row r="173" spans="2:14" s="14" customFormat="1" x14ac:dyDescent="0.25">
      <c r="B173" s="185">
        <v>1363</v>
      </c>
      <c r="C173" s="21" t="s">
        <v>102</v>
      </c>
      <c r="D173" s="20" t="s">
        <v>559</v>
      </c>
      <c r="E173" s="28">
        <v>42535</v>
      </c>
      <c r="F173" s="6">
        <v>376</v>
      </c>
      <c r="G173" s="7">
        <v>26</v>
      </c>
      <c r="H173" s="19">
        <f t="shared" si="11"/>
        <v>350</v>
      </c>
      <c r="I173" s="58"/>
      <c r="J173" s="54"/>
    </row>
    <row r="174" spans="2:14" s="14" customFormat="1" x14ac:dyDescent="0.25">
      <c r="B174" s="185">
        <v>1364</v>
      </c>
      <c r="C174" s="21" t="s">
        <v>102</v>
      </c>
      <c r="D174" s="20" t="s">
        <v>560</v>
      </c>
      <c r="E174" s="28">
        <v>42535</v>
      </c>
      <c r="F174" s="6">
        <v>732</v>
      </c>
      <c r="G174" s="7">
        <v>32</v>
      </c>
      <c r="H174" s="19">
        <f t="shared" si="11"/>
        <v>700</v>
      </c>
      <c r="I174" s="58"/>
      <c r="J174" s="54"/>
    </row>
    <row r="175" spans="2:14" s="14" customFormat="1" x14ac:dyDescent="0.25">
      <c r="B175" s="185">
        <v>1365</v>
      </c>
      <c r="C175" s="21" t="s">
        <v>102</v>
      </c>
      <c r="D175" s="20" t="s">
        <v>561</v>
      </c>
      <c r="E175" s="28">
        <v>42535</v>
      </c>
      <c r="F175" s="6">
        <v>350</v>
      </c>
      <c r="G175" s="7"/>
      <c r="H175" s="19">
        <f t="shared" si="11"/>
        <v>350</v>
      </c>
      <c r="I175" s="58"/>
      <c r="J175" s="54"/>
    </row>
    <row r="176" spans="2:14" s="14" customFormat="1" x14ac:dyDescent="0.25">
      <c r="B176" s="185" t="s">
        <v>83</v>
      </c>
      <c r="C176" s="21" t="s">
        <v>102</v>
      </c>
      <c r="D176" s="20" t="s">
        <v>556</v>
      </c>
      <c r="E176" s="28">
        <v>42536</v>
      </c>
      <c r="F176" s="6">
        <v>200</v>
      </c>
      <c r="G176" s="7"/>
      <c r="H176" s="19">
        <f t="shared" si="11"/>
        <v>200</v>
      </c>
      <c r="I176" s="58"/>
      <c r="J176" s="54"/>
    </row>
    <row r="177" spans="2:14" s="14" customFormat="1" x14ac:dyDescent="0.25">
      <c r="B177" s="185">
        <v>1368</v>
      </c>
      <c r="C177" s="21" t="s">
        <v>102</v>
      </c>
      <c r="D177" s="20" t="s">
        <v>563</v>
      </c>
      <c r="E177" s="28">
        <v>42538</v>
      </c>
      <c r="F177" s="6">
        <v>350</v>
      </c>
      <c r="G177" s="7"/>
      <c r="H177" s="19">
        <f t="shared" si="11"/>
        <v>350</v>
      </c>
      <c r="I177" s="58"/>
      <c r="J177" s="54"/>
    </row>
    <row r="178" spans="2:14" s="14" customFormat="1" x14ac:dyDescent="0.25">
      <c r="B178" s="185">
        <v>1382</v>
      </c>
      <c r="C178" s="21" t="s">
        <v>102</v>
      </c>
      <c r="D178" s="21" t="s">
        <v>587</v>
      </c>
      <c r="E178" s="28">
        <v>42545</v>
      </c>
      <c r="F178" s="6">
        <v>175</v>
      </c>
      <c r="G178" s="7"/>
      <c r="H178" s="19">
        <f t="shared" si="11"/>
        <v>175</v>
      </c>
      <c r="I178" s="58"/>
      <c r="J178" s="54"/>
    </row>
    <row r="179" spans="2:14" s="14" customFormat="1" x14ac:dyDescent="0.25">
      <c r="B179" s="185">
        <v>1384</v>
      </c>
      <c r="C179" s="21" t="s">
        <v>102</v>
      </c>
      <c r="D179" s="20" t="s">
        <v>591</v>
      </c>
      <c r="E179" s="28">
        <v>42548</v>
      </c>
      <c r="F179" s="6">
        <v>400</v>
      </c>
      <c r="G179" s="7"/>
      <c r="H179" s="19">
        <f t="shared" si="11"/>
        <v>400</v>
      </c>
      <c r="I179" s="58"/>
      <c r="J179" s="54"/>
    </row>
    <row r="180" spans="2:14" s="14" customFormat="1" x14ac:dyDescent="0.25">
      <c r="B180" s="185">
        <v>1390</v>
      </c>
      <c r="C180" s="21" t="s">
        <v>102</v>
      </c>
      <c r="D180" s="20" t="s">
        <v>588</v>
      </c>
      <c r="E180" s="28">
        <v>42549</v>
      </c>
      <c r="F180" s="6">
        <v>175</v>
      </c>
      <c r="G180" s="7"/>
      <c r="H180" s="19">
        <f t="shared" si="11"/>
        <v>175</v>
      </c>
      <c r="I180" s="58"/>
      <c r="J180" s="54"/>
    </row>
    <row r="181" spans="2:14" s="14" customFormat="1" x14ac:dyDescent="0.25">
      <c r="B181" s="182">
        <v>1393</v>
      </c>
      <c r="C181" s="29" t="s">
        <v>102</v>
      </c>
      <c r="D181" s="30" t="s">
        <v>610</v>
      </c>
      <c r="E181" s="31">
        <v>42551</v>
      </c>
      <c r="F181" s="6">
        <v>300</v>
      </c>
      <c r="G181" s="7"/>
      <c r="H181" s="19">
        <f t="shared" si="11"/>
        <v>300</v>
      </c>
      <c r="I181" s="58"/>
      <c r="J181" s="54"/>
    </row>
    <row r="182" spans="2:14" s="14" customFormat="1" x14ac:dyDescent="0.25">
      <c r="B182" s="185"/>
      <c r="C182" s="21"/>
      <c r="D182" s="20"/>
      <c r="E182" s="28"/>
      <c r="F182" s="6"/>
      <c r="G182" s="7"/>
      <c r="H182" s="19">
        <f t="shared" ref="H182:H183" si="12">F182-G182</f>
        <v>0</v>
      </c>
      <c r="I182" s="58"/>
      <c r="J182" s="54"/>
    </row>
    <row r="183" spans="2:14" ht="15" thickBot="1" x14ac:dyDescent="0.3">
      <c r="B183" s="185"/>
      <c r="C183" s="21"/>
      <c r="D183" s="20"/>
      <c r="E183" s="28"/>
      <c r="F183" s="6"/>
      <c r="G183" s="7"/>
      <c r="H183" s="19">
        <f t="shared" si="12"/>
        <v>0</v>
      </c>
      <c r="I183" s="101">
        <f>SUM(H171,H154,H109,H78,H63,H51,H38)</f>
        <v>47015.579999999994</v>
      </c>
      <c r="K183" s="14"/>
      <c r="L183" s="14"/>
      <c r="M183" s="14"/>
      <c r="N183" s="14"/>
    </row>
    <row r="184" spans="2:14" ht="15" thickBot="1" x14ac:dyDescent="0.3">
      <c r="B184" s="208"/>
      <c r="C184" s="85"/>
      <c r="D184" s="14"/>
      <c r="E184" s="86"/>
      <c r="F184" s="62">
        <f>SUM(F169:F183)</f>
        <v>5774</v>
      </c>
      <c r="G184" s="36">
        <f>SUM(G169:G183)</f>
        <v>184.35</v>
      </c>
      <c r="H184" s="63">
        <f>SUM(H169:H183)</f>
        <v>5589.65</v>
      </c>
      <c r="I184" s="14"/>
      <c r="K184" s="14"/>
      <c r="L184" s="14"/>
      <c r="M184" s="14"/>
      <c r="N184" s="14"/>
    </row>
    <row r="185" spans="2:14" x14ac:dyDescent="0.25">
      <c r="E185" s="38" t="s">
        <v>8</v>
      </c>
      <c r="F185" s="39">
        <f>TOTAL!H12</f>
        <v>1470</v>
      </c>
      <c r="G185" s="40" t="s">
        <v>16</v>
      </c>
      <c r="H185" s="71">
        <f>H184/F185%</f>
        <v>380.24829931972789</v>
      </c>
      <c r="I185" s="58" t="s">
        <v>10</v>
      </c>
    </row>
    <row r="186" spans="2:14" ht="15" thickBot="1" x14ac:dyDescent="0.3">
      <c r="B186" s="201"/>
      <c r="C186" s="3"/>
      <c r="D186" s="87"/>
      <c r="E186" s="88"/>
      <c r="F186" s="89"/>
      <c r="G186" s="90"/>
      <c r="H186" s="8"/>
      <c r="I186" s="14"/>
    </row>
    <row r="187" spans="2:14" ht="15" thickBot="1" x14ac:dyDescent="0.3">
      <c r="D187" s="288" t="s">
        <v>629</v>
      </c>
      <c r="E187" s="288"/>
      <c r="F187" s="288"/>
      <c r="G187" s="288"/>
      <c r="H187" s="91">
        <f>SUM(SUM(H3)+SUM(H51)+SUM(H78)+SUM(H109)+SUM(H169))</f>
        <v>33526.42</v>
      </c>
      <c r="I187" s="14"/>
    </row>
    <row r="188" spans="2:14" ht="15" thickBot="1" x14ac:dyDescent="0.3">
      <c r="D188" s="285" t="s">
        <v>630</v>
      </c>
      <c r="E188" s="285"/>
      <c r="F188" s="285"/>
      <c r="G188" s="285"/>
      <c r="H188" s="92">
        <f>SUM(SUM(H4:H8)+SUM(H63:H66)+SUM(H79:H84)+SUM(H110:H116)+SUM(H160)+SUM(H170:H172))</f>
        <v>156921.88</v>
      </c>
      <c r="I188" s="14"/>
    </row>
    <row r="189" spans="2:14" ht="15" thickBot="1" x14ac:dyDescent="0.3">
      <c r="D189" s="286" t="s">
        <v>631</v>
      </c>
      <c r="E189" s="286"/>
      <c r="F189" s="286"/>
      <c r="G189" s="286"/>
      <c r="H189" s="93">
        <f>SUM(SUM(H9:H12)+SUM(H52)+SUM(H85:H86)+SUM(H117:H124)+SUM(H173:H177))</f>
        <v>166884.06999999998</v>
      </c>
      <c r="I189" s="14"/>
    </row>
    <row r="190" spans="2:14" ht="15" thickBot="1" x14ac:dyDescent="0.3">
      <c r="D190" s="287" t="s">
        <v>632</v>
      </c>
      <c r="E190" s="287"/>
      <c r="F190" s="287"/>
      <c r="G190" s="287"/>
      <c r="H190" s="94">
        <f>SUM(SUM(H13:H20)+SUM(H67:H68)+SUM(H87:H93)+SUM(H125:H138)+SUM(H161)+SUM(H178))</f>
        <v>230756.44</v>
      </c>
      <c r="I190" s="14"/>
    </row>
    <row r="191" spans="2:14" ht="15" thickBot="1" x14ac:dyDescent="0.3">
      <c r="D191" s="283" t="s">
        <v>633</v>
      </c>
      <c r="E191" s="283"/>
      <c r="F191" s="283"/>
      <c r="G191" s="283"/>
      <c r="H191" s="95">
        <f>SUM(SUM(H21:H31)+SUM(H53:H54)+SUM(H69:H70)+SUM(H94:H101)+SUM(H139:H151)+SUM(H179:H181))</f>
        <v>218273.07</v>
      </c>
      <c r="I191" s="14"/>
    </row>
    <row r="192" spans="2:14" ht="15" thickBot="1" x14ac:dyDescent="0.3">
      <c r="D192" s="96"/>
      <c r="E192" s="97"/>
      <c r="F192" s="98"/>
      <c r="G192" s="99"/>
      <c r="H192" s="100">
        <f>SUM(H187:H191)</f>
        <v>806361.88000000012</v>
      </c>
      <c r="I192" s="101">
        <f>SUM(H33,H46,H58,H73,H104,H154,H184,H164)</f>
        <v>806361.88</v>
      </c>
    </row>
    <row r="196" spans="1:14" s="104" customFormat="1" x14ac:dyDescent="0.25">
      <c r="A196" s="1"/>
      <c r="B196" s="205"/>
      <c r="C196" s="69"/>
      <c r="D196" s="1"/>
      <c r="E196" s="70"/>
      <c r="F196" s="73"/>
      <c r="G196" s="103"/>
      <c r="I196" s="1"/>
      <c r="J196" s="1"/>
      <c r="K196" s="1"/>
      <c r="L196" s="1"/>
      <c r="M196" s="1"/>
      <c r="N196" s="1"/>
    </row>
    <row r="199" spans="1:14" x14ac:dyDescent="0.25">
      <c r="K199" s="104"/>
      <c r="L199" s="104"/>
      <c r="M199" s="104"/>
      <c r="N199" s="104"/>
    </row>
    <row r="203" spans="1:14" s="104" customFormat="1" x14ac:dyDescent="0.25">
      <c r="A203" s="1"/>
      <c r="B203" s="205"/>
      <c r="C203" s="69"/>
      <c r="D203" s="1"/>
      <c r="E203" s="70"/>
      <c r="F203" s="73"/>
      <c r="G203" s="103"/>
      <c r="I203" s="1"/>
      <c r="J203" s="1"/>
      <c r="K203" s="1"/>
      <c r="L203" s="1"/>
      <c r="M203" s="1"/>
      <c r="N203" s="1"/>
    </row>
    <row r="206" spans="1:14" x14ac:dyDescent="0.25">
      <c r="K206" s="104"/>
      <c r="L206" s="104"/>
      <c r="M206" s="104"/>
      <c r="N206" s="104"/>
    </row>
  </sheetData>
  <sortState ref="B63:H70">
    <sortCondition ref="E63:E70"/>
    <sortCondition ref="B63:B70"/>
  </sortState>
  <mergeCells count="6">
    <mergeCell ref="D191:G191"/>
    <mergeCell ref="J1:N1"/>
    <mergeCell ref="D187:G187"/>
    <mergeCell ref="D188:G188"/>
    <mergeCell ref="D189:G189"/>
    <mergeCell ref="D190:G190"/>
  </mergeCells>
  <phoneticPr fontId="38" type="noConversion"/>
  <pageMargins left="0.75" right="0.75" top="1" bottom="1" header="0.49212598499999999" footer="0.49212598499999999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82"/>
  <sheetViews>
    <sheetView showGridLines="0" zoomScale="85" zoomScaleNormal="85" workbookViewId="0"/>
  </sheetViews>
  <sheetFormatPr defaultRowHeight="14.25" x14ac:dyDescent="0.25"/>
  <cols>
    <col min="1" max="1" width="9.140625" style="1" customWidth="1"/>
    <col min="2" max="2" width="11.5703125" style="205" customWidth="1"/>
    <col min="3" max="3" width="22" style="69" customWidth="1"/>
    <col min="4" max="4" width="60.28515625" style="1" bestFit="1" customWidth="1"/>
    <col min="5" max="5" width="18.7109375" style="72" customWidth="1"/>
    <col min="6" max="6" width="16.28515625" style="73" customWidth="1"/>
    <col min="7" max="7" width="16.5703125" style="103" customWidth="1"/>
    <col min="8" max="8" width="23.42578125" style="104" customWidth="1"/>
    <col min="9" max="9" width="34" style="1" customWidth="1"/>
    <col min="10" max="15" width="15.7109375" style="1" customWidth="1"/>
    <col min="16" max="16384" width="9.140625" style="1"/>
  </cols>
  <sheetData>
    <row r="1" spans="1:15" ht="18" x14ac:dyDescent="0.25">
      <c r="B1" s="198" t="s">
        <v>0</v>
      </c>
      <c r="C1" s="3"/>
      <c r="D1" s="4"/>
      <c r="E1" s="5"/>
      <c r="F1" s="6"/>
      <c r="G1" s="7"/>
      <c r="H1" s="8"/>
      <c r="J1" s="284" t="s">
        <v>43</v>
      </c>
      <c r="K1" s="284"/>
      <c r="L1" s="284"/>
      <c r="M1" s="284"/>
      <c r="N1" s="284"/>
      <c r="O1" s="284"/>
    </row>
    <row r="2" spans="1:15" x14ac:dyDescent="0.25">
      <c r="B2" s="199" t="s">
        <v>1</v>
      </c>
      <c r="C2" s="9" t="s">
        <v>2</v>
      </c>
      <c r="D2" s="10" t="s">
        <v>3</v>
      </c>
      <c r="E2" s="11" t="s">
        <v>4</v>
      </c>
      <c r="F2" s="12" t="s">
        <v>5</v>
      </c>
      <c r="G2" s="7" t="s">
        <v>6</v>
      </c>
      <c r="H2" s="13" t="s">
        <v>7</v>
      </c>
      <c r="I2" s="11" t="s">
        <v>42</v>
      </c>
      <c r="J2" s="11" t="s">
        <v>50</v>
      </c>
      <c r="K2" s="11" t="s">
        <v>53</v>
      </c>
      <c r="L2" s="11" t="s">
        <v>51</v>
      </c>
      <c r="M2" s="11" t="s">
        <v>52</v>
      </c>
      <c r="N2" s="251" t="s">
        <v>730</v>
      </c>
      <c r="O2" s="11" t="s">
        <v>54</v>
      </c>
    </row>
    <row r="3" spans="1:15" s="14" customFormat="1" x14ac:dyDescent="0.25">
      <c r="B3" s="185">
        <v>4800</v>
      </c>
      <c r="C3" s="21" t="s">
        <v>181</v>
      </c>
      <c r="D3" s="16" t="s">
        <v>649</v>
      </c>
      <c r="E3" s="17">
        <v>42552</v>
      </c>
      <c r="F3" s="6">
        <v>21900</v>
      </c>
      <c r="G3" s="7"/>
      <c r="H3" s="19">
        <f t="shared" ref="H3:H28" si="0">F3-G3</f>
        <v>21900</v>
      </c>
      <c r="I3" s="137" t="s">
        <v>348</v>
      </c>
      <c r="J3" s="145">
        <v>224.15</v>
      </c>
      <c r="K3" s="145">
        <v>116.95</v>
      </c>
      <c r="L3" s="145"/>
      <c r="M3" s="145">
        <v>146.18</v>
      </c>
      <c r="N3" s="145"/>
      <c r="O3" s="145">
        <v>450</v>
      </c>
    </row>
    <row r="4" spans="1:15" s="14" customFormat="1" x14ac:dyDescent="0.25">
      <c r="A4" s="20"/>
      <c r="B4" s="194">
        <v>4805</v>
      </c>
      <c r="C4" s="231" t="s">
        <v>181</v>
      </c>
      <c r="D4" s="231" t="s">
        <v>650</v>
      </c>
      <c r="E4" s="232">
        <v>42556</v>
      </c>
      <c r="F4" s="233">
        <v>27426.880000000001</v>
      </c>
      <c r="G4" s="25"/>
      <c r="H4" s="19">
        <f t="shared" si="0"/>
        <v>27426.880000000001</v>
      </c>
      <c r="I4" s="137" t="s">
        <v>702</v>
      </c>
      <c r="J4" s="145">
        <v>275.77</v>
      </c>
      <c r="K4" s="145">
        <v>143.88</v>
      </c>
      <c r="L4" s="145">
        <v>179.85</v>
      </c>
      <c r="M4" s="145"/>
      <c r="N4" s="145"/>
      <c r="O4" s="145"/>
    </row>
    <row r="5" spans="1:15" s="14" customFormat="1" x14ac:dyDescent="0.25">
      <c r="A5" s="20"/>
      <c r="B5" s="185">
        <v>4807</v>
      </c>
      <c r="C5" s="231" t="s">
        <v>181</v>
      </c>
      <c r="D5" s="231" t="s">
        <v>650</v>
      </c>
      <c r="E5" s="232">
        <v>42556</v>
      </c>
      <c r="F5" s="237">
        <v>27426.880000000001</v>
      </c>
      <c r="G5" s="7"/>
      <c r="H5" s="19">
        <f t="shared" si="0"/>
        <v>27426.880000000001</v>
      </c>
      <c r="I5" s="137" t="s">
        <v>702</v>
      </c>
      <c r="J5" s="145">
        <v>275.77</v>
      </c>
      <c r="K5" s="145">
        <v>143.88</v>
      </c>
      <c r="L5" s="145">
        <v>179.85</v>
      </c>
      <c r="M5" s="145"/>
      <c r="N5" s="145"/>
      <c r="O5" s="145"/>
    </row>
    <row r="6" spans="1:15" s="14" customFormat="1" x14ac:dyDescent="0.25">
      <c r="A6" s="20"/>
      <c r="B6" s="195">
        <v>1402</v>
      </c>
      <c r="C6" s="15" t="s">
        <v>181</v>
      </c>
      <c r="D6" s="16" t="s">
        <v>643</v>
      </c>
      <c r="E6" s="17">
        <v>42557</v>
      </c>
      <c r="F6" s="18">
        <v>32900</v>
      </c>
      <c r="G6" s="7">
        <v>150</v>
      </c>
      <c r="H6" s="19">
        <f t="shared" si="0"/>
        <v>32750</v>
      </c>
      <c r="I6" s="137" t="s">
        <v>695</v>
      </c>
      <c r="J6" s="145">
        <v>331.79</v>
      </c>
      <c r="K6" s="145">
        <v>173.11</v>
      </c>
      <c r="L6" s="145"/>
      <c r="M6" s="145">
        <v>216.39</v>
      </c>
      <c r="N6" s="145"/>
      <c r="O6" s="145"/>
    </row>
    <row r="7" spans="1:15" x14ac:dyDescent="0.25">
      <c r="A7" s="20"/>
      <c r="B7" s="195">
        <v>1411</v>
      </c>
      <c r="C7" s="15" t="s">
        <v>181</v>
      </c>
      <c r="D7" s="16" t="s">
        <v>644</v>
      </c>
      <c r="E7" s="17">
        <v>42558</v>
      </c>
      <c r="F7" s="18">
        <v>28400</v>
      </c>
      <c r="G7" s="52"/>
      <c r="H7" s="19">
        <f t="shared" si="0"/>
        <v>28400</v>
      </c>
      <c r="I7" s="137" t="s">
        <v>696</v>
      </c>
      <c r="J7" s="145">
        <v>287.88</v>
      </c>
      <c r="K7" s="145">
        <v>150.19999999999999</v>
      </c>
      <c r="L7" s="145"/>
      <c r="M7" s="145">
        <v>187.75</v>
      </c>
      <c r="N7" s="145"/>
      <c r="O7" s="145"/>
    </row>
    <row r="8" spans="1:15" x14ac:dyDescent="0.25">
      <c r="A8" s="20"/>
      <c r="B8" s="194">
        <v>4816</v>
      </c>
      <c r="C8" s="141" t="s">
        <v>181</v>
      </c>
      <c r="D8" s="141" t="s">
        <v>248</v>
      </c>
      <c r="E8" s="23">
        <v>42562</v>
      </c>
      <c r="F8" s="26">
        <v>33780</v>
      </c>
      <c r="G8" s="7">
        <v>604</v>
      </c>
      <c r="H8" s="19">
        <f t="shared" si="0"/>
        <v>33176</v>
      </c>
      <c r="I8" s="137" t="s">
        <v>706</v>
      </c>
      <c r="J8" s="145">
        <v>338.79</v>
      </c>
      <c r="K8" s="145">
        <v>176.76</v>
      </c>
      <c r="L8" s="145">
        <v>220.95</v>
      </c>
      <c r="M8" s="145"/>
      <c r="N8" s="145"/>
      <c r="O8" s="145"/>
    </row>
    <row r="9" spans="1:15" x14ac:dyDescent="0.25">
      <c r="A9" s="20"/>
      <c r="B9" s="194">
        <v>4820</v>
      </c>
      <c r="C9" s="141" t="s">
        <v>181</v>
      </c>
      <c r="D9" s="141" t="s">
        <v>652</v>
      </c>
      <c r="E9" s="23">
        <v>42565</v>
      </c>
      <c r="F9" s="26">
        <v>19990</v>
      </c>
      <c r="G9" s="175">
        <v>90</v>
      </c>
      <c r="H9" s="19">
        <f t="shared" si="0"/>
        <v>19900</v>
      </c>
      <c r="I9" s="137" t="s">
        <v>348</v>
      </c>
      <c r="J9" s="145">
        <v>196.78</v>
      </c>
      <c r="K9" s="145">
        <v>102.67</v>
      </c>
      <c r="L9" s="145">
        <v>128.33000000000001</v>
      </c>
      <c r="M9" s="145"/>
      <c r="N9" s="145"/>
      <c r="O9" s="146"/>
    </row>
    <row r="10" spans="1:15" x14ac:dyDescent="0.25">
      <c r="A10" s="20"/>
      <c r="B10" s="185">
        <v>4829</v>
      </c>
      <c r="C10" s="21" t="s">
        <v>181</v>
      </c>
      <c r="D10" s="20" t="s">
        <v>173</v>
      </c>
      <c r="E10" s="28">
        <v>42570</v>
      </c>
      <c r="F10" s="6">
        <v>20990</v>
      </c>
      <c r="G10" s="175">
        <v>140</v>
      </c>
      <c r="H10" s="19">
        <f t="shared" si="0"/>
        <v>20850</v>
      </c>
      <c r="I10" s="137" t="s">
        <v>699</v>
      </c>
      <c r="J10" s="145">
        <v>204.02</v>
      </c>
      <c r="K10" s="145">
        <v>106.45</v>
      </c>
      <c r="L10" s="145"/>
      <c r="M10" s="145"/>
      <c r="N10" s="145">
        <v>177.41</v>
      </c>
      <c r="O10" s="145"/>
    </row>
    <row r="11" spans="1:15" x14ac:dyDescent="0.25">
      <c r="A11" s="20"/>
      <c r="B11" s="182">
        <v>4830</v>
      </c>
      <c r="C11" s="29" t="s">
        <v>181</v>
      </c>
      <c r="D11" s="30" t="s">
        <v>657</v>
      </c>
      <c r="E11" s="31">
        <v>42570</v>
      </c>
      <c r="F11" s="6">
        <v>8900</v>
      </c>
      <c r="G11" s="175">
        <v>80</v>
      </c>
      <c r="H11" s="19">
        <f t="shared" si="0"/>
        <v>8820</v>
      </c>
      <c r="I11" s="139" t="s">
        <v>704</v>
      </c>
      <c r="J11" s="145">
        <v>90.17</v>
      </c>
      <c r="K11" s="145">
        <v>47.05</v>
      </c>
      <c r="L11" s="145">
        <v>58.81</v>
      </c>
      <c r="M11" s="145"/>
      <c r="N11" s="145"/>
      <c r="O11" s="145"/>
    </row>
    <row r="12" spans="1:15" x14ac:dyDescent="0.25">
      <c r="A12" s="20"/>
      <c r="B12" s="194">
        <v>1426</v>
      </c>
      <c r="C12" s="141" t="s">
        <v>181</v>
      </c>
      <c r="D12" s="141" t="s">
        <v>656</v>
      </c>
      <c r="E12" s="23">
        <v>42572</v>
      </c>
      <c r="F12" s="26">
        <v>28000</v>
      </c>
      <c r="G12" s="175"/>
      <c r="H12" s="19">
        <f t="shared" si="0"/>
        <v>28000</v>
      </c>
      <c r="I12" s="137" t="s">
        <v>319</v>
      </c>
      <c r="J12" s="145">
        <v>289.38</v>
      </c>
      <c r="K12" s="145">
        <v>150.97999999999999</v>
      </c>
      <c r="L12" s="145"/>
      <c r="M12" s="145">
        <v>188.73</v>
      </c>
      <c r="N12" s="145"/>
      <c r="O12" s="146">
        <v>650</v>
      </c>
    </row>
    <row r="13" spans="1:15" x14ac:dyDescent="0.25">
      <c r="A13" s="20"/>
      <c r="B13" s="182">
        <v>4838</v>
      </c>
      <c r="C13" s="29" t="s">
        <v>102</v>
      </c>
      <c r="D13" s="30" t="s">
        <v>658</v>
      </c>
      <c r="E13" s="28">
        <v>42573</v>
      </c>
      <c r="F13" s="6">
        <v>13000</v>
      </c>
      <c r="G13" s="175"/>
      <c r="H13" s="19">
        <f t="shared" si="0"/>
        <v>13000</v>
      </c>
      <c r="I13" s="139" t="s">
        <v>705</v>
      </c>
      <c r="J13" s="145">
        <v>133.06</v>
      </c>
      <c r="K13" s="145">
        <v>69.42</v>
      </c>
      <c r="L13" s="145">
        <v>86.78</v>
      </c>
      <c r="M13" s="145"/>
      <c r="N13" s="145"/>
      <c r="O13" s="146"/>
    </row>
    <row r="14" spans="1:15" x14ac:dyDescent="0.25">
      <c r="A14" s="20"/>
      <c r="B14" s="182">
        <v>4841</v>
      </c>
      <c r="C14" s="29" t="s">
        <v>181</v>
      </c>
      <c r="D14" s="30" t="s">
        <v>666</v>
      </c>
      <c r="E14" s="28">
        <v>42577</v>
      </c>
      <c r="F14" s="6">
        <v>18900</v>
      </c>
      <c r="G14" s="175">
        <v>150</v>
      </c>
      <c r="H14" s="19">
        <f t="shared" si="0"/>
        <v>18750</v>
      </c>
      <c r="I14" s="140" t="s">
        <v>319</v>
      </c>
      <c r="J14" s="145">
        <v>185.25</v>
      </c>
      <c r="K14" s="145">
        <v>96.65</v>
      </c>
      <c r="L14" s="145">
        <v>120.82</v>
      </c>
      <c r="M14" s="145"/>
      <c r="N14" s="145"/>
      <c r="O14" s="145"/>
    </row>
    <row r="15" spans="1:15" x14ac:dyDescent="0.25">
      <c r="A15" s="20"/>
      <c r="B15" s="185">
        <v>4842</v>
      </c>
      <c r="C15" s="21" t="s">
        <v>102</v>
      </c>
      <c r="D15" s="20" t="s">
        <v>669</v>
      </c>
      <c r="E15" s="28">
        <v>42578</v>
      </c>
      <c r="F15" s="6">
        <v>17100</v>
      </c>
      <c r="G15" s="175">
        <v>200</v>
      </c>
      <c r="H15" s="19">
        <f t="shared" si="0"/>
        <v>16900</v>
      </c>
      <c r="I15" s="140" t="s">
        <v>319</v>
      </c>
      <c r="J15" s="145">
        <v>172.72</v>
      </c>
      <c r="K15" s="145">
        <v>90.11</v>
      </c>
      <c r="L15" s="145">
        <v>150.19</v>
      </c>
      <c r="M15" s="145"/>
      <c r="N15" s="145"/>
      <c r="O15" s="146"/>
    </row>
    <row r="16" spans="1:15" x14ac:dyDescent="0.25">
      <c r="B16" s="185">
        <v>4843</v>
      </c>
      <c r="C16" s="21" t="s">
        <v>181</v>
      </c>
      <c r="D16" s="20" t="s">
        <v>669</v>
      </c>
      <c r="E16" s="28">
        <v>42578</v>
      </c>
      <c r="F16" s="6">
        <v>7900</v>
      </c>
      <c r="G16" s="175">
        <v>200</v>
      </c>
      <c r="H16" s="19">
        <f t="shared" si="0"/>
        <v>7700</v>
      </c>
      <c r="I16" s="140" t="s">
        <v>319</v>
      </c>
      <c r="J16" s="145">
        <v>78.56</v>
      </c>
      <c r="K16" s="189">
        <v>40.99</v>
      </c>
      <c r="L16" s="145">
        <v>68.31</v>
      </c>
      <c r="M16" s="145"/>
      <c r="N16" s="145"/>
      <c r="O16" s="145"/>
    </row>
    <row r="17" spans="2:15" x14ac:dyDescent="0.25">
      <c r="B17" s="185">
        <v>4851</v>
      </c>
      <c r="C17" s="21" t="s">
        <v>181</v>
      </c>
      <c r="D17" s="20" t="s">
        <v>673</v>
      </c>
      <c r="E17" s="28">
        <v>42579</v>
      </c>
      <c r="F17" s="6">
        <v>30000</v>
      </c>
      <c r="G17" s="7"/>
      <c r="H17" s="19">
        <f t="shared" si="0"/>
        <v>30000</v>
      </c>
      <c r="I17" s="140" t="s">
        <v>530</v>
      </c>
      <c r="J17" s="145">
        <v>388.65</v>
      </c>
      <c r="K17" s="145">
        <v>259.10000000000002</v>
      </c>
      <c r="L17" s="146"/>
      <c r="M17" s="145"/>
      <c r="N17" s="145"/>
      <c r="O17" s="145"/>
    </row>
    <row r="18" spans="2:15" x14ac:dyDescent="0.25">
      <c r="B18" s="185">
        <v>4852</v>
      </c>
      <c r="C18" s="21" t="s">
        <v>181</v>
      </c>
      <c r="D18" s="20" t="s">
        <v>673</v>
      </c>
      <c r="E18" s="28">
        <v>42579</v>
      </c>
      <c r="F18" s="6">
        <v>20900</v>
      </c>
      <c r="G18" s="7"/>
      <c r="H18" s="19">
        <f t="shared" si="0"/>
        <v>20900</v>
      </c>
      <c r="I18" s="140" t="s">
        <v>530</v>
      </c>
      <c r="J18" s="145">
        <v>270.17</v>
      </c>
      <c r="K18" s="145">
        <v>180.11</v>
      </c>
      <c r="L18" s="145"/>
      <c r="M18" s="145"/>
      <c r="N18" s="145"/>
      <c r="O18" s="145"/>
    </row>
    <row r="19" spans="2:15" x14ac:dyDescent="0.25">
      <c r="B19" s="182">
        <v>1441</v>
      </c>
      <c r="C19" s="29" t="s">
        <v>181</v>
      </c>
      <c r="D19" s="30" t="s">
        <v>664</v>
      </c>
      <c r="E19" s="31">
        <v>42580</v>
      </c>
      <c r="F19" s="18">
        <v>8500</v>
      </c>
      <c r="G19" s="52"/>
      <c r="H19" s="19">
        <f t="shared" si="0"/>
        <v>8500</v>
      </c>
      <c r="I19" s="139" t="s">
        <v>319</v>
      </c>
      <c r="J19" s="145">
        <v>87.85</v>
      </c>
      <c r="K19" s="145">
        <v>45.83</v>
      </c>
      <c r="L19" s="145">
        <v>57.29</v>
      </c>
      <c r="M19" s="145"/>
      <c r="N19" s="145"/>
      <c r="O19" s="145"/>
    </row>
    <row r="20" spans="2:15" x14ac:dyDescent="0.25">
      <c r="B20" s="185">
        <v>1442</v>
      </c>
      <c r="C20" s="21" t="s">
        <v>181</v>
      </c>
      <c r="D20" s="20" t="s">
        <v>665</v>
      </c>
      <c r="E20" s="28">
        <v>42580</v>
      </c>
      <c r="F20" s="6">
        <v>83400</v>
      </c>
      <c r="G20" s="7"/>
      <c r="H20" s="19">
        <f t="shared" si="0"/>
        <v>83400</v>
      </c>
      <c r="I20" s="140" t="s">
        <v>700</v>
      </c>
      <c r="J20" s="145">
        <v>861.94</v>
      </c>
      <c r="K20" s="145">
        <v>449.71</v>
      </c>
      <c r="L20" s="145"/>
      <c r="M20" s="145">
        <v>562.14</v>
      </c>
      <c r="N20" s="145"/>
      <c r="O20" s="145"/>
    </row>
    <row r="21" spans="2:15" x14ac:dyDescent="0.25">
      <c r="B21" s="185">
        <v>1443</v>
      </c>
      <c r="C21" s="21" t="s">
        <v>181</v>
      </c>
      <c r="D21" s="20" t="s">
        <v>666</v>
      </c>
      <c r="E21" s="28">
        <v>42580</v>
      </c>
      <c r="F21" s="6">
        <v>8900</v>
      </c>
      <c r="G21" s="7">
        <v>150</v>
      </c>
      <c r="H21" s="19">
        <f t="shared" si="0"/>
        <v>8750</v>
      </c>
      <c r="I21" s="140" t="s">
        <v>319</v>
      </c>
      <c r="J21" s="145">
        <v>90.69</v>
      </c>
      <c r="K21" s="145">
        <v>47.32</v>
      </c>
      <c r="L21" s="145">
        <v>59.14</v>
      </c>
      <c r="M21" s="145"/>
      <c r="N21" s="145"/>
      <c r="O21" s="146"/>
    </row>
    <row r="22" spans="2:15" x14ac:dyDescent="0.25">
      <c r="B22" s="185">
        <v>4857</v>
      </c>
      <c r="C22" s="21" t="s">
        <v>181</v>
      </c>
      <c r="D22" s="20" t="s">
        <v>418</v>
      </c>
      <c r="E22" s="28">
        <v>42580</v>
      </c>
      <c r="F22" s="6">
        <v>18900</v>
      </c>
      <c r="G22" s="7">
        <v>650</v>
      </c>
      <c r="H22" s="19">
        <f t="shared" si="0"/>
        <v>18250</v>
      </c>
      <c r="I22" s="140" t="s">
        <v>703</v>
      </c>
      <c r="J22" s="145"/>
      <c r="K22" s="145"/>
      <c r="L22" s="145"/>
      <c r="M22" s="145"/>
      <c r="N22" s="145"/>
      <c r="O22" s="146"/>
    </row>
    <row r="23" spans="2:15" x14ac:dyDescent="0.25">
      <c r="B23" s="185">
        <v>4858</v>
      </c>
      <c r="C23" s="21" t="s">
        <v>181</v>
      </c>
      <c r="D23" s="20" t="s">
        <v>161</v>
      </c>
      <c r="E23" s="28">
        <v>42580</v>
      </c>
      <c r="F23" s="6">
        <v>28690</v>
      </c>
      <c r="G23" s="7">
        <v>130</v>
      </c>
      <c r="H23" s="19">
        <f t="shared" si="0"/>
        <v>28560</v>
      </c>
      <c r="I23" s="140" t="s">
        <v>698</v>
      </c>
      <c r="J23" s="145">
        <v>291.3</v>
      </c>
      <c r="K23" s="145">
        <v>151.97999999999999</v>
      </c>
      <c r="L23" s="145">
        <v>189.98</v>
      </c>
      <c r="M23" s="145"/>
      <c r="N23" s="145"/>
      <c r="O23" s="145"/>
    </row>
    <row r="24" spans="2:15" x14ac:dyDescent="0.25">
      <c r="B24" s="185">
        <v>4859</v>
      </c>
      <c r="C24" s="21" t="s">
        <v>181</v>
      </c>
      <c r="D24" s="20" t="s">
        <v>161</v>
      </c>
      <c r="E24" s="28">
        <v>42580</v>
      </c>
      <c r="F24" s="6">
        <v>18200</v>
      </c>
      <c r="G24" s="7">
        <v>86</v>
      </c>
      <c r="H24" s="19">
        <f t="shared" si="0"/>
        <v>18114</v>
      </c>
      <c r="I24" s="140" t="s">
        <v>697</v>
      </c>
      <c r="J24" s="145">
        <v>183.93</v>
      </c>
      <c r="K24" s="145">
        <v>95.96</v>
      </c>
      <c r="L24" s="145">
        <v>119.96</v>
      </c>
      <c r="M24" s="145"/>
      <c r="N24" s="145"/>
      <c r="O24" s="145"/>
    </row>
    <row r="25" spans="2:15" x14ac:dyDescent="0.25">
      <c r="B25" s="185">
        <v>4860</v>
      </c>
      <c r="C25" s="21" t="s">
        <v>181</v>
      </c>
      <c r="D25" s="20" t="s">
        <v>674</v>
      </c>
      <c r="E25" s="28">
        <v>42580</v>
      </c>
      <c r="F25" s="6">
        <v>30000</v>
      </c>
      <c r="G25" s="7">
        <v>500</v>
      </c>
      <c r="H25" s="19">
        <f t="shared" si="0"/>
        <v>29500</v>
      </c>
      <c r="I25" s="140" t="s">
        <v>701</v>
      </c>
      <c r="J25" s="145"/>
      <c r="K25" s="145"/>
      <c r="L25" s="145"/>
      <c r="M25" s="145"/>
      <c r="N25" s="145"/>
      <c r="O25" s="145"/>
    </row>
    <row r="26" spans="2:15" x14ac:dyDescent="0.25">
      <c r="B26" s="185">
        <v>4861</v>
      </c>
      <c r="C26" s="21" t="s">
        <v>181</v>
      </c>
      <c r="D26" s="20" t="s">
        <v>675</v>
      </c>
      <c r="E26" s="28">
        <v>42580</v>
      </c>
      <c r="F26" s="6">
        <v>30000</v>
      </c>
      <c r="G26" s="7">
        <v>500</v>
      </c>
      <c r="H26" s="19">
        <f t="shared" si="0"/>
        <v>29500</v>
      </c>
      <c r="I26" s="140" t="s">
        <v>701</v>
      </c>
      <c r="J26" s="145"/>
      <c r="K26" s="145"/>
      <c r="L26" s="145"/>
      <c r="M26" s="145"/>
      <c r="N26" s="145"/>
      <c r="O26" s="145"/>
    </row>
    <row r="27" spans="2:15" x14ac:dyDescent="0.25">
      <c r="B27" s="185">
        <v>4862</v>
      </c>
      <c r="C27" s="21" t="s">
        <v>181</v>
      </c>
      <c r="D27" s="20" t="s">
        <v>676</v>
      </c>
      <c r="E27" s="28">
        <v>42580</v>
      </c>
      <c r="F27" s="6">
        <v>30000</v>
      </c>
      <c r="G27" s="7">
        <v>500</v>
      </c>
      <c r="H27" s="19">
        <f t="shared" si="0"/>
        <v>29500</v>
      </c>
      <c r="I27" s="140" t="s">
        <v>701</v>
      </c>
      <c r="J27" s="145"/>
      <c r="K27" s="145"/>
      <c r="L27" s="145"/>
      <c r="M27" s="145"/>
      <c r="N27" s="145"/>
      <c r="O27" s="145"/>
    </row>
    <row r="28" spans="2:15" x14ac:dyDescent="0.25">
      <c r="B28" s="185">
        <v>4863</v>
      </c>
      <c r="C28" s="21" t="s">
        <v>181</v>
      </c>
      <c r="D28" s="20" t="s">
        <v>666</v>
      </c>
      <c r="E28" s="28">
        <v>42580</v>
      </c>
      <c r="F28" s="6">
        <v>18900</v>
      </c>
      <c r="G28" s="7">
        <v>150</v>
      </c>
      <c r="H28" s="19">
        <f t="shared" si="0"/>
        <v>18750</v>
      </c>
      <c r="I28" s="140" t="s">
        <v>319</v>
      </c>
      <c r="J28" s="145">
        <v>185.24</v>
      </c>
      <c r="K28" s="145">
        <v>96.65</v>
      </c>
      <c r="L28" s="145">
        <v>120.81</v>
      </c>
      <c r="M28" s="145"/>
      <c r="N28" s="145"/>
      <c r="O28" s="145"/>
    </row>
    <row r="29" spans="2:15" x14ac:dyDescent="0.25">
      <c r="B29" s="185"/>
      <c r="C29" s="21"/>
      <c r="D29" s="20"/>
      <c r="E29" s="28"/>
      <c r="F29" s="6"/>
      <c r="G29" s="7"/>
      <c r="H29" s="19">
        <f t="shared" ref="H29" si="1">F29-G29</f>
        <v>0</v>
      </c>
      <c r="I29" s="140"/>
      <c r="J29" s="145"/>
      <c r="K29" s="145"/>
      <c r="L29" s="145"/>
      <c r="M29" s="145"/>
      <c r="N29" s="145"/>
      <c r="O29" s="145"/>
    </row>
    <row r="30" spans="2:15" x14ac:dyDescent="0.25">
      <c r="B30" s="185"/>
      <c r="C30" s="21"/>
      <c r="D30" s="20"/>
      <c r="E30" s="28"/>
      <c r="F30" s="6"/>
      <c r="G30" s="7"/>
      <c r="H30" s="19">
        <f t="shared" ref="H30:H31" si="2">F30-G30</f>
        <v>0</v>
      </c>
      <c r="I30" s="66"/>
      <c r="J30" s="133"/>
      <c r="K30" s="134"/>
      <c r="L30" s="134"/>
      <c r="M30" s="134"/>
      <c r="N30" s="134"/>
      <c r="O30" s="134"/>
    </row>
    <row r="31" spans="2:15" ht="15" thickBot="1" x14ac:dyDescent="0.3">
      <c r="B31" s="185"/>
      <c r="C31" s="21"/>
      <c r="D31" s="20"/>
      <c r="E31" s="28"/>
      <c r="F31" s="6"/>
      <c r="G31" s="7"/>
      <c r="H31" s="19">
        <f t="shared" si="2"/>
        <v>0</v>
      </c>
      <c r="I31" s="66"/>
      <c r="J31" s="133"/>
      <c r="K31" s="134"/>
      <c r="L31" s="134"/>
      <c r="M31" s="134"/>
      <c r="N31" s="134"/>
      <c r="O31" s="134"/>
    </row>
    <row r="32" spans="2:15" ht="15" thickBot="1" x14ac:dyDescent="0.3">
      <c r="B32" s="200"/>
      <c r="C32" s="32"/>
      <c r="D32" s="33"/>
      <c r="E32" s="34"/>
      <c r="F32" s="35">
        <f>SUM(F3:F31)</f>
        <v>633003.76</v>
      </c>
      <c r="G32" s="36">
        <f>SUM(G3:G31)</f>
        <v>4280</v>
      </c>
      <c r="H32" s="37">
        <f>SUM(H3:H31)</f>
        <v>628723.76</v>
      </c>
      <c r="I32" s="66"/>
      <c r="J32" s="131">
        <f t="shared" ref="J32:O32" si="3">SUM(J3:J31)</f>
        <v>5443.8600000000006</v>
      </c>
      <c r="K32" s="131">
        <f t="shared" si="3"/>
        <v>2935.76</v>
      </c>
      <c r="L32" s="131">
        <f t="shared" si="3"/>
        <v>1741.07</v>
      </c>
      <c r="M32" s="131">
        <f t="shared" si="3"/>
        <v>1301.19</v>
      </c>
      <c r="N32" s="131">
        <f t="shared" si="3"/>
        <v>177.41</v>
      </c>
      <c r="O32" s="131">
        <f t="shared" si="3"/>
        <v>1100</v>
      </c>
    </row>
    <row r="33" spans="2:15" x14ac:dyDescent="0.25">
      <c r="B33" s="201"/>
      <c r="C33" s="3"/>
      <c r="D33" s="4"/>
      <c r="E33" s="38" t="s">
        <v>8</v>
      </c>
      <c r="F33" s="39">
        <f>TOTAL!I8</f>
        <v>550000</v>
      </c>
      <c r="G33" s="40" t="s">
        <v>9</v>
      </c>
      <c r="H33" s="41">
        <f>H32/F33%</f>
        <v>114.3134109090909</v>
      </c>
      <c r="I33" s="58" t="s">
        <v>10</v>
      </c>
    </row>
    <row r="34" spans="2:15" ht="15" thickBot="1" x14ac:dyDescent="0.3">
      <c r="B34" s="202"/>
      <c r="C34" s="43"/>
      <c r="D34" s="44"/>
      <c r="E34" s="45"/>
      <c r="F34" s="46"/>
      <c r="G34" s="47"/>
      <c r="H34" s="48"/>
      <c r="I34" s="14"/>
    </row>
    <row r="35" spans="2:15" ht="18.75" thickTop="1" x14ac:dyDescent="0.25">
      <c r="B35" s="198" t="s">
        <v>11</v>
      </c>
      <c r="C35" s="49"/>
      <c r="D35" s="4"/>
      <c r="E35" s="5"/>
      <c r="F35" s="6"/>
      <c r="G35" s="7"/>
      <c r="H35" s="50"/>
      <c r="J35" s="284" t="s">
        <v>43</v>
      </c>
      <c r="K35" s="284"/>
      <c r="L35" s="284"/>
      <c r="M35" s="284"/>
      <c r="N35" s="284"/>
      <c r="O35" s="284"/>
    </row>
    <row r="36" spans="2:15" x14ac:dyDescent="0.25">
      <c r="B36" s="199" t="s">
        <v>1</v>
      </c>
      <c r="C36" s="9" t="s">
        <v>2</v>
      </c>
      <c r="D36" s="10" t="s">
        <v>3</v>
      </c>
      <c r="E36" s="11" t="s">
        <v>4</v>
      </c>
      <c r="F36" s="12" t="s">
        <v>5</v>
      </c>
      <c r="G36" s="7" t="s">
        <v>12</v>
      </c>
      <c r="H36" s="13" t="s">
        <v>7</v>
      </c>
      <c r="I36" s="11" t="s">
        <v>42</v>
      </c>
      <c r="J36" s="11" t="s">
        <v>50</v>
      </c>
      <c r="K36" s="11" t="s">
        <v>53</v>
      </c>
      <c r="L36" s="11" t="s">
        <v>51</v>
      </c>
      <c r="M36" s="11" t="s">
        <v>52</v>
      </c>
      <c r="N36" s="251"/>
      <c r="O36" s="11" t="s">
        <v>54</v>
      </c>
    </row>
    <row r="37" spans="2:15" s="14" customFormat="1" x14ac:dyDescent="0.25">
      <c r="B37" s="182"/>
      <c r="C37" s="29"/>
      <c r="D37" s="30"/>
      <c r="E37" s="31"/>
      <c r="F37" s="6"/>
      <c r="G37" s="7"/>
      <c r="H37" s="19">
        <f t="shared" ref="H37:H39" si="4">F37-G37</f>
        <v>0</v>
      </c>
      <c r="I37" s="137"/>
      <c r="J37" s="145"/>
      <c r="K37" s="145"/>
      <c r="L37" s="145"/>
      <c r="M37" s="145"/>
      <c r="N37" s="145"/>
      <c r="O37" s="145"/>
    </row>
    <row r="38" spans="2:15" x14ac:dyDescent="0.25">
      <c r="B38" s="182"/>
      <c r="C38" s="29"/>
      <c r="D38" s="30"/>
      <c r="E38" s="31"/>
      <c r="F38" s="6"/>
      <c r="G38" s="7"/>
      <c r="H38" s="19">
        <f t="shared" si="4"/>
        <v>0</v>
      </c>
      <c r="I38" s="137"/>
      <c r="J38" s="145"/>
      <c r="K38" s="145"/>
      <c r="L38" s="145"/>
      <c r="M38" s="145"/>
      <c r="N38" s="145"/>
      <c r="O38" s="145"/>
    </row>
    <row r="39" spans="2:15" ht="15" thickBot="1" x14ac:dyDescent="0.3">
      <c r="B39" s="182"/>
      <c r="C39" s="29"/>
      <c r="D39" s="30"/>
      <c r="E39" s="31"/>
      <c r="F39" s="6"/>
      <c r="G39" s="7"/>
      <c r="H39" s="19">
        <f t="shared" si="4"/>
        <v>0</v>
      </c>
      <c r="I39" s="137"/>
      <c r="J39" s="145"/>
      <c r="K39" s="145"/>
      <c r="L39" s="145"/>
      <c r="M39" s="145"/>
      <c r="N39" s="145"/>
      <c r="O39" s="145"/>
    </row>
    <row r="40" spans="2:15" ht="15" thickBot="1" x14ac:dyDescent="0.3">
      <c r="B40" s="182"/>
      <c r="C40" s="29"/>
      <c r="D40" s="30"/>
      <c r="E40" s="31"/>
      <c r="F40" s="35">
        <f>SUM(F37:F39)</f>
        <v>0</v>
      </c>
      <c r="G40" s="36"/>
      <c r="H40" s="37">
        <f>SUM(H37:H39)</f>
        <v>0</v>
      </c>
      <c r="J40" s="131">
        <f>SUM(J37:J39)</f>
        <v>0</v>
      </c>
      <c r="K40" s="131">
        <f>SUM(K37:K39)</f>
        <v>0</v>
      </c>
      <c r="L40" s="131">
        <f>SUM(L37:L39)</f>
        <v>0</v>
      </c>
      <c r="M40" s="131">
        <f>SUM(M37:M39)</f>
        <v>0</v>
      </c>
      <c r="N40" s="131"/>
      <c r="O40" s="131">
        <f>SUM(O37:O39)</f>
        <v>0</v>
      </c>
    </row>
    <row r="41" spans="2:15" x14ac:dyDescent="0.25">
      <c r="B41" s="182"/>
      <c r="C41" s="29"/>
      <c r="D41" s="30"/>
      <c r="E41" s="31"/>
      <c r="F41" s="51"/>
      <c r="G41" s="52"/>
      <c r="H41" s="53"/>
    </row>
    <row r="42" spans="2:15" ht="15" thickBot="1" x14ac:dyDescent="0.3">
      <c r="B42" s="202"/>
      <c r="C42" s="43"/>
      <c r="D42" s="44"/>
      <c r="E42" s="45"/>
      <c r="F42" s="46"/>
      <c r="G42" s="47"/>
      <c r="H42" s="48"/>
      <c r="I42" s="14"/>
    </row>
    <row r="43" spans="2:15" ht="18.75" thickTop="1" x14ac:dyDescent="0.25">
      <c r="B43" s="198" t="s">
        <v>13</v>
      </c>
      <c r="C43" s="49"/>
      <c r="D43" s="4"/>
      <c r="E43" s="5"/>
      <c r="F43" s="6"/>
      <c r="G43" s="7"/>
      <c r="H43" s="50"/>
      <c r="I43" s="14"/>
    </row>
    <row r="44" spans="2:15" x14ac:dyDescent="0.25">
      <c r="B44" s="199" t="s">
        <v>1</v>
      </c>
      <c r="C44" s="9" t="s">
        <v>2</v>
      </c>
      <c r="D44" s="10" t="s">
        <v>3</v>
      </c>
      <c r="E44" s="11" t="s">
        <v>4</v>
      </c>
      <c r="F44" s="12" t="s">
        <v>5</v>
      </c>
      <c r="G44" s="7" t="s">
        <v>12</v>
      </c>
      <c r="H44" s="13" t="s">
        <v>7</v>
      </c>
      <c r="I44" s="14"/>
    </row>
    <row r="45" spans="2:15" s="14" customFormat="1" x14ac:dyDescent="0.25">
      <c r="B45" s="195">
        <v>1439</v>
      </c>
      <c r="C45" s="15" t="s">
        <v>102</v>
      </c>
      <c r="D45" s="16" t="s">
        <v>611</v>
      </c>
      <c r="E45" s="17">
        <v>42579</v>
      </c>
      <c r="F45" s="6">
        <v>1295</v>
      </c>
      <c r="G45" s="175">
        <v>40</v>
      </c>
      <c r="H45" s="19">
        <f t="shared" ref="H45:H50" si="5">F45-G45</f>
        <v>1255</v>
      </c>
    </row>
    <row r="46" spans="2:15" s="14" customFormat="1" x14ac:dyDescent="0.25">
      <c r="B46" s="185" t="s">
        <v>83</v>
      </c>
      <c r="C46" s="21" t="s">
        <v>102</v>
      </c>
      <c r="D46" s="20" t="s">
        <v>661</v>
      </c>
      <c r="E46" s="28"/>
      <c r="F46" s="6">
        <v>1165.5</v>
      </c>
      <c r="G46" s="7"/>
      <c r="H46" s="19">
        <f t="shared" si="5"/>
        <v>1165.5</v>
      </c>
    </row>
    <row r="47" spans="2:15" s="14" customFormat="1" x14ac:dyDescent="0.25">
      <c r="B47" s="182"/>
      <c r="C47" s="29"/>
      <c r="D47" s="30"/>
      <c r="E47" s="28"/>
      <c r="F47" s="6"/>
      <c r="G47" s="7"/>
      <c r="H47" s="19">
        <f t="shared" si="5"/>
        <v>0</v>
      </c>
    </row>
    <row r="48" spans="2:15" s="14" customFormat="1" x14ac:dyDescent="0.25">
      <c r="B48" s="185"/>
      <c r="C48" s="21"/>
      <c r="D48" s="20"/>
      <c r="E48" s="28"/>
      <c r="F48" s="6"/>
      <c r="G48" s="7"/>
      <c r="H48" s="19">
        <f t="shared" si="5"/>
        <v>0</v>
      </c>
      <c r="I48" s="1"/>
    </row>
    <row r="49" spans="2:15" s="14" customFormat="1" x14ac:dyDescent="0.25">
      <c r="B49" s="182"/>
      <c r="C49" s="29"/>
      <c r="D49" s="30"/>
      <c r="E49" s="31"/>
      <c r="F49" s="6"/>
      <c r="G49" s="7"/>
      <c r="H49" s="19">
        <f t="shared" si="5"/>
        <v>0</v>
      </c>
      <c r="I49" s="1"/>
    </row>
    <row r="50" spans="2:15" ht="15" thickBot="1" x14ac:dyDescent="0.3">
      <c r="B50" s="182"/>
      <c r="C50" s="29"/>
      <c r="D50" s="30"/>
      <c r="E50" s="31"/>
      <c r="F50" s="6"/>
      <c r="G50" s="7"/>
      <c r="H50" s="19">
        <f t="shared" si="5"/>
        <v>0</v>
      </c>
    </row>
    <row r="51" spans="2:15" ht="15" thickBot="1" x14ac:dyDescent="0.3">
      <c r="B51" s="203"/>
      <c r="C51" s="55"/>
      <c r="D51" s="56"/>
      <c r="E51" s="57"/>
      <c r="F51" s="35">
        <f>SUM(F45:F50)</f>
        <v>2460.5</v>
      </c>
      <c r="G51" s="36">
        <f>SUM(G45:G50)</f>
        <v>40</v>
      </c>
      <c r="H51" s="37">
        <f>SUM(H45:H50)</f>
        <v>2420.5</v>
      </c>
    </row>
    <row r="52" spans="2:15" x14ac:dyDescent="0.25">
      <c r="B52" s="203"/>
      <c r="C52" s="55"/>
      <c r="D52" s="56"/>
      <c r="E52" s="38"/>
      <c r="F52" s="39"/>
      <c r="G52" s="40"/>
      <c r="H52" s="41"/>
    </row>
    <row r="53" spans="2:15" ht="15" thickBot="1" x14ac:dyDescent="0.3">
      <c r="B53" s="202"/>
      <c r="C53" s="43"/>
      <c r="D53" s="44"/>
      <c r="E53" s="59"/>
      <c r="F53" s="46"/>
      <c r="G53" s="47"/>
      <c r="H53" s="48"/>
      <c r="I53" s="14"/>
    </row>
    <row r="54" spans="2:15" ht="18.75" thickTop="1" x14ac:dyDescent="0.25">
      <c r="B54" s="198" t="s">
        <v>14</v>
      </c>
      <c r="C54" s="49"/>
      <c r="D54" s="4"/>
      <c r="E54" s="5"/>
      <c r="F54" s="6"/>
      <c r="G54" s="7"/>
      <c r="H54" s="50"/>
      <c r="I54" s="14"/>
    </row>
    <row r="55" spans="2:15" x14ac:dyDescent="0.25">
      <c r="B55" s="199" t="s">
        <v>1</v>
      </c>
      <c r="C55" s="9" t="s">
        <v>2</v>
      </c>
      <c r="D55" s="10" t="s">
        <v>3</v>
      </c>
      <c r="E55" s="11" t="s">
        <v>4</v>
      </c>
      <c r="F55" s="12" t="s">
        <v>5</v>
      </c>
      <c r="G55" s="7" t="s">
        <v>12</v>
      </c>
      <c r="H55" s="13" t="s">
        <v>7</v>
      </c>
      <c r="I55" s="14"/>
    </row>
    <row r="56" spans="2:15" s="14" customFormat="1" x14ac:dyDescent="0.25">
      <c r="B56" s="185">
        <v>1403</v>
      </c>
      <c r="C56" s="21" t="s">
        <v>102</v>
      </c>
      <c r="D56" s="20" t="s">
        <v>212</v>
      </c>
      <c r="E56" s="28">
        <v>42557</v>
      </c>
      <c r="F56" s="6">
        <v>417.12</v>
      </c>
      <c r="G56" s="7"/>
      <c r="H56" s="19">
        <f t="shared" ref="H56:H70" si="6">F56-G56</f>
        <v>417.12</v>
      </c>
      <c r="J56" s="1"/>
      <c r="K56" s="1"/>
      <c r="L56" s="1"/>
      <c r="M56" s="1"/>
      <c r="N56" s="1"/>
      <c r="O56" s="1"/>
    </row>
    <row r="57" spans="2:15" s="14" customFormat="1" x14ac:dyDescent="0.25">
      <c r="B57" s="182">
        <v>1406</v>
      </c>
      <c r="C57" s="29" t="s">
        <v>102</v>
      </c>
      <c r="D57" s="30" t="s">
        <v>491</v>
      </c>
      <c r="E57" s="31">
        <v>42557</v>
      </c>
      <c r="F57" s="6">
        <v>802.8</v>
      </c>
      <c r="G57" s="7"/>
      <c r="H57" s="19">
        <f t="shared" si="6"/>
        <v>802.8</v>
      </c>
      <c r="J57" s="1"/>
      <c r="K57" s="1"/>
      <c r="L57" s="1"/>
      <c r="M57" s="1"/>
      <c r="N57" s="1"/>
      <c r="O57" s="1"/>
    </row>
    <row r="58" spans="2:15" s="14" customFormat="1" x14ac:dyDescent="0.25">
      <c r="B58" s="195">
        <v>1407</v>
      </c>
      <c r="C58" s="15" t="s">
        <v>102</v>
      </c>
      <c r="D58" s="15" t="s">
        <v>258</v>
      </c>
      <c r="E58" s="17">
        <v>42557</v>
      </c>
      <c r="F58" s="18">
        <v>1106.44</v>
      </c>
      <c r="G58" s="60"/>
      <c r="H58" s="19">
        <f t="shared" si="6"/>
        <v>1106.44</v>
      </c>
    </row>
    <row r="59" spans="2:15" s="14" customFormat="1" x14ac:dyDescent="0.25">
      <c r="B59" s="194">
        <v>1416</v>
      </c>
      <c r="C59" s="141" t="s">
        <v>102</v>
      </c>
      <c r="D59" s="16" t="s">
        <v>647</v>
      </c>
      <c r="E59" s="17">
        <v>42565</v>
      </c>
      <c r="F59" s="18">
        <v>203.62</v>
      </c>
      <c r="G59" s="7"/>
      <c r="H59" s="19">
        <f t="shared" si="6"/>
        <v>203.62</v>
      </c>
    </row>
    <row r="60" spans="2:15" s="14" customFormat="1" x14ac:dyDescent="0.25">
      <c r="B60" s="194"/>
      <c r="C60" s="141"/>
      <c r="D60" s="141"/>
      <c r="E60" s="23"/>
      <c r="F60" s="26"/>
      <c r="G60" s="175"/>
      <c r="H60" s="19">
        <f t="shared" si="6"/>
        <v>0</v>
      </c>
    </row>
    <row r="61" spans="2:15" s="14" customFormat="1" x14ac:dyDescent="0.25">
      <c r="B61" s="194"/>
      <c r="C61" s="141"/>
      <c r="D61" s="141"/>
      <c r="E61" s="23"/>
      <c r="F61" s="26"/>
      <c r="G61" s="175"/>
      <c r="H61" s="19">
        <f t="shared" si="6"/>
        <v>0</v>
      </c>
    </row>
    <row r="62" spans="2:15" s="14" customFormat="1" x14ac:dyDescent="0.25">
      <c r="B62" s="194"/>
      <c r="C62" s="141"/>
      <c r="D62" s="16"/>
      <c r="E62" s="17"/>
      <c r="F62" s="18"/>
      <c r="G62" s="7"/>
      <c r="H62" s="19">
        <f t="shared" si="6"/>
        <v>0</v>
      </c>
    </row>
    <row r="63" spans="2:15" s="14" customFormat="1" x14ac:dyDescent="0.25">
      <c r="B63" s="195"/>
      <c r="C63" s="15"/>
      <c r="D63" s="16"/>
      <c r="E63" s="17"/>
      <c r="F63" s="6"/>
      <c r="G63" s="7"/>
      <c r="H63" s="19">
        <f t="shared" si="6"/>
        <v>0</v>
      </c>
    </row>
    <row r="64" spans="2:15" s="14" customFormat="1" x14ac:dyDescent="0.25">
      <c r="B64" s="195"/>
      <c r="C64" s="15"/>
      <c r="D64" s="16"/>
      <c r="E64" s="17"/>
      <c r="F64" s="18"/>
      <c r="G64" s="7"/>
      <c r="H64" s="19">
        <f t="shared" si="6"/>
        <v>0</v>
      </c>
    </row>
    <row r="65" spans="2:15" s="14" customFormat="1" x14ac:dyDescent="0.25">
      <c r="B65" s="195"/>
      <c r="C65" s="15"/>
      <c r="D65" s="16"/>
      <c r="E65" s="17"/>
      <c r="F65" s="18"/>
      <c r="G65" s="7"/>
      <c r="H65" s="19">
        <f t="shared" si="6"/>
        <v>0</v>
      </c>
      <c r="I65" s="1"/>
    </row>
    <row r="66" spans="2:15" s="14" customFormat="1" x14ac:dyDescent="0.25">
      <c r="B66" s="195"/>
      <c r="C66" s="15"/>
      <c r="D66" s="16"/>
      <c r="E66" s="17"/>
      <c r="F66" s="18"/>
      <c r="G66" s="7"/>
      <c r="H66" s="19">
        <f t="shared" si="6"/>
        <v>0</v>
      </c>
      <c r="I66" s="1"/>
    </row>
    <row r="67" spans="2:15" s="14" customFormat="1" x14ac:dyDescent="0.25">
      <c r="B67" s="195"/>
      <c r="C67" s="15"/>
      <c r="D67" s="16"/>
      <c r="E67" s="17"/>
      <c r="F67" s="18"/>
      <c r="G67" s="7"/>
      <c r="H67" s="19">
        <f t="shared" si="6"/>
        <v>0</v>
      </c>
      <c r="I67" s="1"/>
    </row>
    <row r="68" spans="2:15" x14ac:dyDescent="0.25">
      <c r="B68" s="185"/>
      <c r="C68" s="21"/>
      <c r="D68" s="21"/>
      <c r="E68" s="28"/>
      <c r="F68" s="6"/>
      <c r="G68" s="7"/>
      <c r="H68" s="19">
        <f t="shared" si="6"/>
        <v>0</v>
      </c>
      <c r="J68" s="14"/>
      <c r="K68" s="14"/>
      <c r="L68" s="14"/>
      <c r="M68" s="14"/>
      <c r="N68" s="14"/>
      <c r="O68" s="14"/>
    </row>
    <row r="69" spans="2:15" x14ac:dyDescent="0.25">
      <c r="B69" s="185"/>
      <c r="C69" s="21"/>
      <c r="D69" s="21"/>
      <c r="E69" s="28"/>
      <c r="F69" s="6"/>
      <c r="G69" s="7"/>
      <c r="H69" s="19">
        <f t="shared" si="6"/>
        <v>0</v>
      </c>
      <c r="J69" s="14"/>
      <c r="K69" s="14"/>
      <c r="L69" s="14"/>
      <c r="M69" s="14"/>
      <c r="N69" s="14"/>
      <c r="O69" s="14"/>
    </row>
    <row r="70" spans="2:15" ht="15" thickBot="1" x14ac:dyDescent="0.3">
      <c r="B70" s="185"/>
      <c r="C70" s="21"/>
      <c r="D70" s="21"/>
      <c r="E70" s="28"/>
      <c r="F70" s="6"/>
      <c r="G70" s="7"/>
      <c r="H70" s="19">
        <f t="shared" si="6"/>
        <v>0</v>
      </c>
    </row>
    <row r="71" spans="2:15" ht="15" thickBot="1" x14ac:dyDescent="0.3">
      <c r="B71" s="201"/>
      <c r="C71" s="3"/>
      <c r="D71" s="4"/>
      <c r="E71" s="61"/>
      <c r="F71" s="62">
        <f>SUM(F56:F70)</f>
        <v>2529.98</v>
      </c>
      <c r="G71" s="36">
        <f>SUM(G56:G70)</f>
        <v>0</v>
      </c>
      <c r="H71" s="63">
        <f>SUM(H56:H70)</f>
        <v>2529.98</v>
      </c>
    </row>
    <row r="72" spans="2:15" x14ac:dyDescent="0.25">
      <c r="B72" s="204"/>
      <c r="C72" s="3"/>
      <c r="D72" s="65"/>
      <c r="E72" s="38" t="s">
        <v>8</v>
      </c>
      <c r="F72" s="39">
        <f>TOTAL!I9</f>
        <v>0</v>
      </c>
      <c r="G72" s="40" t="s">
        <v>9</v>
      </c>
      <c r="H72" s="41" t="e">
        <f>H71/F72%</f>
        <v>#DIV/0!</v>
      </c>
      <c r="I72" s="58" t="s">
        <v>10</v>
      </c>
    </row>
    <row r="73" spans="2:15" ht="15" thickBot="1" x14ac:dyDescent="0.3">
      <c r="B73" s="202"/>
      <c r="C73" s="43"/>
      <c r="D73" s="44"/>
      <c r="E73" s="59"/>
      <c r="F73" s="46"/>
      <c r="G73" s="47"/>
      <c r="H73" s="48"/>
      <c r="I73" s="14"/>
      <c r="J73" s="54"/>
    </row>
    <row r="74" spans="2:15" ht="18.75" thickTop="1" x14ac:dyDescent="0.25">
      <c r="B74" s="198" t="s">
        <v>15</v>
      </c>
      <c r="C74" s="49"/>
      <c r="D74" s="4"/>
      <c r="E74" s="5"/>
      <c r="F74" s="6"/>
      <c r="G74" s="7"/>
      <c r="H74" s="50"/>
      <c r="I74" s="14"/>
    </row>
    <row r="75" spans="2:15" x14ac:dyDescent="0.25">
      <c r="B75" s="199" t="s">
        <v>1</v>
      </c>
      <c r="C75" s="9" t="s">
        <v>2</v>
      </c>
      <c r="D75" s="10" t="s">
        <v>3</v>
      </c>
      <c r="E75" s="11" t="s">
        <v>4</v>
      </c>
      <c r="F75" s="12" t="s">
        <v>5</v>
      </c>
      <c r="G75" s="7" t="s">
        <v>12</v>
      </c>
      <c r="H75" s="13" t="s">
        <v>7</v>
      </c>
      <c r="I75" s="14"/>
    </row>
    <row r="76" spans="2:15" s="14" customFormat="1" x14ac:dyDescent="0.25">
      <c r="B76" s="185">
        <v>275</v>
      </c>
      <c r="C76" s="21" t="s">
        <v>102</v>
      </c>
      <c r="D76" s="20" t="s">
        <v>635</v>
      </c>
      <c r="E76" s="28">
        <v>42555</v>
      </c>
      <c r="F76" s="125">
        <v>1769.12</v>
      </c>
      <c r="G76" s="7">
        <v>40</v>
      </c>
      <c r="H76" s="19">
        <f t="shared" ref="H76:H91" si="7">F76-G76</f>
        <v>1729.12</v>
      </c>
      <c r="J76" s="1"/>
      <c r="K76" s="1"/>
      <c r="L76" s="1"/>
      <c r="M76" s="1"/>
      <c r="N76" s="1"/>
      <c r="O76" s="1"/>
    </row>
    <row r="77" spans="2:15" s="14" customFormat="1" x14ac:dyDescent="0.25">
      <c r="B77" s="194">
        <v>4801</v>
      </c>
      <c r="C77" s="141" t="s">
        <v>102</v>
      </c>
      <c r="D77" s="16" t="s">
        <v>257</v>
      </c>
      <c r="E77" s="17">
        <v>42555</v>
      </c>
      <c r="F77" s="18">
        <v>1789.53</v>
      </c>
      <c r="G77" s="7"/>
      <c r="H77" s="19">
        <f t="shared" si="7"/>
        <v>1789.53</v>
      </c>
      <c r="J77" s="1"/>
      <c r="K77" s="1"/>
      <c r="L77" s="1"/>
      <c r="M77" s="1"/>
      <c r="N77" s="1"/>
      <c r="O77" s="1"/>
    </row>
    <row r="78" spans="2:15" s="14" customFormat="1" x14ac:dyDescent="0.25">
      <c r="B78" s="194">
        <v>276</v>
      </c>
      <c r="C78" s="141" t="s">
        <v>102</v>
      </c>
      <c r="D78" s="141" t="s">
        <v>636</v>
      </c>
      <c r="E78" s="23">
        <v>42558</v>
      </c>
      <c r="F78" s="26">
        <v>215.35</v>
      </c>
      <c r="G78" s="52">
        <v>30</v>
      </c>
      <c r="H78" s="19">
        <f t="shared" si="7"/>
        <v>185.35</v>
      </c>
    </row>
    <row r="79" spans="2:15" s="14" customFormat="1" x14ac:dyDescent="0.25">
      <c r="B79" s="185">
        <v>4810</v>
      </c>
      <c r="C79" s="141" t="s">
        <v>102</v>
      </c>
      <c r="D79" s="16" t="s">
        <v>237</v>
      </c>
      <c r="E79" s="17">
        <v>42558</v>
      </c>
      <c r="F79" s="18">
        <v>390</v>
      </c>
      <c r="G79" s="7"/>
      <c r="H79" s="19">
        <f t="shared" si="7"/>
        <v>390</v>
      </c>
    </row>
    <row r="80" spans="2:15" s="14" customFormat="1" x14ac:dyDescent="0.25">
      <c r="B80" s="195">
        <v>4811</v>
      </c>
      <c r="C80" s="15" t="s">
        <v>102</v>
      </c>
      <c r="D80" s="16" t="s">
        <v>651</v>
      </c>
      <c r="E80" s="17">
        <v>42558</v>
      </c>
      <c r="F80" s="18">
        <v>423.77</v>
      </c>
      <c r="G80" s="7">
        <v>24</v>
      </c>
      <c r="H80" s="19">
        <f t="shared" si="7"/>
        <v>399.77</v>
      </c>
    </row>
    <row r="81" spans="2:15" s="14" customFormat="1" x14ac:dyDescent="0.25">
      <c r="B81" s="195">
        <v>4813</v>
      </c>
      <c r="C81" s="15" t="s">
        <v>102</v>
      </c>
      <c r="D81" s="16" t="s">
        <v>216</v>
      </c>
      <c r="E81" s="17">
        <v>42558</v>
      </c>
      <c r="F81" s="6">
        <v>2082.02</v>
      </c>
      <c r="G81" s="175">
        <v>46.61</v>
      </c>
      <c r="H81" s="19">
        <f t="shared" si="7"/>
        <v>2035.41</v>
      </c>
    </row>
    <row r="82" spans="2:15" s="14" customFormat="1" x14ac:dyDescent="0.25">
      <c r="B82" s="182">
        <v>1413</v>
      </c>
      <c r="C82" s="29" t="s">
        <v>102</v>
      </c>
      <c r="D82" s="30" t="s">
        <v>152</v>
      </c>
      <c r="E82" s="31">
        <v>42563</v>
      </c>
      <c r="F82" s="6">
        <v>1901.07</v>
      </c>
      <c r="G82" s="7">
        <f>33.9+105.69</f>
        <v>139.59</v>
      </c>
      <c r="H82" s="19">
        <f t="shared" si="7"/>
        <v>1761.48</v>
      </c>
    </row>
    <row r="83" spans="2:15" s="14" customFormat="1" x14ac:dyDescent="0.25">
      <c r="B83" s="194">
        <v>1415</v>
      </c>
      <c r="C83" s="141" t="s">
        <v>102</v>
      </c>
      <c r="D83" s="141" t="s">
        <v>646</v>
      </c>
      <c r="E83" s="23">
        <v>42564</v>
      </c>
      <c r="F83" s="26">
        <v>187.75</v>
      </c>
      <c r="G83" s="52">
        <v>49.9</v>
      </c>
      <c r="H83" s="19">
        <f t="shared" si="7"/>
        <v>137.85</v>
      </c>
    </row>
    <row r="84" spans="2:15" s="14" customFormat="1" x14ac:dyDescent="0.25">
      <c r="B84" s="195">
        <v>4824</v>
      </c>
      <c r="C84" s="15" t="s">
        <v>102</v>
      </c>
      <c r="D84" s="16" t="s">
        <v>653</v>
      </c>
      <c r="E84" s="17">
        <v>42565</v>
      </c>
      <c r="F84" s="18">
        <v>1199.31</v>
      </c>
      <c r="G84" s="7"/>
      <c r="H84" s="19">
        <f t="shared" si="7"/>
        <v>1199.31</v>
      </c>
    </row>
    <row r="85" spans="2:15" s="14" customFormat="1" x14ac:dyDescent="0.25">
      <c r="B85" s="195">
        <v>4828</v>
      </c>
      <c r="C85" s="15" t="s">
        <v>102</v>
      </c>
      <c r="D85" s="16" t="s">
        <v>654</v>
      </c>
      <c r="E85" s="17">
        <v>42569</v>
      </c>
      <c r="F85" s="18">
        <v>2310</v>
      </c>
      <c r="G85" s="7">
        <v>54</v>
      </c>
      <c r="H85" s="19">
        <f t="shared" si="7"/>
        <v>2256</v>
      </c>
      <c r="I85" s="1"/>
    </row>
    <row r="86" spans="2:15" s="14" customFormat="1" x14ac:dyDescent="0.25">
      <c r="B86" s="195">
        <v>1423</v>
      </c>
      <c r="C86" s="15" t="s">
        <v>102</v>
      </c>
      <c r="D86" s="16" t="s">
        <v>470</v>
      </c>
      <c r="E86" s="17">
        <v>42570</v>
      </c>
      <c r="F86" s="18">
        <v>1959.9</v>
      </c>
      <c r="G86" s="7">
        <f>110.93+59.9</f>
        <v>170.83</v>
      </c>
      <c r="H86" s="19">
        <f t="shared" si="7"/>
        <v>1789.0700000000002</v>
      </c>
      <c r="I86" s="1"/>
    </row>
    <row r="87" spans="2:15" s="14" customFormat="1" x14ac:dyDescent="0.25">
      <c r="B87" s="185">
        <v>1431</v>
      </c>
      <c r="C87" s="21" t="s">
        <v>102</v>
      </c>
      <c r="D87" s="21" t="s">
        <v>234</v>
      </c>
      <c r="E87" s="28">
        <v>42578</v>
      </c>
      <c r="F87" s="6">
        <v>296.39999999999998</v>
      </c>
      <c r="G87" s="7"/>
      <c r="H87" s="19">
        <f t="shared" si="7"/>
        <v>296.39999999999998</v>
      </c>
      <c r="I87" s="1"/>
    </row>
    <row r="88" spans="2:15" x14ac:dyDescent="0.25">
      <c r="B88" s="185">
        <v>4846</v>
      </c>
      <c r="C88" s="21" t="s">
        <v>102</v>
      </c>
      <c r="D88" s="21" t="s">
        <v>670</v>
      </c>
      <c r="E88" s="28">
        <v>42578</v>
      </c>
      <c r="F88" s="6">
        <v>190.8</v>
      </c>
      <c r="G88" s="7">
        <v>40</v>
      </c>
      <c r="H88" s="19">
        <f t="shared" si="7"/>
        <v>150.80000000000001</v>
      </c>
      <c r="J88" s="14"/>
      <c r="K88" s="14"/>
      <c r="L88" s="14"/>
      <c r="M88" s="14"/>
      <c r="N88" s="14"/>
      <c r="O88" s="14"/>
    </row>
    <row r="89" spans="2:15" x14ac:dyDescent="0.25">
      <c r="B89" s="185">
        <v>4847</v>
      </c>
      <c r="C89" s="21" t="s">
        <v>102</v>
      </c>
      <c r="D89" s="21" t="s">
        <v>671</v>
      </c>
      <c r="E89" s="28">
        <v>42578</v>
      </c>
      <c r="F89" s="6">
        <v>450</v>
      </c>
      <c r="G89" s="7">
        <v>50.23</v>
      </c>
      <c r="H89" s="19">
        <f t="shared" si="7"/>
        <v>399.77</v>
      </c>
      <c r="J89" s="14"/>
      <c r="K89" s="14"/>
      <c r="L89" s="14"/>
      <c r="M89" s="14"/>
      <c r="N89" s="14"/>
      <c r="O89" s="14"/>
    </row>
    <row r="90" spans="2:15" x14ac:dyDescent="0.25">
      <c r="B90" s="185">
        <v>4848</v>
      </c>
      <c r="C90" s="21" t="s">
        <v>102</v>
      </c>
      <c r="D90" s="21" t="s">
        <v>672</v>
      </c>
      <c r="E90" s="28">
        <v>42578</v>
      </c>
      <c r="F90" s="6">
        <v>97.2</v>
      </c>
      <c r="G90" s="7">
        <v>23</v>
      </c>
      <c r="H90" s="19">
        <f t="shared" si="7"/>
        <v>74.2</v>
      </c>
      <c r="J90" s="14"/>
      <c r="K90" s="14"/>
      <c r="L90" s="14"/>
      <c r="M90" s="14"/>
      <c r="N90" s="14"/>
      <c r="O90" s="14"/>
    </row>
    <row r="91" spans="2:15" x14ac:dyDescent="0.25">
      <c r="B91" s="185" t="s">
        <v>83</v>
      </c>
      <c r="C91" s="21" t="s">
        <v>102</v>
      </c>
      <c r="D91" s="21" t="s">
        <v>659</v>
      </c>
      <c r="E91" s="28">
        <v>42578</v>
      </c>
      <c r="F91" s="6">
        <v>98.82</v>
      </c>
      <c r="G91" s="7">
        <v>25</v>
      </c>
      <c r="H91" s="19">
        <f t="shared" si="7"/>
        <v>73.819999999999993</v>
      </c>
      <c r="J91" s="14"/>
      <c r="K91" s="14"/>
      <c r="L91" s="14"/>
      <c r="M91" s="14"/>
      <c r="N91" s="14"/>
      <c r="O91" s="14"/>
    </row>
    <row r="92" spans="2:15" x14ac:dyDescent="0.25">
      <c r="B92" s="185"/>
      <c r="C92" s="21"/>
      <c r="D92" s="21"/>
      <c r="E92" s="28"/>
      <c r="F92" s="6"/>
      <c r="G92" s="7"/>
      <c r="H92" s="19">
        <f t="shared" ref="H92:H95" si="8">F92-G92</f>
        <v>0</v>
      </c>
      <c r="J92" s="14"/>
      <c r="K92" s="14"/>
      <c r="L92" s="14"/>
      <c r="M92" s="14"/>
      <c r="N92" s="14"/>
      <c r="O92" s="14"/>
    </row>
    <row r="93" spans="2:15" x14ac:dyDescent="0.25">
      <c r="B93" s="185"/>
      <c r="C93" s="21"/>
      <c r="D93" s="66"/>
      <c r="E93" s="28"/>
      <c r="F93" s="6"/>
      <c r="G93" s="7"/>
      <c r="H93" s="19">
        <f t="shared" si="8"/>
        <v>0</v>
      </c>
      <c r="J93" s="14"/>
      <c r="K93" s="14"/>
      <c r="L93" s="14"/>
      <c r="M93" s="14"/>
      <c r="N93" s="14"/>
      <c r="O93" s="14"/>
    </row>
    <row r="94" spans="2:15" x14ac:dyDescent="0.25">
      <c r="B94" s="185"/>
      <c r="C94" s="21"/>
      <c r="D94" s="20"/>
      <c r="E94" s="28"/>
      <c r="F94" s="6"/>
      <c r="G94" s="7"/>
      <c r="H94" s="19">
        <f t="shared" si="8"/>
        <v>0</v>
      </c>
      <c r="I94" s="58"/>
    </row>
    <row r="95" spans="2:15" ht="15" thickBot="1" x14ac:dyDescent="0.3">
      <c r="B95" s="185"/>
      <c r="C95" s="21"/>
      <c r="D95" s="20"/>
      <c r="E95" s="28"/>
      <c r="F95" s="6"/>
      <c r="G95" s="7"/>
      <c r="H95" s="19">
        <f t="shared" si="8"/>
        <v>0</v>
      </c>
    </row>
    <row r="96" spans="2:15" ht="15" thickBot="1" x14ac:dyDescent="0.3">
      <c r="B96" s="201"/>
      <c r="C96" s="3"/>
      <c r="D96" s="4"/>
      <c r="E96" s="61"/>
      <c r="F96" s="62">
        <f>SUM(F76:F95)</f>
        <v>15361.039999999999</v>
      </c>
      <c r="G96" s="36">
        <f>SUM(G76:G95)</f>
        <v>693.16000000000008</v>
      </c>
      <c r="H96" s="63">
        <f>SUM(H76:H95)</f>
        <v>14667.88</v>
      </c>
    </row>
    <row r="97" spans="2:15" x14ac:dyDescent="0.25">
      <c r="B97" s="204"/>
      <c r="C97" s="3"/>
      <c r="D97" s="65"/>
      <c r="E97" s="38" t="s">
        <v>8</v>
      </c>
      <c r="F97" s="39">
        <f>TOTAL!I10</f>
        <v>65000</v>
      </c>
      <c r="G97" s="40" t="s">
        <v>9</v>
      </c>
      <c r="H97" s="41">
        <f>H96/F97%</f>
        <v>22.56596923076923</v>
      </c>
      <c r="I97" s="58" t="s">
        <v>10</v>
      </c>
    </row>
    <row r="98" spans="2:15" ht="15" thickBot="1" x14ac:dyDescent="0.3">
      <c r="B98" s="202"/>
      <c r="C98" s="43"/>
      <c r="D98" s="44"/>
      <c r="E98" s="45"/>
      <c r="F98" s="67"/>
      <c r="G98" s="47"/>
      <c r="H98" s="48"/>
      <c r="I98" s="14"/>
      <c r="J98" s="54"/>
    </row>
    <row r="99" spans="2:15" ht="18.75" thickTop="1" x14ac:dyDescent="0.25">
      <c r="B99" s="198" t="s">
        <v>49</v>
      </c>
      <c r="C99" s="49"/>
      <c r="D99" s="4"/>
      <c r="E99" s="5"/>
      <c r="F99" s="6"/>
      <c r="G99" s="7"/>
      <c r="H99" s="50"/>
      <c r="I99" s="14"/>
    </row>
    <row r="100" spans="2:15" x14ac:dyDescent="0.25">
      <c r="B100" s="199" t="s">
        <v>1</v>
      </c>
      <c r="C100" s="9" t="s">
        <v>2</v>
      </c>
      <c r="D100" s="10" t="s">
        <v>3</v>
      </c>
      <c r="E100" s="11" t="s">
        <v>4</v>
      </c>
      <c r="F100" s="12" t="s">
        <v>5</v>
      </c>
      <c r="G100" s="7" t="s">
        <v>12</v>
      </c>
      <c r="H100" s="13" t="s">
        <v>7</v>
      </c>
      <c r="I100" s="14"/>
    </row>
    <row r="101" spans="2:15" s="14" customFormat="1" x14ac:dyDescent="0.25">
      <c r="B101" s="185">
        <v>274</v>
      </c>
      <c r="C101" s="21" t="s">
        <v>84</v>
      </c>
      <c r="D101" s="20" t="s">
        <v>634</v>
      </c>
      <c r="E101" s="28">
        <v>42552</v>
      </c>
      <c r="F101" s="125">
        <v>290</v>
      </c>
      <c r="G101" s="7"/>
      <c r="H101" s="19">
        <f t="shared" ref="H101:H120" si="9">F101-G101</f>
        <v>290</v>
      </c>
      <c r="J101" s="1"/>
      <c r="K101" s="1"/>
      <c r="L101" s="1"/>
      <c r="M101" s="1"/>
      <c r="N101" s="1"/>
      <c r="O101" s="1"/>
    </row>
    <row r="102" spans="2:15" s="14" customFormat="1" x14ac:dyDescent="0.25">
      <c r="B102" s="185">
        <v>278</v>
      </c>
      <c r="C102" s="21" t="s">
        <v>84</v>
      </c>
      <c r="D102" s="20" t="s">
        <v>637</v>
      </c>
      <c r="E102" s="28">
        <v>42559</v>
      </c>
      <c r="F102" s="125">
        <v>290</v>
      </c>
      <c r="G102" s="7"/>
      <c r="H102" s="19">
        <f t="shared" si="9"/>
        <v>290</v>
      </c>
      <c r="J102" s="1"/>
      <c r="K102" s="1"/>
      <c r="L102" s="1"/>
      <c r="M102" s="1"/>
      <c r="N102" s="1"/>
      <c r="O102" s="1"/>
    </row>
    <row r="103" spans="2:15" s="14" customFormat="1" x14ac:dyDescent="0.25">
      <c r="B103" s="185">
        <v>279</v>
      </c>
      <c r="C103" s="21" t="s">
        <v>95</v>
      </c>
      <c r="D103" s="20" t="s">
        <v>544</v>
      </c>
      <c r="E103" s="28">
        <v>42559</v>
      </c>
      <c r="F103" s="125">
        <v>590</v>
      </c>
      <c r="G103" s="7"/>
      <c r="H103" s="19">
        <f t="shared" si="9"/>
        <v>590</v>
      </c>
      <c r="J103" s="68"/>
    </row>
    <row r="104" spans="2:15" s="14" customFormat="1" x14ac:dyDescent="0.25">
      <c r="B104" s="195">
        <v>280</v>
      </c>
      <c r="C104" s="15" t="s">
        <v>86</v>
      </c>
      <c r="D104" s="16" t="s">
        <v>638</v>
      </c>
      <c r="E104" s="17">
        <v>42559</v>
      </c>
      <c r="F104" s="51">
        <v>590</v>
      </c>
      <c r="G104" s="7"/>
      <c r="H104" s="19">
        <f t="shared" si="9"/>
        <v>590</v>
      </c>
      <c r="I104" s="1"/>
    </row>
    <row r="105" spans="2:15" s="14" customFormat="1" x14ac:dyDescent="0.25">
      <c r="B105" s="195" t="s">
        <v>83</v>
      </c>
      <c r="C105" s="15" t="s">
        <v>84</v>
      </c>
      <c r="D105" s="16" t="s">
        <v>611</v>
      </c>
      <c r="E105" s="17">
        <v>42559</v>
      </c>
      <c r="F105" s="51">
        <v>290</v>
      </c>
      <c r="G105" s="7"/>
      <c r="H105" s="19">
        <f t="shared" si="9"/>
        <v>290</v>
      </c>
      <c r="I105" s="1"/>
    </row>
    <row r="106" spans="2:15" s="14" customFormat="1" x14ac:dyDescent="0.25">
      <c r="B106" s="195" t="s">
        <v>83</v>
      </c>
      <c r="C106" s="15" t="s">
        <v>95</v>
      </c>
      <c r="D106" s="16" t="s">
        <v>612</v>
      </c>
      <c r="E106" s="17">
        <v>42559</v>
      </c>
      <c r="F106" s="51">
        <v>230</v>
      </c>
      <c r="G106" s="7"/>
      <c r="H106" s="19">
        <f t="shared" si="9"/>
        <v>230</v>
      </c>
      <c r="I106" s="1"/>
    </row>
    <row r="107" spans="2:15" x14ac:dyDescent="0.25">
      <c r="B107" s="195" t="s">
        <v>83</v>
      </c>
      <c r="C107" s="15" t="s">
        <v>95</v>
      </c>
      <c r="D107" s="16" t="s">
        <v>613</v>
      </c>
      <c r="E107" s="17">
        <v>42559</v>
      </c>
      <c r="F107" s="125">
        <v>230</v>
      </c>
      <c r="G107" s="7"/>
      <c r="H107" s="19">
        <f t="shared" si="9"/>
        <v>230</v>
      </c>
      <c r="J107" s="14"/>
      <c r="K107" s="14"/>
      <c r="L107" s="14"/>
      <c r="M107" s="14"/>
      <c r="N107" s="14"/>
      <c r="O107" s="14"/>
    </row>
    <row r="108" spans="2:15" x14ac:dyDescent="0.25">
      <c r="B108" s="195" t="s">
        <v>83</v>
      </c>
      <c r="C108" s="15" t="s">
        <v>95</v>
      </c>
      <c r="D108" s="16" t="s">
        <v>614</v>
      </c>
      <c r="E108" s="17">
        <v>42559</v>
      </c>
      <c r="F108" s="51">
        <v>276</v>
      </c>
      <c r="G108" s="7"/>
      <c r="H108" s="19">
        <f t="shared" si="9"/>
        <v>276</v>
      </c>
      <c r="J108" s="14"/>
      <c r="K108" s="14"/>
      <c r="L108" s="14"/>
      <c r="M108" s="14"/>
      <c r="N108" s="14"/>
      <c r="O108" s="14"/>
    </row>
    <row r="109" spans="2:15" x14ac:dyDescent="0.25">
      <c r="B109" s="185">
        <v>281</v>
      </c>
      <c r="C109" s="21" t="s">
        <v>86</v>
      </c>
      <c r="D109" s="20" t="s">
        <v>152</v>
      </c>
      <c r="E109" s="28">
        <v>42563</v>
      </c>
      <c r="F109" s="125">
        <v>8148.08</v>
      </c>
      <c r="G109" s="7"/>
      <c r="H109" s="19">
        <f t="shared" si="9"/>
        <v>8148.08</v>
      </c>
    </row>
    <row r="110" spans="2:15" x14ac:dyDescent="0.25">
      <c r="B110" s="185">
        <v>282</v>
      </c>
      <c r="C110" s="21" t="s">
        <v>86</v>
      </c>
      <c r="D110" s="20" t="s">
        <v>639</v>
      </c>
      <c r="E110" s="28">
        <v>42565</v>
      </c>
      <c r="F110" s="125">
        <v>350</v>
      </c>
      <c r="G110" s="7"/>
      <c r="H110" s="19">
        <f t="shared" si="9"/>
        <v>350</v>
      </c>
    </row>
    <row r="111" spans="2:15" x14ac:dyDescent="0.25">
      <c r="B111" s="185">
        <v>283</v>
      </c>
      <c r="C111" s="21" t="s">
        <v>84</v>
      </c>
      <c r="D111" s="20" t="s">
        <v>640</v>
      </c>
      <c r="E111" s="28">
        <v>42566</v>
      </c>
      <c r="F111" s="125">
        <v>290</v>
      </c>
      <c r="G111" s="7"/>
      <c r="H111" s="19">
        <f t="shared" si="9"/>
        <v>290</v>
      </c>
      <c r="J111" s="54"/>
    </row>
    <row r="112" spans="2:15" x14ac:dyDescent="0.25">
      <c r="B112" s="185">
        <v>284</v>
      </c>
      <c r="C112" s="21" t="s">
        <v>86</v>
      </c>
      <c r="D112" s="20" t="s">
        <v>641</v>
      </c>
      <c r="E112" s="28">
        <v>42566</v>
      </c>
      <c r="F112" s="125">
        <v>500</v>
      </c>
      <c r="G112" s="7"/>
      <c r="H112" s="19">
        <f t="shared" si="9"/>
        <v>500</v>
      </c>
      <c r="J112" s="54"/>
    </row>
    <row r="113" spans="2:10" x14ac:dyDescent="0.25">
      <c r="B113" s="185">
        <v>285</v>
      </c>
      <c r="C113" s="21" t="s">
        <v>95</v>
      </c>
      <c r="D113" s="20" t="s">
        <v>642</v>
      </c>
      <c r="E113" s="28">
        <v>42566</v>
      </c>
      <c r="F113" s="125">
        <v>1490</v>
      </c>
      <c r="G113" s="7"/>
      <c r="H113" s="19">
        <f t="shared" si="9"/>
        <v>1490</v>
      </c>
      <c r="J113" s="54"/>
    </row>
    <row r="114" spans="2:10" x14ac:dyDescent="0.25">
      <c r="B114" s="185">
        <v>286</v>
      </c>
      <c r="C114" s="21" t="s">
        <v>95</v>
      </c>
      <c r="D114" s="20" t="s">
        <v>536</v>
      </c>
      <c r="E114" s="28">
        <v>42566</v>
      </c>
      <c r="F114" s="125">
        <v>790</v>
      </c>
      <c r="G114" s="7"/>
      <c r="H114" s="19">
        <f t="shared" si="9"/>
        <v>790</v>
      </c>
      <c r="J114" s="54"/>
    </row>
    <row r="115" spans="2:10" x14ac:dyDescent="0.25">
      <c r="B115" s="185">
        <v>287</v>
      </c>
      <c r="C115" s="21" t="s">
        <v>86</v>
      </c>
      <c r="D115" s="20" t="s">
        <v>654</v>
      </c>
      <c r="E115" s="28">
        <v>42569</v>
      </c>
      <c r="F115" s="125">
        <v>490</v>
      </c>
      <c r="G115" s="7"/>
      <c r="H115" s="19">
        <f t="shared" si="9"/>
        <v>490</v>
      </c>
      <c r="J115" s="54"/>
    </row>
    <row r="116" spans="2:10" x14ac:dyDescent="0.25">
      <c r="B116" s="185">
        <v>288</v>
      </c>
      <c r="C116" s="21" t="s">
        <v>86</v>
      </c>
      <c r="D116" s="20" t="s">
        <v>470</v>
      </c>
      <c r="E116" s="28">
        <v>42570</v>
      </c>
      <c r="F116" s="125">
        <v>690</v>
      </c>
      <c r="G116" s="7"/>
      <c r="H116" s="19">
        <f t="shared" si="9"/>
        <v>690</v>
      </c>
      <c r="J116" s="54"/>
    </row>
    <row r="117" spans="2:10" x14ac:dyDescent="0.25">
      <c r="B117" s="185">
        <v>289</v>
      </c>
      <c r="C117" s="21" t="s">
        <v>84</v>
      </c>
      <c r="D117" s="20" t="s">
        <v>655</v>
      </c>
      <c r="E117" s="28">
        <v>42573</v>
      </c>
      <c r="F117" s="125">
        <v>290</v>
      </c>
      <c r="G117" s="7"/>
      <c r="H117" s="19">
        <f t="shared" si="9"/>
        <v>290</v>
      </c>
      <c r="J117" s="54"/>
    </row>
    <row r="118" spans="2:10" x14ac:dyDescent="0.25">
      <c r="B118" s="185">
        <v>290</v>
      </c>
      <c r="C118" s="21" t="s">
        <v>95</v>
      </c>
      <c r="D118" s="20" t="s">
        <v>392</v>
      </c>
      <c r="E118" s="28">
        <v>42573</v>
      </c>
      <c r="F118" s="125">
        <v>490</v>
      </c>
      <c r="G118" s="7"/>
      <c r="H118" s="19">
        <f t="shared" si="9"/>
        <v>490</v>
      </c>
      <c r="J118" s="54"/>
    </row>
    <row r="119" spans="2:10" x14ac:dyDescent="0.25">
      <c r="B119" s="185">
        <v>291</v>
      </c>
      <c r="C119" s="21" t="s">
        <v>86</v>
      </c>
      <c r="D119" s="20" t="s">
        <v>667</v>
      </c>
      <c r="E119" s="28">
        <v>42576</v>
      </c>
      <c r="F119" s="125">
        <v>842.9</v>
      </c>
      <c r="G119" s="7">
        <v>52.9</v>
      </c>
      <c r="H119" s="19">
        <f t="shared" si="9"/>
        <v>790</v>
      </c>
      <c r="J119" s="54"/>
    </row>
    <row r="120" spans="2:10" x14ac:dyDescent="0.25">
      <c r="B120" s="185">
        <v>294</v>
      </c>
      <c r="C120" s="21" t="s">
        <v>86</v>
      </c>
      <c r="D120" s="20" t="s">
        <v>668</v>
      </c>
      <c r="E120" s="28">
        <v>42580</v>
      </c>
      <c r="F120" s="125">
        <v>2680</v>
      </c>
      <c r="G120" s="7"/>
      <c r="H120" s="19">
        <f t="shared" si="9"/>
        <v>2680</v>
      </c>
      <c r="J120" s="54"/>
    </row>
    <row r="121" spans="2:10" x14ac:dyDescent="0.25">
      <c r="B121" s="185"/>
      <c r="C121" s="21"/>
      <c r="D121" s="20"/>
      <c r="E121" s="28"/>
      <c r="F121" s="125"/>
      <c r="G121" s="7"/>
      <c r="H121" s="19">
        <f t="shared" ref="H121:H133" si="10">F121-G121</f>
        <v>0</v>
      </c>
      <c r="J121" s="54"/>
    </row>
    <row r="122" spans="2:10" x14ac:dyDescent="0.25">
      <c r="B122" s="185"/>
      <c r="C122" s="21"/>
      <c r="D122" s="20"/>
      <c r="E122" s="28"/>
      <c r="F122" s="125"/>
      <c r="G122" s="7"/>
      <c r="H122" s="19">
        <f t="shared" si="10"/>
        <v>0</v>
      </c>
      <c r="J122" s="54"/>
    </row>
    <row r="123" spans="2:10" x14ac:dyDescent="0.25">
      <c r="B123" s="195"/>
      <c r="C123" s="15"/>
      <c r="D123" s="16"/>
      <c r="E123" s="17"/>
      <c r="F123" s="125"/>
      <c r="G123" s="7"/>
      <c r="H123" s="19">
        <f t="shared" si="10"/>
        <v>0</v>
      </c>
      <c r="J123" s="54"/>
    </row>
    <row r="124" spans="2:10" x14ac:dyDescent="0.25">
      <c r="B124" s="185"/>
      <c r="C124" s="21"/>
      <c r="D124" s="20"/>
      <c r="E124" s="28"/>
      <c r="F124" s="6"/>
      <c r="G124" s="7"/>
      <c r="H124" s="19">
        <f t="shared" si="10"/>
        <v>0</v>
      </c>
      <c r="J124" s="54"/>
    </row>
    <row r="125" spans="2:10" x14ac:dyDescent="0.25">
      <c r="B125" s="185"/>
      <c r="C125" s="21"/>
      <c r="D125" s="20"/>
      <c r="E125" s="28"/>
      <c r="F125" s="6"/>
      <c r="G125" s="7"/>
      <c r="H125" s="19">
        <f t="shared" si="10"/>
        <v>0</v>
      </c>
      <c r="J125" s="54"/>
    </row>
    <row r="126" spans="2:10" x14ac:dyDescent="0.25">
      <c r="B126" s="185"/>
      <c r="C126" s="21"/>
      <c r="D126" s="20"/>
      <c r="E126" s="28"/>
      <c r="F126" s="6"/>
      <c r="G126" s="7"/>
      <c r="H126" s="19">
        <f t="shared" si="10"/>
        <v>0</v>
      </c>
      <c r="J126" s="54"/>
    </row>
    <row r="127" spans="2:10" x14ac:dyDescent="0.25">
      <c r="B127" s="185"/>
      <c r="C127" s="21"/>
      <c r="D127" s="20"/>
      <c r="E127" s="28"/>
      <c r="F127" s="6"/>
      <c r="G127" s="7"/>
      <c r="H127" s="19">
        <f t="shared" si="10"/>
        <v>0</v>
      </c>
      <c r="J127" s="54"/>
    </row>
    <row r="128" spans="2:10" x14ac:dyDescent="0.25">
      <c r="B128" s="185"/>
      <c r="C128" s="21"/>
      <c r="D128" s="20"/>
      <c r="E128" s="28"/>
      <c r="F128" s="6"/>
      <c r="G128" s="7"/>
      <c r="H128" s="19">
        <f t="shared" si="10"/>
        <v>0</v>
      </c>
      <c r="J128" s="54"/>
    </row>
    <row r="129" spans="2:10" x14ac:dyDescent="0.25">
      <c r="B129" s="185"/>
      <c r="C129" s="21"/>
      <c r="D129" s="20"/>
      <c r="E129" s="28"/>
      <c r="F129" s="6"/>
      <c r="G129" s="7"/>
      <c r="H129" s="19">
        <f t="shared" si="10"/>
        <v>0</v>
      </c>
      <c r="J129" s="54"/>
    </row>
    <row r="130" spans="2:10" x14ac:dyDescent="0.25">
      <c r="B130" s="185"/>
      <c r="C130" s="21"/>
      <c r="D130" s="20"/>
      <c r="E130" s="28"/>
      <c r="F130" s="6"/>
      <c r="G130" s="7"/>
      <c r="H130" s="19">
        <f t="shared" si="10"/>
        <v>0</v>
      </c>
      <c r="J130" s="54"/>
    </row>
    <row r="131" spans="2:10" x14ac:dyDescent="0.25">
      <c r="B131" s="185"/>
      <c r="C131" s="21"/>
      <c r="D131" s="20"/>
      <c r="E131" s="28"/>
      <c r="F131" s="6"/>
      <c r="G131" s="7"/>
      <c r="H131" s="19">
        <f t="shared" si="10"/>
        <v>0</v>
      </c>
      <c r="J131" s="54"/>
    </row>
    <row r="132" spans="2:10" x14ac:dyDescent="0.25">
      <c r="B132" s="185"/>
      <c r="C132" s="21"/>
      <c r="D132" s="20"/>
      <c r="E132" s="28"/>
      <c r="F132" s="6"/>
      <c r="G132" s="7"/>
      <c r="H132" s="19">
        <f t="shared" si="10"/>
        <v>0</v>
      </c>
      <c r="J132" s="54"/>
    </row>
    <row r="133" spans="2:10" ht="15" thickBot="1" x14ac:dyDescent="0.3">
      <c r="B133" s="185"/>
      <c r="C133" s="21"/>
      <c r="D133" s="20"/>
      <c r="E133" s="28"/>
      <c r="F133" s="6"/>
      <c r="G133" s="7"/>
      <c r="H133" s="19">
        <f t="shared" si="10"/>
        <v>0</v>
      </c>
    </row>
    <row r="134" spans="2:10" ht="15" thickBot="1" x14ac:dyDescent="0.3">
      <c r="E134" s="70"/>
      <c r="F134" s="62">
        <f>SUM(F101:F133)</f>
        <v>19836.98</v>
      </c>
      <c r="G134" s="36"/>
      <c r="H134" s="63">
        <f>SUM(H101:H133)</f>
        <v>19784.080000000002</v>
      </c>
    </row>
    <row r="135" spans="2:10" x14ac:dyDescent="0.25">
      <c r="E135" s="38" t="s">
        <v>8</v>
      </c>
      <c r="F135" s="39">
        <f>TOTAL!I11</f>
        <v>46000</v>
      </c>
      <c r="G135" s="40" t="s">
        <v>16</v>
      </c>
      <c r="H135" s="71">
        <f>H134/F135%</f>
        <v>43.008869565217395</v>
      </c>
      <c r="I135" s="58" t="s">
        <v>10</v>
      </c>
    </row>
    <row r="136" spans="2:10" x14ac:dyDescent="0.25">
      <c r="E136" s="38"/>
      <c r="F136" s="39"/>
      <c r="G136" s="40"/>
      <c r="H136" s="71"/>
      <c r="I136" s="58"/>
    </row>
    <row r="137" spans="2:10" ht="15" thickBot="1" x14ac:dyDescent="0.3">
      <c r="E137" s="38"/>
      <c r="F137" s="39"/>
      <c r="G137" s="40"/>
      <c r="H137" s="71"/>
      <c r="I137" s="58"/>
    </row>
    <row r="138" spans="2:10" ht="18.75" thickTop="1" x14ac:dyDescent="0.25">
      <c r="B138" s="207" t="s">
        <v>150</v>
      </c>
      <c r="C138" s="76"/>
      <c r="D138" s="83"/>
      <c r="E138" s="77"/>
      <c r="F138" s="77"/>
      <c r="G138" s="77"/>
      <c r="H138" s="77"/>
      <c r="I138" s="58"/>
    </row>
    <row r="139" spans="2:10" x14ac:dyDescent="0.25">
      <c r="B139" s="199" t="s">
        <v>1</v>
      </c>
      <c r="C139" s="9" t="s">
        <v>2</v>
      </c>
      <c r="D139" s="10" t="s">
        <v>3</v>
      </c>
      <c r="E139" s="249" t="s">
        <v>4</v>
      </c>
      <c r="F139" s="12" t="s">
        <v>5</v>
      </c>
      <c r="G139" s="7" t="s">
        <v>12</v>
      </c>
      <c r="H139" s="13" t="s">
        <v>7</v>
      </c>
      <c r="I139" s="58"/>
    </row>
    <row r="140" spans="2:10" x14ac:dyDescent="0.25">
      <c r="B140" s="182">
        <v>277</v>
      </c>
      <c r="C140" s="182" t="s">
        <v>151</v>
      </c>
      <c r="D140" s="183" t="s">
        <v>152</v>
      </c>
      <c r="E140" s="178">
        <v>42559</v>
      </c>
      <c r="F140" s="177">
        <v>57992.35</v>
      </c>
      <c r="G140" s="175"/>
      <c r="H140" s="19">
        <f t="shared" ref="H140:H143" si="11">F140-G140</f>
        <v>57992.35</v>
      </c>
      <c r="I140" s="58"/>
    </row>
    <row r="141" spans="2:10" x14ac:dyDescent="0.25">
      <c r="B141" s="182"/>
      <c r="C141" s="182"/>
      <c r="D141" s="183"/>
      <c r="E141" s="178"/>
      <c r="F141" s="177"/>
      <c r="G141" s="175"/>
      <c r="H141" s="19">
        <f t="shared" si="11"/>
        <v>0</v>
      </c>
      <c r="I141" s="58"/>
    </row>
    <row r="142" spans="2:10" x14ac:dyDescent="0.25">
      <c r="B142" s="182"/>
      <c r="C142" s="29"/>
      <c r="D142" s="30"/>
      <c r="E142" s="31"/>
      <c r="F142" s="6"/>
      <c r="G142" s="7"/>
      <c r="H142" s="19">
        <f t="shared" si="11"/>
        <v>0</v>
      </c>
      <c r="I142" s="58"/>
    </row>
    <row r="143" spans="2:10" ht="15" thickBot="1" x14ac:dyDescent="0.3">
      <c r="B143" s="182"/>
      <c r="C143" s="29"/>
      <c r="D143" s="30"/>
      <c r="E143" s="31"/>
      <c r="F143" s="6"/>
      <c r="G143" s="7"/>
      <c r="H143" s="19">
        <f t="shared" si="11"/>
        <v>0</v>
      </c>
      <c r="I143" s="58"/>
    </row>
    <row r="144" spans="2:10" ht="15" thickBot="1" x14ac:dyDescent="0.3">
      <c r="B144" s="182"/>
      <c r="C144" s="29"/>
      <c r="D144" s="30"/>
      <c r="E144" s="31"/>
      <c r="F144" s="35"/>
      <c r="G144" s="36"/>
      <c r="H144" s="37">
        <f>SUM(H140:H143)</f>
        <v>57992.35</v>
      </c>
      <c r="I144" s="58"/>
    </row>
    <row r="145" spans="2:15" ht="15" thickBot="1" x14ac:dyDescent="0.3">
      <c r="B145" s="206"/>
      <c r="C145" s="79"/>
      <c r="D145" s="80"/>
      <c r="E145" s="81"/>
      <c r="F145" s="82"/>
      <c r="G145" s="7"/>
      <c r="H145" s="74"/>
    </row>
    <row r="146" spans="2:15" ht="18.75" thickTop="1" x14ac:dyDescent="0.25">
      <c r="B146" s="207" t="s">
        <v>44</v>
      </c>
      <c r="C146" s="76"/>
      <c r="D146" s="83"/>
      <c r="E146" s="77"/>
      <c r="F146" s="84"/>
      <c r="G146" s="78"/>
      <c r="H146" s="50"/>
      <c r="J146" s="14"/>
    </row>
    <row r="147" spans="2:15" x14ac:dyDescent="0.25">
      <c r="B147" s="199" t="s">
        <v>1</v>
      </c>
      <c r="C147" s="9" t="s">
        <v>2</v>
      </c>
      <c r="D147" s="10" t="s">
        <v>3</v>
      </c>
      <c r="E147" s="11" t="s">
        <v>4</v>
      </c>
      <c r="F147" s="12" t="s">
        <v>5</v>
      </c>
      <c r="G147" s="7" t="s">
        <v>12</v>
      </c>
      <c r="H147" s="13" t="s">
        <v>7</v>
      </c>
    </row>
    <row r="148" spans="2:15" s="14" customFormat="1" x14ac:dyDescent="0.25">
      <c r="B148" s="185">
        <v>1409</v>
      </c>
      <c r="C148" s="21" t="s">
        <v>102</v>
      </c>
      <c r="D148" s="20" t="s">
        <v>156</v>
      </c>
      <c r="E148" s="28">
        <v>42558</v>
      </c>
      <c r="F148" s="6">
        <v>350</v>
      </c>
      <c r="G148" s="7"/>
      <c r="H148" s="19">
        <f t="shared" ref="H148:H157" si="12">F148-G148</f>
        <v>350</v>
      </c>
      <c r="I148" s="1"/>
      <c r="J148" s="1"/>
      <c r="K148" s="1"/>
      <c r="L148" s="1"/>
      <c r="M148" s="1"/>
      <c r="N148" s="1"/>
      <c r="O148" s="1"/>
    </row>
    <row r="149" spans="2:15" s="14" customFormat="1" x14ac:dyDescent="0.25">
      <c r="B149" s="185">
        <v>1414</v>
      </c>
      <c r="C149" s="21" t="s">
        <v>102</v>
      </c>
      <c r="D149" s="20" t="s">
        <v>645</v>
      </c>
      <c r="E149" s="28">
        <v>42564</v>
      </c>
      <c r="F149" s="6">
        <v>377</v>
      </c>
      <c r="G149" s="7">
        <v>27</v>
      </c>
      <c r="H149" s="19">
        <f t="shared" si="12"/>
        <v>350</v>
      </c>
      <c r="I149" s="1"/>
      <c r="J149" s="1"/>
      <c r="K149" s="1"/>
      <c r="L149" s="1"/>
      <c r="M149" s="1"/>
      <c r="N149" s="1"/>
      <c r="O149" s="1"/>
    </row>
    <row r="150" spans="2:15" s="14" customFormat="1" x14ac:dyDescent="0.25">
      <c r="B150" s="185">
        <v>1417</v>
      </c>
      <c r="C150" s="21" t="s">
        <v>102</v>
      </c>
      <c r="D150" s="20" t="s">
        <v>648</v>
      </c>
      <c r="E150" s="28">
        <v>42565</v>
      </c>
      <c r="F150" s="6">
        <v>728</v>
      </c>
      <c r="G150" s="7">
        <v>28</v>
      </c>
      <c r="H150" s="19">
        <f t="shared" si="12"/>
        <v>700</v>
      </c>
      <c r="I150" s="1"/>
      <c r="J150" s="1"/>
    </row>
    <row r="151" spans="2:15" s="14" customFormat="1" x14ac:dyDescent="0.25">
      <c r="B151" s="185">
        <v>1428</v>
      </c>
      <c r="C151" s="21" t="s">
        <v>102</v>
      </c>
      <c r="D151" s="20" t="s">
        <v>394</v>
      </c>
      <c r="E151" s="28">
        <v>42577</v>
      </c>
      <c r="F151" s="6">
        <v>350</v>
      </c>
      <c r="G151" s="7"/>
      <c r="H151" s="19">
        <f t="shared" si="12"/>
        <v>350</v>
      </c>
      <c r="I151" s="58"/>
      <c r="J151" s="54"/>
    </row>
    <row r="152" spans="2:15" s="14" customFormat="1" x14ac:dyDescent="0.25">
      <c r="B152" s="185">
        <v>1429</v>
      </c>
      <c r="C152" s="21" t="s">
        <v>102</v>
      </c>
      <c r="D152" s="20" t="s">
        <v>660</v>
      </c>
      <c r="E152" s="28">
        <v>42577</v>
      </c>
      <c r="F152" s="6">
        <v>374</v>
      </c>
      <c r="G152" s="7">
        <v>24</v>
      </c>
      <c r="H152" s="19">
        <f t="shared" si="12"/>
        <v>350</v>
      </c>
      <c r="J152" s="1"/>
    </row>
    <row r="153" spans="2:15" s="14" customFormat="1" x14ac:dyDescent="0.25">
      <c r="B153" s="185">
        <v>1432</v>
      </c>
      <c r="C153" s="21" t="s">
        <v>102</v>
      </c>
      <c r="D153" s="20" t="s">
        <v>662</v>
      </c>
      <c r="E153" s="28">
        <v>42578</v>
      </c>
      <c r="F153" s="6">
        <v>374</v>
      </c>
      <c r="G153" s="7">
        <v>24</v>
      </c>
      <c r="H153" s="19">
        <f t="shared" si="12"/>
        <v>350</v>
      </c>
      <c r="J153" s="1"/>
    </row>
    <row r="154" spans="2:15" s="14" customFormat="1" x14ac:dyDescent="0.25">
      <c r="B154" s="185">
        <v>1434</v>
      </c>
      <c r="C154" s="21" t="s">
        <v>102</v>
      </c>
      <c r="D154" s="20" t="s">
        <v>663</v>
      </c>
      <c r="E154" s="28">
        <v>42578</v>
      </c>
      <c r="F154" s="6">
        <v>727</v>
      </c>
      <c r="G154" s="7">
        <v>27</v>
      </c>
      <c r="H154" s="19">
        <f t="shared" si="12"/>
        <v>700</v>
      </c>
      <c r="J154" s="1"/>
    </row>
    <row r="155" spans="2:15" s="14" customFormat="1" x14ac:dyDescent="0.25">
      <c r="B155" s="185">
        <v>1436</v>
      </c>
      <c r="C155" s="21" t="s">
        <v>102</v>
      </c>
      <c r="D155" s="20" t="s">
        <v>644</v>
      </c>
      <c r="E155" s="28">
        <v>42579</v>
      </c>
      <c r="F155" s="6">
        <v>1200</v>
      </c>
      <c r="G155" s="7"/>
      <c r="H155" s="19">
        <f t="shared" si="12"/>
        <v>1200</v>
      </c>
      <c r="J155" s="54"/>
    </row>
    <row r="156" spans="2:15" s="14" customFormat="1" x14ac:dyDescent="0.25">
      <c r="B156" s="195">
        <v>1439</v>
      </c>
      <c r="C156" s="15" t="s">
        <v>102</v>
      </c>
      <c r="D156" s="16" t="s">
        <v>611</v>
      </c>
      <c r="E156" s="17">
        <v>42579</v>
      </c>
      <c r="F156" s="6">
        <v>350</v>
      </c>
      <c r="G156" s="7"/>
      <c r="H156" s="19">
        <f t="shared" si="12"/>
        <v>350</v>
      </c>
      <c r="J156" s="54"/>
    </row>
    <row r="157" spans="2:15" s="14" customFormat="1" x14ac:dyDescent="0.25">
      <c r="B157" s="185" t="s">
        <v>83</v>
      </c>
      <c r="C157" s="21" t="s">
        <v>102</v>
      </c>
      <c r="D157" s="20" t="s">
        <v>661</v>
      </c>
      <c r="E157" s="28"/>
      <c r="F157" s="6">
        <v>35</v>
      </c>
      <c r="G157" s="7"/>
      <c r="H157" s="19">
        <f t="shared" si="12"/>
        <v>35</v>
      </c>
      <c r="J157" s="54"/>
    </row>
    <row r="158" spans="2:15" s="14" customFormat="1" x14ac:dyDescent="0.25">
      <c r="B158" s="252"/>
      <c r="C158" s="22"/>
      <c r="D158" s="22"/>
      <c r="E158" s="23"/>
      <c r="F158" s="24"/>
      <c r="G158" s="25"/>
      <c r="H158" s="19">
        <f t="shared" ref="H158:H159" si="13">F158-G158</f>
        <v>0</v>
      </c>
      <c r="J158" s="54"/>
    </row>
    <row r="159" spans="2:15" ht="15" thickBot="1" x14ac:dyDescent="0.3">
      <c r="B159" s="185"/>
      <c r="C159" s="21"/>
      <c r="D159" s="20"/>
      <c r="E159" s="28"/>
      <c r="F159" s="18"/>
      <c r="G159" s="7"/>
      <c r="H159" s="19">
        <f t="shared" si="13"/>
        <v>0</v>
      </c>
      <c r="I159" s="101">
        <f>SUM(H150,H134,H101,H76,H56,H45,H37)</f>
        <v>24175.32</v>
      </c>
      <c r="K159" s="14"/>
      <c r="L159" s="14"/>
      <c r="M159" s="14"/>
      <c r="N159" s="14"/>
      <c r="O159" s="14"/>
    </row>
    <row r="160" spans="2:15" ht="15" thickBot="1" x14ac:dyDescent="0.3">
      <c r="B160" s="208"/>
      <c r="C160" s="85"/>
      <c r="D160" s="14"/>
      <c r="E160" s="86"/>
      <c r="F160" s="62">
        <f>SUM(F148:F159)</f>
        <v>4865</v>
      </c>
      <c r="G160" s="36">
        <f>SUM(G148:G159)</f>
        <v>130</v>
      </c>
      <c r="H160" s="63">
        <f>SUM(H148:H159)</f>
        <v>4735</v>
      </c>
      <c r="I160" s="14"/>
      <c r="K160" s="14"/>
      <c r="L160" s="14"/>
      <c r="M160" s="14"/>
      <c r="N160" s="14"/>
      <c r="O160" s="14"/>
    </row>
    <row r="161" spans="1:10" x14ac:dyDescent="0.25">
      <c r="E161" s="38" t="s">
        <v>8</v>
      </c>
      <c r="F161" s="39">
        <f>TOTAL!I12</f>
        <v>3900</v>
      </c>
      <c r="G161" s="40" t="s">
        <v>16</v>
      </c>
      <c r="H161" s="71">
        <f>H160/F161%</f>
        <v>121.41025641025641</v>
      </c>
      <c r="I161" s="58" t="s">
        <v>10</v>
      </c>
    </row>
    <row r="162" spans="1:10" ht="15" thickBot="1" x14ac:dyDescent="0.3">
      <c r="B162" s="201"/>
      <c r="C162" s="3"/>
      <c r="D162" s="87"/>
      <c r="E162" s="88"/>
      <c r="F162" s="89"/>
      <c r="G162" s="90"/>
      <c r="H162" s="8"/>
      <c r="I162" s="14"/>
    </row>
    <row r="163" spans="1:10" ht="15" thickBot="1" x14ac:dyDescent="0.3">
      <c r="D163" s="288" t="s">
        <v>731</v>
      </c>
      <c r="E163" s="288"/>
      <c r="F163" s="288"/>
      <c r="G163" s="291"/>
      <c r="H163" s="91">
        <f>SUM(SUM(H3)+SUM(H101))</f>
        <v>22190</v>
      </c>
      <c r="I163" s="14"/>
    </row>
    <row r="164" spans="1:10" ht="15" thickBot="1" x14ac:dyDescent="0.3">
      <c r="D164" s="285" t="s">
        <v>732</v>
      </c>
      <c r="E164" s="285"/>
      <c r="F164" s="285"/>
      <c r="G164" s="292"/>
      <c r="H164" s="92">
        <f>SUM(SUM(H4:H7)+SUM(H56:H58)+SUM(H76:H81)+SUM(H102:H108)+SUM(H140)+SUM(H148))</f>
        <v>185697.65</v>
      </c>
      <c r="I164" s="14"/>
    </row>
    <row r="165" spans="1:10" ht="15" thickBot="1" x14ac:dyDescent="0.3">
      <c r="D165" s="286" t="s">
        <v>733</v>
      </c>
      <c r="E165" s="286"/>
      <c r="F165" s="286"/>
      <c r="G165" s="293"/>
      <c r="H165" s="93">
        <f>SUM(SUM(H8:H9)+SUM(H59)+SUM(H82:H84)+SUM(H109:H114)+SUM(H149:H150))</f>
        <v>68996.34</v>
      </c>
      <c r="I165" s="14"/>
    </row>
    <row r="166" spans="1:10" ht="15" thickBot="1" x14ac:dyDescent="0.3">
      <c r="D166" s="287" t="s">
        <v>734</v>
      </c>
      <c r="E166" s="287"/>
      <c r="F166" s="287"/>
      <c r="G166" s="294"/>
      <c r="H166" s="94">
        <f>SUM(SUM(H10:H13)+SUM(H85:H86)+SUM(H115:H118))</f>
        <v>76675.070000000007</v>
      </c>
      <c r="I166" s="14"/>
    </row>
    <row r="167" spans="1:10" ht="15" thickBot="1" x14ac:dyDescent="0.3">
      <c r="D167" s="283" t="s">
        <v>735</v>
      </c>
      <c r="E167" s="283"/>
      <c r="F167" s="283"/>
      <c r="G167" s="290"/>
      <c r="H167" s="95">
        <f>SUM(SUM(H14:H28)+SUM(H45:H46)+SUM(H87:H91)+SUM(H119:H120)+SUM(H151:H157))</f>
        <v>377294.49</v>
      </c>
      <c r="I167" s="14"/>
    </row>
    <row r="168" spans="1:10" ht="15" thickBot="1" x14ac:dyDescent="0.3">
      <c r="D168" s="96"/>
      <c r="E168" s="97"/>
      <c r="F168" s="98"/>
      <c r="G168" s="99"/>
      <c r="H168" s="100">
        <f>SUM(H163:H167)</f>
        <v>730853.55</v>
      </c>
      <c r="I168" s="101">
        <f>SUM(H32,H40,H51,H71,H96,H134,H160,H144)</f>
        <v>730853.54999999993</v>
      </c>
    </row>
    <row r="169" spans="1:10" x14ac:dyDescent="0.25">
      <c r="I169" s="42"/>
    </row>
    <row r="170" spans="1:10" x14ac:dyDescent="0.25">
      <c r="B170" s="180"/>
      <c r="C170" s="1"/>
      <c r="E170" s="70"/>
    </row>
    <row r="175" spans="1:10" s="104" customFormat="1" x14ac:dyDescent="0.25">
      <c r="A175" s="1"/>
      <c r="B175" s="205"/>
      <c r="C175" s="69"/>
      <c r="D175" s="1"/>
      <c r="E175" s="70"/>
      <c r="F175" s="73"/>
      <c r="G175" s="103"/>
      <c r="I175" s="1"/>
      <c r="J175" s="1"/>
    </row>
    <row r="182" spans="1:10" s="104" customFormat="1" x14ac:dyDescent="0.25">
      <c r="A182" s="1"/>
      <c r="B182" s="205"/>
      <c r="C182" s="69"/>
      <c r="D182" s="1"/>
      <c r="E182" s="70"/>
      <c r="F182" s="73"/>
      <c r="G182" s="103"/>
      <c r="I182" s="1"/>
      <c r="J182" s="1"/>
    </row>
  </sheetData>
  <sortState ref="B148:H157">
    <sortCondition ref="E148:E157"/>
    <sortCondition ref="B148:B157"/>
  </sortState>
  <mergeCells count="7">
    <mergeCell ref="D167:G167"/>
    <mergeCell ref="J1:O1"/>
    <mergeCell ref="D163:G163"/>
    <mergeCell ref="D164:G164"/>
    <mergeCell ref="D165:G165"/>
    <mergeCell ref="D166:G166"/>
    <mergeCell ref="J35:O35"/>
  </mergeCells>
  <phoneticPr fontId="38" type="noConversion"/>
  <pageMargins left="0.75" right="0.75" top="1" bottom="1" header="0.49212598499999999" footer="0.49212598499999999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7"/>
  <sheetViews>
    <sheetView showGridLines="0" zoomScale="85" workbookViewId="0">
      <selection activeCell="D14" sqref="D14"/>
    </sheetView>
  </sheetViews>
  <sheetFormatPr defaultRowHeight="14.25" x14ac:dyDescent="0.25"/>
  <cols>
    <col min="1" max="1" width="9.140625" style="1" customWidth="1"/>
    <col min="2" max="2" width="11.5703125" style="205" customWidth="1"/>
    <col min="3" max="3" width="22" style="69" customWidth="1"/>
    <col min="4" max="4" width="60.28515625" style="1" bestFit="1" customWidth="1"/>
    <col min="5" max="5" width="18.7109375" style="72" customWidth="1"/>
    <col min="6" max="6" width="16.28515625" style="73" customWidth="1"/>
    <col min="7" max="7" width="16.5703125" style="103" customWidth="1"/>
    <col min="8" max="8" width="23.42578125" style="104" customWidth="1"/>
    <col min="9" max="9" width="41.28515625" style="1" customWidth="1"/>
    <col min="10" max="15" width="15.7109375" style="1" customWidth="1"/>
    <col min="16" max="16384" width="9.140625" style="1"/>
  </cols>
  <sheetData>
    <row r="1" spans="1:15" ht="18" x14ac:dyDescent="0.25">
      <c r="B1" s="198" t="s">
        <v>0</v>
      </c>
      <c r="C1" s="3"/>
      <c r="D1" s="4"/>
      <c r="E1" s="5"/>
      <c r="F1" s="6"/>
      <c r="G1" s="7"/>
      <c r="H1" s="8"/>
      <c r="J1" s="284" t="s">
        <v>43</v>
      </c>
      <c r="K1" s="284"/>
      <c r="L1" s="284"/>
      <c r="M1" s="284"/>
      <c r="N1" s="284"/>
      <c r="O1" s="284"/>
    </row>
    <row r="2" spans="1:15" x14ac:dyDescent="0.25">
      <c r="B2" s="199" t="s">
        <v>1</v>
      </c>
      <c r="C2" s="9" t="s">
        <v>2</v>
      </c>
      <c r="D2" s="10" t="s">
        <v>3</v>
      </c>
      <c r="E2" s="11" t="s">
        <v>4</v>
      </c>
      <c r="F2" s="12" t="s">
        <v>5</v>
      </c>
      <c r="G2" s="7" t="s">
        <v>6</v>
      </c>
      <c r="H2" s="13" t="s">
        <v>7</v>
      </c>
      <c r="I2" s="11" t="s">
        <v>42</v>
      </c>
      <c r="J2" s="11" t="s">
        <v>50</v>
      </c>
      <c r="K2" s="11" t="s">
        <v>53</v>
      </c>
      <c r="L2" s="11" t="s">
        <v>51</v>
      </c>
      <c r="M2" s="11" t="s">
        <v>52</v>
      </c>
      <c r="N2" s="253" t="s">
        <v>730</v>
      </c>
      <c r="O2" s="11" t="s">
        <v>54</v>
      </c>
    </row>
    <row r="3" spans="1:15" s="14" customFormat="1" x14ac:dyDescent="0.25">
      <c r="B3" s="195">
        <v>1450</v>
      </c>
      <c r="C3" s="15" t="s">
        <v>535</v>
      </c>
      <c r="D3" s="16" t="s">
        <v>693</v>
      </c>
      <c r="E3" s="17">
        <v>42584</v>
      </c>
      <c r="F3" s="18">
        <v>27990</v>
      </c>
      <c r="G3" s="52"/>
      <c r="H3" s="19">
        <f t="shared" ref="H3:H15" si="0">F3-G3</f>
        <v>27990</v>
      </c>
      <c r="I3" s="137" t="s">
        <v>775</v>
      </c>
      <c r="J3" s="145">
        <v>283.07</v>
      </c>
      <c r="K3" s="145">
        <v>147.69</v>
      </c>
      <c r="L3" s="145"/>
      <c r="M3" s="145">
        <v>184.61</v>
      </c>
      <c r="N3" s="145"/>
      <c r="O3" s="145"/>
    </row>
    <row r="4" spans="1:15" s="14" customFormat="1" x14ac:dyDescent="0.25">
      <c r="A4" s="20"/>
      <c r="B4" s="195">
        <v>4886</v>
      </c>
      <c r="C4" s="15" t="s">
        <v>535</v>
      </c>
      <c r="D4" s="16" t="s">
        <v>721</v>
      </c>
      <c r="E4" s="17">
        <v>42590</v>
      </c>
      <c r="F4" s="18">
        <v>32000</v>
      </c>
      <c r="G4" s="175">
        <v>1295</v>
      </c>
      <c r="H4" s="19">
        <f t="shared" si="0"/>
        <v>30705</v>
      </c>
      <c r="I4" s="137" t="s">
        <v>776</v>
      </c>
      <c r="J4" s="145">
        <v>255.75</v>
      </c>
      <c r="K4" s="145">
        <v>133.43</v>
      </c>
      <c r="L4" s="145"/>
      <c r="M4" s="145">
        <v>166.79</v>
      </c>
      <c r="N4" s="145"/>
      <c r="O4" s="145"/>
    </row>
    <row r="5" spans="1:15" s="14" customFormat="1" x14ac:dyDescent="0.25">
      <c r="A5" s="20"/>
      <c r="B5" s="194">
        <v>4895</v>
      </c>
      <c r="C5" s="141" t="s">
        <v>102</v>
      </c>
      <c r="D5" s="141" t="s">
        <v>161</v>
      </c>
      <c r="E5" s="23">
        <v>42592</v>
      </c>
      <c r="F5" s="24">
        <v>18200</v>
      </c>
      <c r="G5" s="173">
        <v>188</v>
      </c>
      <c r="H5" s="19">
        <f t="shared" si="0"/>
        <v>18012</v>
      </c>
      <c r="I5" s="137" t="s">
        <v>778</v>
      </c>
      <c r="J5" s="145">
        <v>185.29</v>
      </c>
      <c r="K5" s="145">
        <v>96.67</v>
      </c>
      <c r="L5" s="146">
        <v>120.84</v>
      </c>
      <c r="M5" s="146"/>
      <c r="N5" s="146"/>
      <c r="O5" s="145"/>
    </row>
    <row r="6" spans="1:15" s="14" customFormat="1" x14ac:dyDescent="0.25">
      <c r="A6" s="20"/>
      <c r="B6" s="194">
        <v>4911</v>
      </c>
      <c r="C6" s="141" t="s">
        <v>535</v>
      </c>
      <c r="D6" s="141" t="s">
        <v>737</v>
      </c>
      <c r="E6" s="23">
        <v>42600</v>
      </c>
      <c r="F6" s="26">
        <v>19990</v>
      </c>
      <c r="G6" s="175"/>
      <c r="H6" s="19">
        <f t="shared" si="0"/>
        <v>19990</v>
      </c>
      <c r="I6" s="137" t="s">
        <v>779</v>
      </c>
      <c r="J6" s="145">
        <v>204.6</v>
      </c>
      <c r="K6" s="145">
        <v>106.75</v>
      </c>
      <c r="L6" s="145">
        <v>133.43</v>
      </c>
      <c r="M6" s="145"/>
      <c r="N6" s="145"/>
      <c r="O6" s="145"/>
    </row>
    <row r="7" spans="1:15" x14ac:dyDescent="0.25">
      <c r="A7" s="20"/>
      <c r="B7" s="194">
        <v>4915</v>
      </c>
      <c r="C7" s="141" t="s">
        <v>535</v>
      </c>
      <c r="D7" s="141" t="s">
        <v>756</v>
      </c>
      <c r="E7" s="23">
        <v>42604</v>
      </c>
      <c r="F7" s="26">
        <v>20990</v>
      </c>
      <c r="G7" s="175">
        <v>150</v>
      </c>
      <c r="H7" s="19">
        <f t="shared" si="0"/>
        <v>20840</v>
      </c>
      <c r="I7" s="137" t="s">
        <v>699</v>
      </c>
      <c r="J7" s="145">
        <v>169.75</v>
      </c>
      <c r="K7" s="145">
        <v>88.57</v>
      </c>
      <c r="L7" s="145"/>
      <c r="M7" s="145">
        <v>110.71</v>
      </c>
      <c r="N7" s="145"/>
      <c r="O7" s="145">
        <v>450</v>
      </c>
    </row>
    <row r="8" spans="1:15" x14ac:dyDescent="0.25">
      <c r="A8" s="20"/>
      <c r="B8" s="231">
        <v>4916</v>
      </c>
      <c r="C8" s="231" t="s">
        <v>535</v>
      </c>
      <c r="D8" s="234" t="s">
        <v>757</v>
      </c>
      <c r="E8" s="235">
        <v>42605</v>
      </c>
      <c r="F8" s="236">
        <v>17800</v>
      </c>
      <c r="G8" s="175"/>
      <c r="H8" s="19">
        <f t="shared" si="0"/>
        <v>17800</v>
      </c>
      <c r="I8" s="137" t="s">
        <v>784</v>
      </c>
      <c r="J8" s="145">
        <v>182.18</v>
      </c>
      <c r="K8" s="145">
        <v>95.05</v>
      </c>
      <c r="L8" s="145">
        <v>118.82</v>
      </c>
      <c r="M8" s="145"/>
      <c r="N8" s="145"/>
      <c r="O8" s="145"/>
    </row>
    <row r="9" spans="1:15" x14ac:dyDescent="0.25">
      <c r="A9" s="20"/>
      <c r="B9" s="182">
        <v>4919</v>
      </c>
      <c r="C9" s="29" t="s">
        <v>535</v>
      </c>
      <c r="D9" s="20" t="s">
        <v>759</v>
      </c>
      <c r="E9" s="31">
        <v>42605</v>
      </c>
      <c r="F9" s="6">
        <v>34000</v>
      </c>
      <c r="G9" s="7"/>
      <c r="H9" s="19">
        <f t="shared" si="0"/>
        <v>34000</v>
      </c>
      <c r="I9" s="137" t="s">
        <v>777</v>
      </c>
      <c r="J9" s="145">
        <v>347.99</v>
      </c>
      <c r="K9" s="145">
        <v>181.56</v>
      </c>
      <c r="L9" s="145"/>
      <c r="M9" s="145">
        <v>226.95</v>
      </c>
      <c r="N9" s="145"/>
      <c r="O9" s="146"/>
    </row>
    <row r="10" spans="1:15" x14ac:dyDescent="0.25">
      <c r="A10" s="20"/>
      <c r="B10" s="194">
        <v>1474</v>
      </c>
      <c r="C10" s="141" t="s">
        <v>535</v>
      </c>
      <c r="D10" s="141" t="s">
        <v>392</v>
      </c>
      <c r="E10" s="23">
        <v>42606</v>
      </c>
      <c r="F10" s="26">
        <v>42000</v>
      </c>
      <c r="G10" s="175"/>
      <c r="H10" s="19">
        <f t="shared" si="0"/>
        <v>42000</v>
      </c>
      <c r="I10" s="137" t="s">
        <v>780</v>
      </c>
      <c r="J10" s="145">
        <v>434.07</v>
      </c>
      <c r="K10" s="145">
        <v>226.47</v>
      </c>
      <c r="L10" s="145"/>
      <c r="M10" s="145">
        <v>283.08999999999997</v>
      </c>
      <c r="N10" s="145"/>
      <c r="O10" s="146"/>
    </row>
    <row r="11" spans="1:15" x14ac:dyDescent="0.25">
      <c r="A11" s="20"/>
      <c r="B11" s="194">
        <v>1475</v>
      </c>
      <c r="C11" s="141" t="s">
        <v>535</v>
      </c>
      <c r="D11" s="141" t="s">
        <v>392</v>
      </c>
      <c r="E11" s="23">
        <v>42606</v>
      </c>
      <c r="F11" s="26">
        <v>8900</v>
      </c>
      <c r="G11" s="27"/>
      <c r="H11" s="19">
        <f t="shared" si="0"/>
        <v>8900</v>
      </c>
      <c r="I11" s="137" t="s">
        <v>781</v>
      </c>
      <c r="J11" s="145">
        <v>91.98</v>
      </c>
      <c r="K11" s="145">
        <v>47.99</v>
      </c>
      <c r="L11" s="145"/>
      <c r="M11" s="145">
        <v>59.99</v>
      </c>
      <c r="N11" s="145"/>
      <c r="O11" s="145"/>
    </row>
    <row r="12" spans="1:15" x14ac:dyDescent="0.25">
      <c r="A12" s="20"/>
      <c r="B12" s="182">
        <v>4922</v>
      </c>
      <c r="C12" s="29" t="s">
        <v>535</v>
      </c>
      <c r="D12" s="20" t="s">
        <v>392</v>
      </c>
      <c r="E12" s="31">
        <v>42606</v>
      </c>
      <c r="F12" s="18">
        <v>62000</v>
      </c>
      <c r="G12" s="7"/>
      <c r="H12" s="19">
        <f t="shared" si="0"/>
        <v>62000</v>
      </c>
      <c r="I12" s="137" t="s">
        <v>782</v>
      </c>
      <c r="J12" s="145">
        <v>534.75</v>
      </c>
      <c r="K12" s="145">
        <v>279</v>
      </c>
      <c r="L12" s="145"/>
      <c r="M12" s="145">
        <v>348.75</v>
      </c>
      <c r="N12" s="145"/>
      <c r="O12" s="145"/>
    </row>
    <row r="13" spans="1:15" x14ac:dyDescent="0.25">
      <c r="A13" s="20"/>
      <c r="B13" s="182">
        <v>1483</v>
      </c>
      <c r="C13" s="29" t="s">
        <v>535</v>
      </c>
      <c r="D13" s="30" t="s">
        <v>669</v>
      </c>
      <c r="E13" s="28">
        <v>42613</v>
      </c>
      <c r="F13" s="6">
        <v>15800</v>
      </c>
      <c r="G13" s="52"/>
      <c r="H13" s="19">
        <f t="shared" si="0"/>
        <v>15800</v>
      </c>
      <c r="I13" s="139" t="s">
        <v>319</v>
      </c>
      <c r="J13" s="145"/>
      <c r="K13" s="145"/>
      <c r="L13" s="145"/>
      <c r="M13" s="145"/>
      <c r="N13" s="145"/>
      <c r="O13" s="145"/>
    </row>
    <row r="14" spans="1:15" x14ac:dyDescent="0.25">
      <c r="A14" s="20"/>
      <c r="B14" s="182">
        <v>4939</v>
      </c>
      <c r="C14" s="29" t="s">
        <v>535</v>
      </c>
      <c r="D14" s="30" t="s">
        <v>669</v>
      </c>
      <c r="E14" s="28">
        <v>42613</v>
      </c>
      <c r="F14" s="6">
        <v>34200</v>
      </c>
      <c r="G14" s="52"/>
      <c r="H14" s="19">
        <f t="shared" si="0"/>
        <v>34200</v>
      </c>
      <c r="I14" s="139" t="s">
        <v>319</v>
      </c>
      <c r="J14" s="145"/>
      <c r="K14" s="145"/>
      <c r="L14" s="145"/>
      <c r="M14" s="145"/>
      <c r="N14" s="145"/>
      <c r="O14" s="145"/>
    </row>
    <row r="15" spans="1:15" x14ac:dyDescent="0.25">
      <c r="A15" s="20"/>
      <c r="B15" s="185"/>
      <c r="C15" s="21"/>
      <c r="D15" s="20"/>
      <c r="E15" s="28"/>
      <c r="F15" s="6"/>
      <c r="G15" s="7"/>
      <c r="H15" s="19">
        <f t="shared" si="0"/>
        <v>0</v>
      </c>
      <c r="I15" s="140"/>
      <c r="J15" s="145"/>
      <c r="K15" s="145"/>
      <c r="L15" s="145"/>
      <c r="M15" s="145"/>
      <c r="N15" s="145"/>
      <c r="O15" s="146"/>
    </row>
    <row r="16" spans="1:15" ht="15" thickBot="1" x14ac:dyDescent="0.3">
      <c r="B16" s="185"/>
      <c r="C16" s="21"/>
      <c r="D16" s="20"/>
      <c r="E16" s="28"/>
      <c r="F16" s="6"/>
      <c r="G16" s="7"/>
      <c r="H16" s="19">
        <f>F16-G16</f>
        <v>0</v>
      </c>
      <c r="I16" s="140"/>
      <c r="J16" s="145"/>
      <c r="K16" s="145"/>
      <c r="L16" s="145"/>
      <c r="M16" s="145"/>
      <c r="N16" s="145"/>
      <c r="O16" s="146"/>
    </row>
    <row r="17" spans="2:15" ht="15" thickBot="1" x14ac:dyDescent="0.3">
      <c r="B17" s="200"/>
      <c r="C17" s="32"/>
      <c r="D17" s="33"/>
      <c r="E17" s="34"/>
      <c r="F17" s="35">
        <f>SUM(F3:F16)</f>
        <v>333870</v>
      </c>
      <c r="G17" s="36">
        <f>SUM(G3:G16)</f>
        <v>1633</v>
      </c>
      <c r="H17" s="37">
        <f>SUM(H3:H16)</f>
        <v>332237</v>
      </c>
      <c r="I17" s="66"/>
      <c r="J17" s="131">
        <f t="shared" ref="J17:O17" si="1">SUM(J3:J16)</f>
        <v>2689.4300000000003</v>
      </c>
      <c r="K17" s="131">
        <f t="shared" si="1"/>
        <v>1403.18</v>
      </c>
      <c r="L17" s="131">
        <f t="shared" si="1"/>
        <v>373.09000000000003</v>
      </c>
      <c r="M17" s="131">
        <f t="shared" si="1"/>
        <v>1380.8899999999999</v>
      </c>
      <c r="N17" s="131">
        <f t="shared" si="1"/>
        <v>0</v>
      </c>
      <c r="O17" s="131">
        <f t="shared" si="1"/>
        <v>450</v>
      </c>
    </row>
    <row r="18" spans="2:15" x14ac:dyDescent="0.25">
      <c r="B18" s="201"/>
      <c r="C18" s="3"/>
      <c r="D18" s="4"/>
      <c r="E18" s="38" t="s">
        <v>8</v>
      </c>
      <c r="F18" s="39">
        <f>TOTAL!J8</f>
        <v>595000</v>
      </c>
      <c r="G18" s="40" t="s">
        <v>9</v>
      </c>
      <c r="H18" s="41">
        <f>H17/F18%</f>
        <v>55.838151260504205</v>
      </c>
      <c r="I18" s="58" t="s">
        <v>10</v>
      </c>
    </row>
    <row r="19" spans="2:15" ht="15" thickBot="1" x14ac:dyDescent="0.3">
      <c r="B19" s="202"/>
      <c r="C19" s="43"/>
      <c r="D19" s="44"/>
      <c r="E19" s="45"/>
      <c r="F19" s="46"/>
      <c r="G19" s="47"/>
      <c r="H19" s="48"/>
      <c r="I19" s="14"/>
    </row>
    <row r="20" spans="2:15" ht="18.75" thickTop="1" x14ac:dyDescent="0.25">
      <c r="B20" s="198" t="s">
        <v>11</v>
      </c>
      <c r="C20" s="49"/>
      <c r="D20" s="4"/>
      <c r="E20" s="5"/>
      <c r="F20" s="6"/>
      <c r="G20" s="7"/>
      <c r="H20" s="50"/>
      <c r="I20" s="14"/>
    </row>
    <row r="21" spans="2:15" x14ac:dyDescent="0.25">
      <c r="B21" s="199" t="s">
        <v>1</v>
      </c>
      <c r="C21" s="9" t="s">
        <v>2</v>
      </c>
      <c r="D21" s="10" t="s">
        <v>3</v>
      </c>
      <c r="E21" s="11" t="s">
        <v>4</v>
      </c>
      <c r="F21" s="12" t="s">
        <v>5</v>
      </c>
      <c r="G21" s="7" t="s">
        <v>12</v>
      </c>
      <c r="H21" s="13" t="s">
        <v>7</v>
      </c>
      <c r="I21" s="14"/>
    </row>
    <row r="22" spans="2:15" s="14" customFormat="1" x14ac:dyDescent="0.25">
      <c r="B22" s="182"/>
      <c r="C22" s="29"/>
      <c r="D22" s="30"/>
      <c r="E22" s="31"/>
      <c r="F22" s="6"/>
      <c r="G22" s="7"/>
      <c r="H22" s="19">
        <f t="shared" ref="H22:H24" si="2">F22-G22</f>
        <v>0</v>
      </c>
    </row>
    <row r="23" spans="2:15" s="14" customFormat="1" x14ac:dyDescent="0.25">
      <c r="B23" s="182"/>
      <c r="C23" s="29"/>
      <c r="D23" s="30"/>
      <c r="E23" s="31"/>
      <c r="F23" s="6"/>
      <c r="G23" s="7"/>
      <c r="H23" s="19">
        <f t="shared" si="2"/>
        <v>0</v>
      </c>
    </row>
    <row r="24" spans="2:15" ht="15" thickBot="1" x14ac:dyDescent="0.3">
      <c r="B24" s="182"/>
      <c r="C24" s="29"/>
      <c r="D24" s="30"/>
      <c r="E24" s="31"/>
      <c r="F24" s="6"/>
      <c r="G24" s="7"/>
      <c r="H24" s="19">
        <f t="shared" si="2"/>
        <v>0</v>
      </c>
    </row>
    <row r="25" spans="2:15" ht="15" thickBot="1" x14ac:dyDescent="0.3">
      <c r="B25" s="182"/>
      <c r="C25" s="29"/>
      <c r="D25" s="30"/>
      <c r="E25" s="31"/>
      <c r="F25" s="35"/>
      <c r="G25" s="36"/>
      <c r="H25" s="37">
        <f>SUM(H22:H24)</f>
        <v>0</v>
      </c>
    </row>
    <row r="26" spans="2:15" x14ac:dyDescent="0.25">
      <c r="B26" s="182"/>
      <c r="C26" s="29"/>
      <c r="D26" s="30"/>
      <c r="E26" s="31"/>
      <c r="F26" s="51"/>
      <c r="G26" s="52"/>
      <c r="H26" s="53"/>
    </row>
    <row r="27" spans="2:15" ht="15" thickBot="1" x14ac:dyDescent="0.3">
      <c r="B27" s="202"/>
      <c r="C27" s="43"/>
      <c r="D27" s="44"/>
      <c r="E27" s="45"/>
      <c r="F27" s="46"/>
      <c r="G27" s="47"/>
      <c r="H27" s="48"/>
      <c r="I27" s="14"/>
    </row>
    <row r="28" spans="2:15" ht="18.75" thickTop="1" x14ac:dyDescent="0.25">
      <c r="B28" s="198" t="s">
        <v>13</v>
      </c>
      <c r="C28" s="49"/>
      <c r="D28" s="4"/>
      <c r="E28" s="5"/>
      <c r="F28" s="6"/>
      <c r="G28" s="7"/>
      <c r="H28" s="50"/>
      <c r="I28" s="14"/>
    </row>
    <row r="29" spans="2:15" x14ac:dyDescent="0.25">
      <c r="B29" s="199" t="s">
        <v>1</v>
      </c>
      <c r="C29" s="9" t="s">
        <v>2</v>
      </c>
      <c r="D29" s="10" t="s">
        <v>3</v>
      </c>
      <c r="E29" s="11" t="s">
        <v>4</v>
      </c>
      <c r="F29" s="12" t="s">
        <v>5</v>
      </c>
      <c r="G29" s="7" t="s">
        <v>12</v>
      </c>
      <c r="H29" s="13" t="s">
        <v>7</v>
      </c>
      <c r="I29" s="14"/>
    </row>
    <row r="30" spans="2:15" s="14" customFormat="1" x14ac:dyDescent="0.25">
      <c r="B30" s="195">
        <v>4886</v>
      </c>
      <c r="C30" s="15" t="s">
        <v>535</v>
      </c>
      <c r="D30" s="16" t="s">
        <v>721</v>
      </c>
      <c r="E30" s="17">
        <v>42590</v>
      </c>
      <c r="F30" s="6">
        <v>1295</v>
      </c>
      <c r="G30" s="7"/>
      <c r="H30" s="19">
        <f t="shared" ref="H30:H33" si="3">F30-G30</f>
        <v>1295</v>
      </c>
    </row>
    <row r="31" spans="2:15" s="14" customFormat="1" x14ac:dyDescent="0.25">
      <c r="B31" s="182"/>
      <c r="C31" s="29"/>
      <c r="D31" s="30"/>
      <c r="E31" s="28"/>
      <c r="F31" s="6"/>
      <c r="G31" s="7"/>
      <c r="H31" s="19">
        <f t="shared" si="3"/>
        <v>0</v>
      </c>
    </row>
    <row r="32" spans="2:15" s="14" customFormat="1" x14ac:dyDescent="0.25">
      <c r="B32" s="185"/>
      <c r="C32" s="21"/>
      <c r="D32" s="20"/>
      <c r="E32" s="28"/>
      <c r="F32" s="6"/>
      <c r="G32" s="7"/>
      <c r="H32" s="19">
        <f t="shared" si="3"/>
        <v>0</v>
      </c>
    </row>
    <row r="33" spans="2:15" ht="15" thickBot="1" x14ac:dyDescent="0.3">
      <c r="B33" s="182"/>
      <c r="C33" s="29"/>
      <c r="D33" s="30"/>
      <c r="E33" s="31"/>
      <c r="F33" s="6"/>
      <c r="G33" s="7"/>
      <c r="H33" s="19">
        <f t="shared" si="3"/>
        <v>0</v>
      </c>
    </row>
    <row r="34" spans="2:15" ht="15" thickBot="1" x14ac:dyDescent="0.3">
      <c r="B34" s="203"/>
      <c r="C34" s="55"/>
      <c r="D34" s="56"/>
      <c r="E34" s="57"/>
      <c r="F34" s="35">
        <f>SUM(F30:F33)</f>
        <v>1295</v>
      </c>
      <c r="G34" s="36">
        <f>SUM(G30:G33)</f>
        <v>0</v>
      </c>
      <c r="H34" s="37">
        <f>SUM(H30:H33)</f>
        <v>1295</v>
      </c>
    </row>
    <row r="35" spans="2:15" x14ac:dyDescent="0.25">
      <c r="B35" s="203"/>
      <c r="C35" s="55"/>
      <c r="D35" s="56"/>
      <c r="E35" s="38"/>
      <c r="F35" s="39"/>
      <c r="G35" s="40"/>
      <c r="H35" s="41"/>
    </row>
    <row r="36" spans="2:15" ht="15" thickBot="1" x14ac:dyDescent="0.3">
      <c r="B36" s="202"/>
      <c r="C36" s="43"/>
      <c r="D36" s="44"/>
      <c r="E36" s="59"/>
      <c r="F36" s="46"/>
      <c r="G36" s="47"/>
      <c r="H36" s="48"/>
      <c r="I36" s="14"/>
    </row>
    <row r="37" spans="2:15" ht="18.75" thickTop="1" x14ac:dyDescent="0.25">
      <c r="B37" s="198" t="s">
        <v>14</v>
      </c>
      <c r="C37" s="49"/>
      <c r="D37" s="4"/>
      <c r="E37" s="5"/>
      <c r="F37" s="6"/>
      <c r="G37" s="7"/>
      <c r="H37" s="50"/>
      <c r="I37" s="14"/>
    </row>
    <row r="38" spans="2:15" x14ac:dyDescent="0.25">
      <c r="B38" s="199" t="s">
        <v>1</v>
      </c>
      <c r="C38" s="9" t="s">
        <v>2</v>
      </c>
      <c r="D38" s="10" t="s">
        <v>3</v>
      </c>
      <c r="E38" s="11" t="s">
        <v>4</v>
      </c>
      <c r="F38" s="12" t="s">
        <v>5</v>
      </c>
      <c r="G38" s="7" t="s">
        <v>12</v>
      </c>
      <c r="H38" s="13" t="s">
        <v>7</v>
      </c>
      <c r="I38" s="14"/>
    </row>
    <row r="39" spans="2:15" s="14" customFormat="1" x14ac:dyDescent="0.25">
      <c r="B39" s="195">
        <v>1444</v>
      </c>
      <c r="C39" s="15" t="s">
        <v>102</v>
      </c>
      <c r="D39" s="15" t="s">
        <v>686</v>
      </c>
      <c r="E39" s="17">
        <v>42583</v>
      </c>
      <c r="F39" s="18">
        <v>224.68</v>
      </c>
      <c r="G39" s="60"/>
      <c r="H39" s="19">
        <f t="shared" ref="H39:H51" si="4">F39-G39</f>
        <v>224.68</v>
      </c>
      <c r="J39" s="1"/>
      <c r="K39" s="1"/>
      <c r="L39" s="1"/>
      <c r="M39" s="1"/>
      <c r="N39" s="1"/>
      <c r="O39" s="1"/>
    </row>
    <row r="40" spans="2:15" s="14" customFormat="1" x14ac:dyDescent="0.25">
      <c r="B40" s="194">
        <v>1445</v>
      </c>
      <c r="C40" s="141" t="s">
        <v>102</v>
      </c>
      <c r="D40" s="141" t="s">
        <v>491</v>
      </c>
      <c r="E40" s="23">
        <v>42583</v>
      </c>
      <c r="F40" s="26">
        <v>233.42</v>
      </c>
      <c r="G40" s="7"/>
      <c r="H40" s="19">
        <f t="shared" si="4"/>
        <v>233.42</v>
      </c>
      <c r="J40" s="1"/>
      <c r="K40" s="1"/>
      <c r="L40" s="1"/>
      <c r="M40" s="1"/>
      <c r="N40" s="1"/>
      <c r="O40" s="1"/>
    </row>
    <row r="41" spans="2:15" s="14" customFormat="1" x14ac:dyDescent="0.25">
      <c r="B41" s="194">
        <v>1446</v>
      </c>
      <c r="C41" s="141" t="s">
        <v>102</v>
      </c>
      <c r="D41" s="141" t="s">
        <v>491</v>
      </c>
      <c r="E41" s="23">
        <v>42583</v>
      </c>
      <c r="F41" s="26">
        <v>1715.86</v>
      </c>
      <c r="G41" s="7"/>
      <c r="H41" s="19">
        <f t="shared" si="4"/>
        <v>1715.86</v>
      </c>
    </row>
    <row r="42" spans="2:15" s="14" customFormat="1" x14ac:dyDescent="0.25">
      <c r="B42" s="194">
        <v>1447</v>
      </c>
      <c r="C42" s="141" t="s">
        <v>102</v>
      </c>
      <c r="D42" s="141" t="s">
        <v>258</v>
      </c>
      <c r="E42" s="23">
        <v>42583</v>
      </c>
      <c r="F42" s="26">
        <v>25.5</v>
      </c>
      <c r="G42" s="7"/>
      <c r="H42" s="19">
        <f t="shared" si="4"/>
        <v>25.5</v>
      </c>
    </row>
    <row r="43" spans="2:15" s="14" customFormat="1" x14ac:dyDescent="0.25">
      <c r="B43" s="185">
        <v>4864</v>
      </c>
      <c r="C43" s="21" t="s">
        <v>102</v>
      </c>
      <c r="D43" s="20" t="s">
        <v>686</v>
      </c>
      <c r="E43" s="28">
        <v>42583</v>
      </c>
      <c r="F43" s="6">
        <v>356.35</v>
      </c>
      <c r="G43" s="7"/>
      <c r="H43" s="19">
        <f t="shared" si="4"/>
        <v>356.35</v>
      </c>
    </row>
    <row r="44" spans="2:15" s="14" customFormat="1" x14ac:dyDescent="0.25">
      <c r="B44" s="182">
        <v>4865</v>
      </c>
      <c r="C44" s="29" t="s">
        <v>102</v>
      </c>
      <c r="D44" s="30" t="s">
        <v>686</v>
      </c>
      <c r="E44" s="31">
        <v>42583</v>
      </c>
      <c r="F44" s="6">
        <v>37.1</v>
      </c>
      <c r="G44" s="7"/>
      <c r="H44" s="19">
        <f t="shared" si="4"/>
        <v>37.1</v>
      </c>
    </row>
    <row r="45" spans="2:15" s="14" customFormat="1" x14ac:dyDescent="0.25">
      <c r="B45" s="194">
        <v>1456</v>
      </c>
      <c r="C45" s="141" t="s">
        <v>102</v>
      </c>
      <c r="D45" s="141" t="s">
        <v>647</v>
      </c>
      <c r="E45" s="23">
        <v>42590</v>
      </c>
      <c r="F45" s="26">
        <v>923.4</v>
      </c>
      <c r="G45" s="7"/>
      <c r="H45" s="19">
        <f t="shared" si="4"/>
        <v>923.4</v>
      </c>
    </row>
    <row r="46" spans="2:15" s="14" customFormat="1" x14ac:dyDescent="0.25">
      <c r="B46" s="194">
        <v>4890</v>
      </c>
      <c r="C46" s="141" t="s">
        <v>102</v>
      </c>
      <c r="D46" s="141" t="s">
        <v>214</v>
      </c>
      <c r="E46" s="23">
        <v>42591</v>
      </c>
      <c r="F46" s="26">
        <v>8289.81</v>
      </c>
      <c r="G46" s="7"/>
      <c r="H46" s="19">
        <f t="shared" si="4"/>
        <v>8289.81</v>
      </c>
    </row>
    <row r="47" spans="2:15" s="14" customFormat="1" x14ac:dyDescent="0.25">
      <c r="B47" s="194">
        <v>1469</v>
      </c>
      <c r="C47" s="141" t="s">
        <v>102</v>
      </c>
      <c r="D47" s="141" t="s">
        <v>749</v>
      </c>
      <c r="E47" s="23">
        <v>42599</v>
      </c>
      <c r="F47" s="26">
        <v>55</v>
      </c>
      <c r="G47" s="7"/>
      <c r="H47" s="19">
        <f t="shared" si="4"/>
        <v>55</v>
      </c>
    </row>
    <row r="48" spans="2:15" s="14" customFormat="1" x14ac:dyDescent="0.25">
      <c r="B48" s="194"/>
      <c r="C48" s="141"/>
      <c r="D48" s="141"/>
      <c r="E48" s="23"/>
      <c r="F48" s="26"/>
      <c r="G48" s="7"/>
      <c r="H48" s="19">
        <f t="shared" si="4"/>
        <v>0</v>
      </c>
    </row>
    <row r="49" spans="2:15" s="14" customFormat="1" x14ac:dyDescent="0.25">
      <c r="B49" s="194"/>
      <c r="C49" s="141"/>
      <c r="D49" s="16"/>
      <c r="E49" s="17"/>
      <c r="F49" s="18"/>
      <c r="G49" s="7"/>
      <c r="H49" s="19">
        <f t="shared" si="4"/>
        <v>0</v>
      </c>
    </row>
    <row r="50" spans="2:15" s="14" customFormat="1" x14ac:dyDescent="0.25">
      <c r="B50" s="195"/>
      <c r="C50" s="15"/>
      <c r="D50" s="16"/>
      <c r="E50" s="17"/>
      <c r="F50" s="6"/>
      <c r="G50" s="7"/>
      <c r="H50" s="19">
        <f t="shared" si="4"/>
        <v>0</v>
      </c>
    </row>
    <row r="51" spans="2:15" ht="15" thickBot="1" x14ac:dyDescent="0.3">
      <c r="B51" s="185"/>
      <c r="C51" s="21"/>
      <c r="D51" s="21"/>
      <c r="E51" s="28"/>
      <c r="F51" s="6"/>
      <c r="G51" s="7"/>
      <c r="H51" s="19">
        <f t="shared" si="4"/>
        <v>0</v>
      </c>
    </row>
    <row r="52" spans="2:15" ht="15" thickBot="1" x14ac:dyDescent="0.3">
      <c r="B52" s="201"/>
      <c r="C52" s="3"/>
      <c r="D52" s="4"/>
      <c r="E52" s="61"/>
      <c r="F52" s="62">
        <f>SUM(F39:F51)</f>
        <v>11861.119999999999</v>
      </c>
      <c r="G52" s="36">
        <f>SUM(G39:G51)</f>
        <v>0</v>
      </c>
      <c r="H52" s="63">
        <f>SUM(H39:H51)</f>
        <v>11861.119999999999</v>
      </c>
    </row>
    <row r="53" spans="2:15" x14ac:dyDescent="0.25">
      <c r="B53" s="204"/>
      <c r="C53" s="3"/>
      <c r="D53" s="65"/>
      <c r="E53" s="38" t="s">
        <v>8</v>
      </c>
      <c r="F53" s="39">
        <f>TOTAL!J9</f>
        <v>0</v>
      </c>
      <c r="G53" s="40" t="s">
        <v>9</v>
      </c>
      <c r="H53" s="41" t="e">
        <f>H52/F53%</f>
        <v>#DIV/0!</v>
      </c>
      <c r="I53" s="58" t="s">
        <v>10</v>
      </c>
    </row>
    <row r="54" spans="2:15" ht="15" thickBot="1" x14ac:dyDescent="0.3">
      <c r="B54" s="202"/>
      <c r="C54" s="43"/>
      <c r="D54" s="44"/>
      <c r="E54" s="59"/>
      <c r="F54" s="46"/>
      <c r="G54" s="47"/>
      <c r="H54" s="48"/>
      <c r="I54" s="14"/>
      <c r="J54" s="54"/>
    </row>
    <row r="55" spans="2:15" ht="18.75" thickTop="1" x14ac:dyDescent="0.25">
      <c r="B55" s="198" t="s">
        <v>15</v>
      </c>
      <c r="C55" s="49"/>
      <c r="D55" s="4"/>
      <c r="E55" s="5"/>
      <c r="F55" s="6"/>
      <c r="G55" s="7"/>
      <c r="H55" s="50"/>
      <c r="I55" s="14"/>
    </row>
    <row r="56" spans="2:15" x14ac:dyDescent="0.25">
      <c r="B56" s="199" t="s">
        <v>1</v>
      </c>
      <c r="C56" s="9" t="s">
        <v>2</v>
      </c>
      <c r="D56" s="10" t="s">
        <v>3</v>
      </c>
      <c r="E56" s="11" t="s">
        <v>4</v>
      </c>
      <c r="F56" s="12" t="s">
        <v>5</v>
      </c>
      <c r="G56" s="7" t="s">
        <v>12</v>
      </c>
      <c r="H56" s="13" t="s">
        <v>7</v>
      </c>
      <c r="I56" s="14"/>
    </row>
    <row r="57" spans="2:15" s="14" customFormat="1" x14ac:dyDescent="0.25">
      <c r="B57" s="182">
        <v>4866</v>
      </c>
      <c r="C57" s="29" t="s">
        <v>102</v>
      </c>
      <c r="D57" s="30" t="s">
        <v>687</v>
      </c>
      <c r="E57" s="31">
        <v>42583</v>
      </c>
      <c r="F57" s="6">
        <v>399.77</v>
      </c>
      <c r="G57" s="175">
        <v>51.56</v>
      </c>
      <c r="H57" s="19">
        <f t="shared" ref="H57:H92" si="5">F57-G57</f>
        <v>348.21</v>
      </c>
      <c r="J57" s="1"/>
      <c r="K57" s="1"/>
      <c r="L57" s="1"/>
      <c r="M57" s="1"/>
      <c r="N57" s="1"/>
      <c r="O57" s="1"/>
    </row>
    <row r="58" spans="2:15" s="14" customFormat="1" x14ac:dyDescent="0.25">
      <c r="B58" s="194">
        <v>4867</v>
      </c>
      <c r="C58" s="141" t="s">
        <v>102</v>
      </c>
      <c r="D58" s="16" t="s">
        <v>497</v>
      </c>
      <c r="E58" s="17">
        <v>42583</v>
      </c>
      <c r="F58" s="18">
        <v>443.77</v>
      </c>
      <c r="G58" s="175">
        <v>44</v>
      </c>
      <c r="H58" s="19">
        <f t="shared" si="5"/>
        <v>399.77</v>
      </c>
      <c r="J58" s="1"/>
      <c r="K58" s="1"/>
      <c r="L58" s="1"/>
      <c r="M58" s="1"/>
      <c r="N58" s="1"/>
      <c r="O58" s="1"/>
    </row>
    <row r="59" spans="2:15" s="14" customFormat="1" x14ac:dyDescent="0.25">
      <c r="B59" s="185">
        <v>295</v>
      </c>
      <c r="C59" s="21" t="s">
        <v>102</v>
      </c>
      <c r="D59" s="20" t="s">
        <v>774</v>
      </c>
      <c r="E59" s="28">
        <v>42584</v>
      </c>
      <c r="F59" s="6">
        <v>68.5</v>
      </c>
      <c r="G59" s="175">
        <v>44</v>
      </c>
      <c r="H59" s="19">
        <f t="shared" si="5"/>
        <v>24.5</v>
      </c>
    </row>
    <row r="60" spans="2:15" s="14" customFormat="1" x14ac:dyDescent="0.25">
      <c r="B60" s="195">
        <v>1449</v>
      </c>
      <c r="C60" s="15" t="s">
        <v>102</v>
      </c>
      <c r="D60" s="16" t="s">
        <v>692</v>
      </c>
      <c r="E60" s="17">
        <v>42584</v>
      </c>
      <c r="F60" s="18">
        <v>340</v>
      </c>
      <c r="G60" s="175"/>
      <c r="H60" s="19">
        <f t="shared" si="5"/>
        <v>340</v>
      </c>
    </row>
    <row r="61" spans="2:15" s="14" customFormat="1" x14ac:dyDescent="0.25">
      <c r="B61" s="185">
        <v>309</v>
      </c>
      <c r="C61" s="21" t="s">
        <v>102</v>
      </c>
      <c r="D61" s="20" t="s">
        <v>694</v>
      </c>
      <c r="E61" s="28">
        <v>42586</v>
      </c>
      <c r="F61" s="6">
        <v>1007</v>
      </c>
      <c r="G61" s="175">
        <v>157</v>
      </c>
      <c r="H61" s="19">
        <f t="shared" si="5"/>
        <v>850</v>
      </c>
    </row>
    <row r="62" spans="2:15" s="14" customFormat="1" x14ac:dyDescent="0.25">
      <c r="B62" s="185">
        <v>4873</v>
      </c>
      <c r="C62" s="141" t="s">
        <v>102</v>
      </c>
      <c r="D62" s="141" t="s">
        <v>688</v>
      </c>
      <c r="E62" s="23">
        <v>42586</v>
      </c>
      <c r="F62" s="26">
        <v>1199.31</v>
      </c>
      <c r="G62" s="175"/>
      <c r="H62" s="19">
        <f t="shared" si="5"/>
        <v>1199.31</v>
      </c>
    </row>
    <row r="63" spans="2:15" s="14" customFormat="1" x14ac:dyDescent="0.25">
      <c r="B63" s="185">
        <v>4874</v>
      </c>
      <c r="C63" s="141" t="s">
        <v>102</v>
      </c>
      <c r="D63" s="141" t="s">
        <v>689</v>
      </c>
      <c r="E63" s="23">
        <v>42586</v>
      </c>
      <c r="F63" s="26">
        <v>6021.05</v>
      </c>
      <c r="G63" s="175">
        <v>88.23</v>
      </c>
      <c r="H63" s="19">
        <f t="shared" si="5"/>
        <v>5932.8200000000006</v>
      </c>
    </row>
    <row r="64" spans="2:15" s="14" customFormat="1" x14ac:dyDescent="0.25">
      <c r="B64" s="194">
        <v>4875</v>
      </c>
      <c r="C64" s="141" t="s">
        <v>102</v>
      </c>
      <c r="D64" s="16" t="s">
        <v>690</v>
      </c>
      <c r="E64" s="17">
        <v>42587</v>
      </c>
      <c r="F64" s="18">
        <v>425.67</v>
      </c>
      <c r="G64" s="175">
        <v>25.9</v>
      </c>
      <c r="H64" s="19">
        <f t="shared" si="5"/>
        <v>399.77000000000004</v>
      </c>
    </row>
    <row r="65" spans="2:15" s="14" customFormat="1" x14ac:dyDescent="0.25">
      <c r="B65" s="195">
        <v>4876</v>
      </c>
      <c r="C65" s="15" t="s">
        <v>102</v>
      </c>
      <c r="D65" s="16" t="s">
        <v>691</v>
      </c>
      <c r="E65" s="17">
        <v>42587</v>
      </c>
      <c r="F65" s="6">
        <v>452.67</v>
      </c>
      <c r="G65" s="175">
        <v>52.9</v>
      </c>
      <c r="H65" s="19">
        <f t="shared" si="5"/>
        <v>399.77000000000004</v>
      </c>
    </row>
    <row r="66" spans="2:15" s="14" customFormat="1" x14ac:dyDescent="0.25">
      <c r="B66" s="185">
        <v>4891</v>
      </c>
      <c r="C66" s="21" t="s">
        <v>102</v>
      </c>
      <c r="D66" s="20" t="s">
        <v>714</v>
      </c>
      <c r="E66" s="28">
        <v>42591</v>
      </c>
      <c r="F66" s="18">
        <v>399.77</v>
      </c>
      <c r="G66" s="175"/>
      <c r="H66" s="19">
        <f t="shared" si="5"/>
        <v>399.77</v>
      </c>
      <c r="I66" s="1"/>
    </row>
    <row r="67" spans="2:15" s="14" customFormat="1" x14ac:dyDescent="0.25">
      <c r="B67" s="185">
        <v>4894</v>
      </c>
      <c r="C67" s="21" t="s">
        <v>102</v>
      </c>
      <c r="D67" s="20" t="s">
        <v>722</v>
      </c>
      <c r="E67" s="28">
        <v>42592</v>
      </c>
      <c r="F67" s="18">
        <v>1341.55</v>
      </c>
      <c r="G67" s="175">
        <v>59.9</v>
      </c>
      <c r="H67" s="19">
        <f t="shared" si="5"/>
        <v>1281.6499999999999</v>
      </c>
      <c r="I67" s="1"/>
    </row>
    <row r="68" spans="2:15" s="14" customFormat="1" x14ac:dyDescent="0.25">
      <c r="B68" s="195">
        <v>329</v>
      </c>
      <c r="C68" s="15" t="s">
        <v>102</v>
      </c>
      <c r="D68" s="16" t="s">
        <v>654</v>
      </c>
      <c r="E68" s="17">
        <v>42593</v>
      </c>
      <c r="F68" s="18">
        <v>2321</v>
      </c>
      <c r="G68" s="175"/>
      <c r="H68" s="19">
        <f t="shared" si="5"/>
        <v>2321</v>
      </c>
      <c r="I68" s="1"/>
    </row>
    <row r="69" spans="2:15" s="14" customFormat="1" x14ac:dyDescent="0.25">
      <c r="B69" s="195">
        <v>1461</v>
      </c>
      <c r="C69" s="15" t="s">
        <v>102</v>
      </c>
      <c r="D69" s="16" t="s">
        <v>723</v>
      </c>
      <c r="E69" s="17">
        <v>42593</v>
      </c>
      <c r="F69" s="18">
        <v>5077.67</v>
      </c>
      <c r="G69" s="175"/>
      <c r="H69" s="19">
        <f t="shared" si="5"/>
        <v>5077.67</v>
      </c>
      <c r="I69" s="1"/>
    </row>
    <row r="70" spans="2:15" s="14" customFormat="1" x14ac:dyDescent="0.25">
      <c r="B70" s="185">
        <v>4899</v>
      </c>
      <c r="C70" s="21" t="s">
        <v>102</v>
      </c>
      <c r="D70" s="20" t="s">
        <v>654</v>
      </c>
      <c r="E70" s="28">
        <v>42593</v>
      </c>
      <c r="F70" s="18">
        <v>399.77</v>
      </c>
      <c r="G70" s="175"/>
      <c r="H70" s="19">
        <f t="shared" si="5"/>
        <v>399.77</v>
      </c>
      <c r="I70" s="1"/>
    </row>
    <row r="71" spans="2:15" s="14" customFormat="1" x14ac:dyDescent="0.25">
      <c r="B71" s="185">
        <v>4900</v>
      </c>
      <c r="C71" s="21" t="s">
        <v>102</v>
      </c>
      <c r="D71" s="20" t="s">
        <v>708</v>
      </c>
      <c r="E71" s="28">
        <v>42593</v>
      </c>
      <c r="F71" s="18">
        <v>3871.77</v>
      </c>
      <c r="G71" s="175"/>
      <c r="H71" s="19">
        <f t="shared" si="5"/>
        <v>3871.77</v>
      </c>
      <c r="I71" s="1"/>
    </row>
    <row r="72" spans="2:15" s="14" customFormat="1" x14ac:dyDescent="0.25">
      <c r="B72" s="185">
        <v>333</v>
      </c>
      <c r="C72" s="21" t="s">
        <v>102</v>
      </c>
      <c r="D72" s="20" t="s">
        <v>720</v>
      </c>
      <c r="E72" s="28">
        <v>42594</v>
      </c>
      <c r="F72" s="18">
        <v>59</v>
      </c>
      <c r="G72" s="175"/>
      <c r="H72" s="19">
        <f t="shared" si="5"/>
        <v>59</v>
      </c>
      <c r="I72" s="1"/>
    </row>
    <row r="73" spans="2:15" s="14" customFormat="1" x14ac:dyDescent="0.25">
      <c r="B73" s="185">
        <v>4903</v>
      </c>
      <c r="C73" s="21" t="s">
        <v>102</v>
      </c>
      <c r="D73" s="20" t="s">
        <v>718</v>
      </c>
      <c r="E73" s="28">
        <v>42594</v>
      </c>
      <c r="F73" s="18">
        <v>2399.83</v>
      </c>
      <c r="G73" s="175"/>
      <c r="H73" s="19">
        <f t="shared" si="5"/>
        <v>2399.83</v>
      </c>
      <c r="I73" s="1"/>
    </row>
    <row r="74" spans="2:15" s="14" customFormat="1" x14ac:dyDescent="0.25">
      <c r="B74" s="185">
        <v>4904</v>
      </c>
      <c r="C74" s="21" t="s">
        <v>102</v>
      </c>
      <c r="D74" s="20" t="s">
        <v>719</v>
      </c>
      <c r="E74" s="28">
        <v>42594</v>
      </c>
      <c r="F74" s="18">
        <v>244.9</v>
      </c>
      <c r="G74" s="175">
        <v>59.9</v>
      </c>
      <c r="H74" s="19">
        <f t="shared" si="5"/>
        <v>185</v>
      </c>
      <c r="I74" s="1"/>
    </row>
    <row r="75" spans="2:15" x14ac:dyDescent="0.25">
      <c r="B75" s="185">
        <v>4906</v>
      </c>
      <c r="C75" s="21" t="s">
        <v>102</v>
      </c>
      <c r="D75" s="21" t="s">
        <v>751</v>
      </c>
      <c r="E75" s="28">
        <v>42597</v>
      </c>
      <c r="F75" s="6">
        <v>6969.64</v>
      </c>
      <c r="G75" s="175">
        <v>84.9</v>
      </c>
      <c r="H75" s="19">
        <f t="shared" si="5"/>
        <v>6884.7400000000007</v>
      </c>
      <c r="J75" s="14"/>
      <c r="K75" s="14"/>
      <c r="L75" s="14"/>
      <c r="M75" s="14"/>
      <c r="N75" s="14"/>
      <c r="O75" s="14"/>
    </row>
    <row r="76" spans="2:15" x14ac:dyDescent="0.25">
      <c r="B76" s="185">
        <v>1467</v>
      </c>
      <c r="C76" s="21" t="s">
        <v>102</v>
      </c>
      <c r="D76" s="21" t="s">
        <v>152</v>
      </c>
      <c r="E76" s="28">
        <v>42598</v>
      </c>
      <c r="F76" s="6">
        <v>480.68</v>
      </c>
      <c r="G76" s="175">
        <v>3.66</v>
      </c>
      <c r="H76" s="19">
        <f t="shared" si="5"/>
        <v>477.02</v>
      </c>
      <c r="J76" s="14"/>
      <c r="K76" s="14"/>
      <c r="L76" s="14"/>
      <c r="M76" s="14"/>
      <c r="N76" s="14"/>
      <c r="O76" s="14"/>
    </row>
    <row r="77" spans="2:15" x14ac:dyDescent="0.25">
      <c r="B77" s="185">
        <v>4907</v>
      </c>
      <c r="C77" s="21" t="s">
        <v>102</v>
      </c>
      <c r="D77" s="21" t="s">
        <v>152</v>
      </c>
      <c r="E77" s="28">
        <v>42598</v>
      </c>
      <c r="F77" s="6">
        <v>2123.0300000000002</v>
      </c>
      <c r="G77" s="175">
        <v>161.07</v>
      </c>
      <c r="H77" s="19">
        <f t="shared" si="5"/>
        <v>1961.9600000000003</v>
      </c>
      <c r="J77" s="14"/>
      <c r="K77" s="14"/>
      <c r="L77" s="14"/>
      <c r="M77" s="14"/>
      <c r="N77" s="14"/>
      <c r="O77" s="14"/>
    </row>
    <row r="78" spans="2:15" x14ac:dyDescent="0.25">
      <c r="B78" s="185">
        <v>4910</v>
      </c>
      <c r="C78" s="21" t="s">
        <v>102</v>
      </c>
      <c r="D78" s="21" t="s">
        <v>685</v>
      </c>
      <c r="E78" s="28">
        <v>42600</v>
      </c>
      <c r="F78" s="6">
        <v>3800</v>
      </c>
      <c r="G78" s="175">
        <v>60</v>
      </c>
      <c r="H78" s="19">
        <f t="shared" si="5"/>
        <v>3740</v>
      </c>
      <c r="J78" s="14"/>
      <c r="K78" s="14"/>
      <c r="L78" s="14"/>
      <c r="M78" s="14"/>
      <c r="N78" s="14"/>
      <c r="O78" s="14"/>
    </row>
    <row r="79" spans="2:15" x14ac:dyDescent="0.25">
      <c r="B79" s="185">
        <v>347</v>
      </c>
      <c r="C79" s="21" t="s">
        <v>102</v>
      </c>
      <c r="D79" s="21" t="s">
        <v>600</v>
      </c>
      <c r="E79" s="28">
        <v>42601</v>
      </c>
      <c r="F79" s="6">
        <v>163.5</v>
      </c>
      <c r="G79" s="175"/>
      <c r="H79" s="19">
        <f t="shared" si="5"/>
        <v>163.5</v>
      </c>
      <c r="J79" s="14"/>
      <c r="K79" s="14"/>
      <c r="L79" s="14"/>
      <c r="M79" s="14"/>
      <c r="N79" s="14"/>
      <c r="O79" s="14"/>
    </row>
    <row r="80" spans="2:15" x14ac:dyDescent="0.25">
      <c r="B80" s="185">
        <v>1471</v>
      </c>
      <c r="C80" s="21" t="s">
        <v>102</v>
      </c>
      <c r="D80" s="21" t="s">
        <v>750</v>
      </c>
      <c r="E80" s="28">
        <v>42601</v>
      </c>
      <c r="F80" s="6">
        <v>458.3</v>
      </c>
      <c r="G80" s="175">
        <v>27.55</v>
      </c>
      <c r="H80" s="19">
        <f t="shared" si="5"/>
        <v>430.75</v>
      </c>
      <c r="J80" s="14"/>
      <c r="K80" s="14"/>
      <c r="L80" s="14"/>
      <c r="M80" s="14"/>
      <c r="N80" s="14"/>
      <c r="O80" s="14"/>
    </row>
    <row r="81" spans="2:15" x14ac:dyDescent="0.25">
      <c r="B81" s="185" t="s">
        <v>83</v>
      </c>
      <c r="C81" s="21" t="s">
        <v>102</v>
      </c>
      <c r="D81" s="21" t="s">
        <v>738</v>
      </c>
      <c r="E81" s="28">
        <v>42601</v>
      </c>
      <c r="F81" s="6">
        <v>48.7</v>
      </c>
      <c r="G81" s="175">
        <v>24</v>
      </c>
      <c r="H81" s="19">
        <f t="shared" si="5"/>
        <v>24.700000000000003</v>
      </c>
      <c r="J81" s="14"/>
      <c r="K81" s="14"/>
      <c r="L81" s="14"/>
      <c r="M81" s="14"/>
      <c r="N81" s="14"/>
      <c r="O81" s="14"/>
    </row>
    <row r="82" spans="2:15" x14ac:dyDescent="0.25">
      <c r="B82" s="185">
        <v>4917</v>
      </c>
      <c r="C82" s="21" t="s">
        <v>102</v>
      </c>
      <c r="D82" s="21" t="s">
        <v>758</v>
      </c>
      <c r="E82" s="28">
        <v>42605</v>
      </c>
      <c r="F82" s="6">
        <v>452.67</v>
      </c>
      <c r="G82" s="175">
        <v>52.9</v>
      </c>
      <c r="H82" s="19">
        <f t="shared" si="5"/>
        <v>399.77000000000004</v>
      </c>
      <c r="J82" s="14"/>
      <c r="K82" s="14"/>
      <c r="L82" s="14"/>
      <c r="M82" s="14"/>
      <c r="N82" s="14"/>
      <c r="O82" s="14"/>
    </row>
    <row r="83" spans="2:15" x14ac:dyDescent="0.25">
      <c r="B83" s="185">
        <v>4924</v>
      </c>
      <c r="C83" s="21" t="s">
        <v>102</v>
      </c>
      <c r="D83" s="21" t="s">
        <v>760</v>
      </c>
      <c r="E83" s="28">
        <v>42607</v>
      </c>
      <c r="F83" s="6">
        <v>1199.31</v>
      </c>
      <c r="G83" s="175"/>
      <c r="H83" s="19">
        <f t="shared" si="5"/>
        <v>1199.31</v>
      </c>
      <c r="J83" s="14"/>
      <c r="K83" s="14"/>
      <c r="L83" s="14"/>
      <c r="M83" s="14"/>
      <c r="N83" s="14"/>
      <c r="O83" s="14"/>
    </row>
    <row r="84" spans="2:15" x14ac:dyDescent="0.25">
      <c r="B84" s="185">
        <v>4930</v>
      </c>
      <c r="C84" s="21" t="s">
        <v>102</v>
      </c>
      <c r="D84" s="21" t="s">
        <v>691</v>
      </c>
      <c r="E84" s="28">
        <v>42611</v>
      </c>
      <c r="F84" s="6">
        <v>2692.69</v>
      </c>
      <c r="G84" s="175">
        <v>59.9</v>
      </c>
      <c r="H84" s="19">
        <f t="shared" si="5"/>
        <v>2632.79</v>
      </c>
      <c r="J84" s="14"/>
      <c r="K84" s="14"/>
      <c r="L84" s="14"/>
      <c r="M84" s="14"/>
      <c r="N84" s="14"/>
      <c r="O84" s="14"/>
    </row>
    <row r="85" spans="2:15" x14ac:dyDescent="0.25">
      <c r="B85" s="185">
        <v>4931</v>
      </c>
      <c r="C85" s="21" t="s">
        <v>102</v>
      </c>
      <c r="D85" s="21" t="s">
        <v>473</v>
      </c>
      <c r="E85" s="28">
        <v>42611</v>
      </c>
      <c r="F85" s="6">
        <v>5967</v>
      </c>
      <c r="G85" s="175">
        <v>781.79</v>
      </c>
      <c r="H85" s="19">
        <f t="shared" si="5"/>
        <v>5185.21</v>
      </c>
      <c r="J85" s="14"/>
      <c r="K85" s="14"/>
      <c r="L85" s="14"/>
      <c r="M85" s="14"/>
      <c r="N85" s="14"/>
      <c r="O85" s="14"/>
    </row>
    <row r="86" spans="2:15" x14ac:dyDescent="0.25">
      <c r="B86" s="185">
        <v>4933</v>
      </c>
      <c r="C86" s="21" t="s">
        <v>102</v>
      </c>
      <c r="D86" s="21" t="s">
        <v>768</v>
      </c>
      <c r="E86" s="28">
        <v>42611</v>
      </c>
      <c r="F86" s="6">
        <v>7883</v>
      </c>
      <c r="G86" s="175">
        <v>95</v>
      </c>
      <c r="H86" s="19">
        <f t="shared" si="5"/>
        <v>7788</v>
      </c>
      <c r="J86" s="14"/>
      <c r="K86" s="14"/>
      <c r="L86" s="14"/>
      <c r="M86" s="14"/>
      <c r="N86" s="14"/>
      <c r="O86" s="14"/>
    </row>
    <row r="87" spans="2:15" x14ac:dyDescent="0.25">
      <c r="B87" s="185">
        <v>4835</v>
      </c>
      <c r="C87" s="21" t="s">
        <v>102</v>
      </c>
      <c r="D87" s="21" t="s">
        <v>769</v>
      </c>
      <c r="E87" s="28">
        <v>42612</v>
      </c>
      <c r="F87" s="6">
        <v>1580</v>
      </c>
      <c r="G87" s="175">
        <v>90</v>
      </c>
      <c r="H87" s="19">
        <f t="shared" si="5"/>
        <v>1490</v>
      </c>
      <c r="J87" s="14"/>
      <c r="K87" s="14"/>
      <c r="L87" s="14"/>
      <c r="M87" s="14"/>
      <c r="N87" s="14"/>
      <c r="O87" s="14"/>
    </row>
    <row r="88" spans="2:15" x14ac:dyDescent="0.25">
      <c r="B88" s="185">
        <v>1481</v>
      </c>
      <c r="C88" s="21" t="s">
        <v>102</v>
      </c>
      <c r="D88" s="21" t="s">
        <v>767</v>
      </c>
      <c r="E88" s="28">
        <v>42613</v>
      </c>
      <c r="F88" s="6">
        <v>282.3</v>
      </c>
      <c r="G88" s="175">
        <v>62.9</v>
      </c>
      <c r="H88" s="19">
        <f t="shared" si="5"/>
        <v>219.4</v>
      </c>
      <c r="J88" s="14"/>
      <c r="K88" s="14"/>
      <c r="L88" s="14"/>
      <c r="M88" s="14"/>
      <c r="N88" s="14"/>
      <c r="O88" s="14"/>
    </row>
    <row r="89" spans="2:15" x14ac:dyDescent="0.25">
      <c r="B89" s="185" t="s">
        <v>83</v>
      </c>
      <c r="C89" s="21" t="s">
        <v>102</v>
      </c>
      <c r="D89" s="21" t="s">
        <v>723</v>
      </c>
      <c r="E89" s="28">
        <v>42613</v>
      </c>
      <c r="F89" s="6">
        <v>74</v>
      </c>
      <c r="G89" s="175">
        <v>25</v>
      </c>
      <c r="H89" s="19">
        <f t="shared" si="5"/>
        <v>49</v>
      </c>
      <c r="J89" s="14"/>
      <c r="K89" s="14"/>
      <c r="L89" s="14"/>
      <c r="M89" s="14"/>
      <c r="N89" s="14"/>
      <c r="O89" s="14"/>
    </row>
    <row r="90" spans="2:15" x14ac:dyDescent="0.25">
      <c r="B90" s="185"/>
      <c r="C90" s="21"/>
      <c r="D90" s="21"/>
      <c r="E90" s="28"/>
      <c r="F90" s="6"/>
      <c r="G90" s="52"/>
      <c r="H90" s="19">
        <f t="shared" si="5"/>
        <v>0</v>
      </c>
      <c r="J90" s="14"/>
      <c r="K90" s="14"/>
      <c r="L90" s="14"/>
      <c r="M90" s="14"/>
      <c r="N90" s="14"/>
      <c r="O90" s="14"/>
    </row>
    <row r="91" spans="2:15" x14ac:dyDescent="0.25">
      <c r="B91" s="185"/>
      <c r="C91" s="21"/>
      <c r="D91" s="21"/>
      <c r="E91" s="28"/>
      <c r="F91" s="6"/>
      <c r="G91" s="175"/>
      <c r="H91" s="19">
        <f t="shared" si="5"/>
        <v>0</v>
      </c>
      <c r="J91" s="14"/>
      <c r="K91" s="14"/>
      <c r="L91" s="14"/>
      <c r="M91" s="14"/>
      <c r="N91" s="14"/>
      <c r="O91" s="14"/>
    </row>
    <row r="92" spans="2:15" ht="15" thickBot="1" x14ac:dyDescent="0.3">
      <c r="B92" s="185"/>
      <c r="C92" s="21"/>
      <c r="D92" s="21"/>
      <c r="E92" s="28"/>
      <c r="F92" s="6"/>
      <c r="G92" s="7"/>
      <c r="H92" s="19">
        <f t="shared" si="5"/>
        <v>0</v>
      </c>
    </row>
    <row r="93" spans="2:15" ht="15" thickBot="1" x14ac:dyDescent="0.3">
      <c r="B93" s="201"/>
      <c r="C93" s="3"/>
      <c r="D93" s="4"/>
      <c r="E93" s="61"/>
      <c r="F93" s="62">
        <f>SUM(F57:F92)</f>
        <v>60647.82</v>
      </c>
      <c r="G93" s="36">
        <f>SUM(G57:G92)</f>
        <v>2112.06</v>
      </c>
      <c r="H93" s="63">
        <f>SUM(H57:H92)</f>
        <v>58535.759999999987</v>
      </c>
    </row>
    <row r="94" spans="2:15" x14ac:dyDescent="0.25">
      <c r="B94" s="204"/>
      <c r="C94" s="3"/>
      <c r="D94" s="65"/>
      <c r="E94" s="38" t="s">
        <v>8</v>
      </c>
      <c r="F94" s="39">
        <f>TOTAL!J10</f>
        <v>20000</v>
      </c>
      <c r="G94" s="40" t="s">
        <v>9</v>
      </c>
      <c r="H94" s="41">
        <f>H93/F94%</f>
        <v>292.67879999999991</v>
      </c>
      <c r="I94" s="58" t="s">
        <v>10</v>
      </c>
    </row>
    <row r="95" spans="2:15" ht="15" thickBot="1" x14ac:dyDescent="0.3">
      <c r="B95" s="202"/>
      <c r="C95" s="43"/>
      <c r="D95" s="44"/>
      <c r="E95" s="45"/>
      <c r="F95" s="67"/>
      <c r="G95" s="47"/>
      <c r="H95" s="48"/>
      <c r="I95" s="14"/>
      <c r="J95" s="54"/>
    </row>
    <row r="96" spans="2:15" ht="18.75" thickTop="1" x14ac:dyDescent="0.25">
      <c r="B96" s="198" t="s">
        <v>49</v>
      </c>
      <c r="C96" s="49"/>
      <c r="D96" s="4"/>
      <c r="E96" s="5"/>
      <c r="F96" s="6"/>
      <c r="G96" s="7"/>
      <c r="H96" s="50"/>
      <c r="I96" s="14"/>
    </row>
    <row r="97" spans="2:15" x14ac:dyDescent="0.25">
      <c r="B97" s="199" t="s">
        <v>1</v>
      </c>
      <c r="C97" s="9" t="s">
        <v>2</v>
      </c>
      <c r="D97" s="10" t="s">
        <v>3</v>
      </c>
      <c r="E97" s="11" t="s">
        <v>4</v>
      </c>
      <c r="F97" s="12" t="s">
        <v>5</v>
      </c>
      <c r="G97" s="7" t="s">
        <v>12</v>
      </c>
      <c r="H97" s="13" t="s">
        <v>7</v>
      </c>
      <c r="I97" s="14"/>
    </row>
    <row r="98" spans="2:15" s="14" customFormat="1" x14ac:dyDescent="0.25">
      <c r="B98" s="195">
        <v>296</v>
      </c>
      <c r="C98" s="15" t="s">
        <v>86</v>
      </c>
      <c r="D98" s="16" t="s">
        <v>677</v>
      </c>
      <c r="E98" s="17">
        <v>42584</v>
      </c>
      <c r="F98" s="51">
        <v>640</v>
      </c>
      <c r="G98" s="7"/>
      <c r="H98" s="19">
        <f t="shared" ref="H98:H167" si="6">F98-G98</f>
        <v>640</v>
      </c>
      <c r="J98" s="1"/>
      <c r="K98" s="1"/>
      <c r="L98" s="1"/>
      <c r="M98" s="1"/>
      <c r="N98" s="1"/>
      <c r="O98" s="1"/>
    </row>
    <row r="99" spans="2:15" s="14" customFormat="1" x14ac:dyDescent="0.25">
      <c r="B99" s="195">
        <v>297</v>
      </c>
      <c r="C99" s="15" t="s">
        <v>84</v>
      </c>
      <c r="D99" s="16" t="s">
        <v>425</v>
      </c>
      <c r="E99" s="17">
        <v>42584</v>
      </c>
      <c r="F99" s="125">
        <v>290</v>
      </c>
      <c r="G99" s="7"/>
      <c r="H99" s="19">
        <f t="shared" si="6"/>
        <v>290</v>
      </c>
      <c r="J99" s="1"/>
      <c r="K99" s="1"/>
      <c r="L99" s="1"/>
      <c r="M99" s="1"/>
      <c r="N99" s="1"/>
      <c r="O99" s="1"/>
    </row>
    <row r="100" spans="2:15" s="14" customFormat="1" x14ac:dyDescent="0.25">
      <c r="B100" s="195">
        <v>298</v>
      </c>
      <c r="C100" s="15" t="s">
        <v>86</v>
      </c>
      <c r="D100" s="16" t="s">
        <v>678</v>
      </c>
      <c r="E100" s="17">
        <v>42584</v>
      </c>
      <c r="F100" s="125">
        <v>390</v>
      </c>
      <c r="G100" s="7"/>
      <c r="H100" s="19">
        <f t="shared" si="6"/>
        <v>390</v>
      </c>
      <c r="J100" s="68"/>
    </row>
    <row r="101" spans="2:15" s="14" customFormat="1" x14ac:dyDescent="0.25">
      <c r="B101" s="195">
        <v>299</v>
      </c>
      <c r="C101" s="15" t="s">
        <v>86</v>
      </c>
      <c r="D101" s="16" t="s">
        <v>679</v>
      </c>
      <c r="E101" s="17">
        <v>42584</v>
      </c>
      <c r="F101" s="125">
        <v>490</v>
      </c>
      <c r="G101" s="7"/>
      <c r="H101" s="19">
        <f t="shared" si="6"/>
        <v>490</v>
      </c>
      <c r="I101" s="1"/>
    </row>
    <row r="102" spans="2:15" s="14" customFormat="1" x14ac:dyDescent="0.25">
      <c r="B102" s="195">
        <v>300</v>
      </c>
      <c r="C102" s="15" t="s">
        <v>95</v>
      </c>
      <c r="D102" s="16" t="s">
        <v>680</v>
      </c>
      <c r="E102" s="17">
        <v>42584</v>
      </c>
      <c r="F102" s="51">
        <v>390</v>
      </c>
      <c r="G102" s="7"/>
      <c r="H102" s="19">
        <f t="shared" si="6"/>
        <v>390</v>
      </c>
      <c r="I102" s="1"/>
    </row>
    <row r="103" spans="2:15" s="14" customFormat="1" x14ac:dyDescent="0.25">
      <c r="B103" s="195">
        <v>301</v>
      </c>
      <c r="C103" s="15" t="s">
        <v>86</v>
      </c>
      <c r="D103" s="16" t="s">
        <v>681</v>
      </c>
      <c r="E103" s="17">
        <v>42584</v>
      </c>
      <c r="F103" s="51">
        <v>472.7</v>
      </c>
      <c r="G103" s="7">
        <v>52.9</v>
      </c>
      <c r="H103" s="19">
        <f t="shared" si="6"/>
        <v>419.8</v>
      </c>
      <c r="I103" s="1"/>
    </row>
    <row r="104" spans="2:15" x14ac:dyDescent="0.25">
      <c r="B104" s="195">
        <v>302</v>
      </c>
      <c r="C104" s="15" t="s">
        <v>84</v>
      </c>
      <c r="D104" s="16" t="s">
        <v>682</v>
      </c>
      <c r="E104" s="17">
        <v>42584</v>
      </c>
      <c r="F104" s="51">
        <v>290</v>
      </c>
      <c r="G104" s="7"/>
      <c r="H104" s="19">
        <f t="shared" si="6"/>
        <v>290</v>
      </c>
      <c r="J104" s="14"/>
      <c r="K104" s="14"/>
      <c r="L104" s="14"/>
      <c r="M104" s="14"/>
      <c r="N104" s="14"/>
      <c r="O104" s="14"/>
    </row>
    <row r="105" spans="2:15" x14ac:dyDescent="0.25">
      <c r="B105" s="185">
        <v>303</v>
      </c>
      <c r="C105" s="21" t="s">
        <v>95</v>
      </c>
      <c r="D105" s="20" t="s">
        <v>650</v>
      </c>
      <c r="E105" s="28">
        <v>42584</v>
      </c>
      <c r="F105" s="125">
        <v>430</v>
      </c>
      <c r="G105" s="7"/>
      <c r="H105" s="19">
        <f t="shared" si="6"/>
        <v>430</v>
      </c>
      <c r="J105" s="14"/>
      <c r="K105" s="14"/>
      <c r="L105" s="14"/>
      <c r="M105" s="14"/>
      <c r="N105" s="14"/>
      <c r="O105" s="14"/>
    </row>
    <row r="106" spans="2:15" x14ac:dyDescent="0.25">
      <c r="B106" s="195">
        <v>304</v>
      </c>
      <c r="C106" s="15" t="s">
        <v>95</v>
      </c>
      <c r="D106" s="16" t="s">
        <v>420</v>
      </c>
      <c r="E106" s="17">
        <v>42584</v>
      </c>
      <c r="F106" s="51">
        <v>390</v>
      </c>
      <c r="G106" s="7"/>
      <c r="H106" s="19">
        <f t="shared" si="6"/>
        <v>390</v>
      </c>
    </row>
    <row r="107" spans="2:15" x14ac:dyDescent="0.25">
      <c r="B107" s="195">
        <v>305</v>
      </c>
      <c r="C107" s="15" t="s">
        <v>86</v>
      </c>
      <c r="D107" s="16" t="s">
        <v>683</v>
      </c>
      <c r="E107" s="17">
        <v>42584</v>
      </c>
      <c r="F107" s="51">
        <v>490</v>
      </c>
      <c r="G107" s="7"/>
      <c r="H107" s="19">
        <f t="shared" si="6"/>
        <v>490</v>
      </c>
    </row>
    <row r="108" spans="2:15" x14ac:dyDescent="0.25">
      <c r="B108" s="195">
        <v>308</v>
      </c>
      <c r="C108" s="15" t="s">
        <v>86</v>
      </c>
      <c r="D108" s="16" t="s">
        <v>684</v>
      </c>
      <c r="E108" s="17">
        <v>42586</v>
      </c>
      <c r="F108" s="51">
        <v>470</v>
      </c>
      <c r="G108" s="7"/>
      <c r="H108" s="19">
        <f t="shared" si="6"/>
        <v>470</v>
      </c>
      <c r="J108" s="54"/>
    </row>
    <row r="109" spans="2:15" x14ac:dyDescent="0.25">
      <c r="B109" s="195">
        <v>310</v>
      </c>
      <c r="C109" s="15" t="s">
        <v>86</v>
      </c>
      <c r="D109" s="16" t="s">
        <v>685</v>
      </c>
      <c r="E109" s="17">
        <v>42587</v>
      </c>
      <c r="F109" s="51">
        <v>1990</v>
      </c>
      <c r="G109" s="7"/>
      <c r="H109" s="19">
        <f t="shared" si="6"/>
        <v>1990</v>
      </c>
      <c r="J109" s="54"/>
    </row>
    <row r="110" spans="2:15" x14ac:dyDescent="0.25">
      <c r="B110" s="185">
        <v>311</v>
      </c>
      <c r="C110" s="21" t="s">
        <v>86</v>
      </c>
      <c r="D110" s="20" t="s">
        <v>707</v>
      </c>
      <c r="E110" s="28">
        <v>42591</v>
      </c>
      <c r="F110" s="125">
        <v>490</v>
      </c>
      <c r="G110" s="7"/>
      <c r="H110" s="19">
        <f t="shared" si="6"/>
        <v>490</v>
      </c>
      <c r="J110" s="54"/>
    </row>
    <row r="111" spans="2:15" x14ac:dyDescent="0.25">
      <c r="B111" s="185">
        <v>312</v>
      </c>
      <c r="C111" s="21" t="s">
        <v>86</v>
      </c>
      <c r="D111" s="20" t="s">
        <v>708</v>
      </c>
      <c r="E111" s="28">
        <v>42591</v>
      </c>
      <c r="F111" s="125">
        <v>590</v>
      </c>
      <c r="G111" s="7"/>
      <c r="H111" s="19">
        <f t="shared" si="6"/>
        <v>590</v>
      </c>
      <c r="J111" s="54"/>
    </row>
    <row r="112" spans="2:15" x14ac:dyDescent="0.25">
      <c r="B112" s="185">
        <v>313</v>
      </c>
      <c r="C112" s="21" t="s">
        <v>95</v>
      </c>
      <c r="D112" s="20" t="s">
        <v>709</v>
      </c>
      <c r="E112" s="28">
        <v>42591</v>
      </c>
      <c r="F112" s="125">
        <v>690</v>
      </c>
      <c r="G112" s="7"/>
      <c r="H112" s="19">
        <f t="shared" si="6"/>
        <v>690</v>
      </c>
      <c r="J112" s="54"/>
    </row>
    <row r="113" spans="2:10" x14ac:dyDescent="0.25">
      <c r="B113" s="185">
        <v>314</v>
      </c>
      <c r="C113" s="21" t="s">
        <v>86</v>
      </c>
      <c r="D113" s="20" t="s">
        <v>710</v>
      </c>
      <c r="E113" s="28">
        <v>42591</v>
      </c>
      <c r="F113" s="125">
        <v>490</v>
      </c>
      <c r="G113" s="7"/>
      <c r="H113" s="19">
        <f t="shared" si="6"/>
        <v>490</v>
      </c>
      <c r="J113" s="54"/>
    </row>
    <row r="114" spans="2:10" x14ac:dyDescent="0.25">
      <c r="B114" s="185">
        <v>315</v>
      </c>
      <c r="C114" s="21" t="s">
        <v>84</v>
      </c>
      <c r="D114" s="20" t="s">
        <v>711</v>
      </c>
      <c r="E114" s="28">
        <v>42591</v>
      </c>
      <c r="F114" s="125">
        <v>290</v>
      </c>
      <c r="G114" s="7"/>
      <c r="H114" s="19">
        <f t="shared" si="6"/>
        <v>290</v>
      </c>
      <c r="J114" s="54"/>
    </row>
    <row r="115" spans="2:10" x14ac:dyDescent="0.25">
      <c r="B115" s="185">
        <v>316</v>
      </c>
      <c r="C115" s="21" t="s">
        <v>95</v>
      </c>
      <c r="D115" s="20" t="s">
        <v>604</v>
      </c>
      <c r="E115" s="28">
        <v>42591</v>
      </c>
      <c r="F115" s="125">
        <v>690</v>
      </c>
      <c r="G115" s="7"/>
      <c r="H115" s="19">
        <f t="shared" si="6"/>
        <v>690</v>
      </c>
      <c r="J115" s="54"/>
    </row>
    <row r="116" spans="2:10" x14ac:dyDescent="0.25">
      <c r="B116" s="185">
        <v>317</v>
      </c>
      <c r="C116" s="21" t="s">
        <v>86</v>
      </c>
      <c r="D116" s="20" t="s">
        <v>712</v>
      </c>
      <c r="E116" s="28">
        <v>42591</v>
      </c>
      <c r="F116" s="6">
        <v>230</v>
      </c>
      <c r="G116" s="7"/>
      <c r="H116" s="19">
        <f t="shared" si="6"/>
        <v>230</v>
      </c>
      <c r="J116" s="54"/>
    </row>
    <row r="117" spans="2:10" x14ac:dyDescent="0.25">
      <c r="B117" s="185">
        <v>318</v>
      </c>
      <c r="C117" s="21" t="s">
        <v>86</v>
      </c>
      <c r="D117" s="20" t="s">
        <v>583</v>
      </c>
      <c r="E117" s="28">
        <v>42591</v>
      </c>
      <c r="F117" s="6">
        <v>3980</v>
      </c>
      <c r="G117" s="7"/>
      <c r="H117" s="19">
        <f t="shared" si="6"/>
        <v>3980</v>
      </c>
      <c r="J117" s="54"/>
    </row>
    <row r="118" spans="2:10" x14ac:dyDescent="0.25">
      <c r="B118" s="185">
        <v>319</v>
      </c>
      <c r="C118" s="21" t="s">
        <v>86</v>
      </c>
      <c r="D118" s="20" t="s">
        <v>248</v>
      </c>
      <c r="E118" s="28">
        <v>42591</v>
      </c>
      <c r="F118" s="6">
        <v>790</v>
      </c>
      <c r="G118" s="7"/>
      <c r="H118" s="19">
        <f t="shared" si="6"/>
        <v>790</v>
      </c>
      <c r="J118" s="54"/>
    </row>
    <row r="119" spans="2:10" x14ac:dyDescent="0.25">
      <c r="B119" s="185">
        <v>321</v>
      </c>
      <c r="C119" s="21" t="s">
        <v>86</v>
      </c>
      <c r="D119" s="20" t="s">
        <v>713</v>
      </c>
      <c r="E119" s="28">
        <v>42592</v>
      </c>
      <c r="F119" s="6">
        <v>590</v>
      </c>
      <c r="G119" s="7"/>
      <c r="H119" s="19">
        <f t="shared" si="6"/>
        <v>590</v>
      </c>
      <c r="J119" s="54"/>
    </row>
    <row r="120" spans="2:10" x14ac:dyDescent="0.25">
      <c r="B120" s="185">
        <v>322</v>
      </c>
      <c r="C120" s="21" t="s">
        <v>86</v>
      </c>
      <c r="D120" s="20" t="s">
        <v>714</v>
      </c>
      <c r="E120" s="28">
        <v>42592</v>
      </c>
      <c r="F120" s="6">
        <v>350</v>
      </c>
      <c r="G120" s="7"/>
      <c r="H120" s="19">
        <f t="shared" si="6"/>
        <v>350</v>
      </c>
      <c r="J120" s="54"/>
    </row>
    <row r="121" spans="2:10" x14ac:dyDescent="0.25">
      <c r="B121" s="185">
        <v>323</v>
      </c>
      <c r="C121" s="21" t="s">
        <v>86</v>
      </c>
      <c r="D121" s="20" t="s">
        <v>715</v>
      </c>
      <c r="E121" s="28">
        <v>42593</v>
      </c>
      <c r="F121" s="6">
        <v>590</v>
      </c>
      <c r="G121" s="7"/>
      <c r="H121" s="19">
        <f t="shared" si="6"/>
        <v>590</v>
      </c>
      <c r="J121" s="54"/>
    </row>
    <row r="122" spans="2:10" x14ac:dyDescent="0.25">
      <c r="B122" s="185">
        <v>324</v>
      </c>
      <c r="C122" s="21" t="s">
        <v>86</v>
      </c>
      <c r="D122" s="20" t="s">
        <v>654</v>
      </c>
      <c r="E122" s="28">
        <v>42593</v>
      </c>
      <c r="F122" s="6">
        <v>490</v>
      </c>
      <c r="G122" s="7"/>
      <c r="H122" s="19">
        <f t="shared" si="6"/>
        <v>490</v>
      </c>
      <c r="J122" s="54"/>
    </row>
    <row r="123" spans="2:10" x14ac:dyDescent="0.25">
      <c r="B123" s="185">
        <v>325</v>
      </c>
      <c r="C123" s="21" t="s">
        <v>95</v>
      </c>
      <c r="D123" s="20" t="s">
        <v>716</v>
      </c>
      <c r="E123" s="28">
        <v>42593</v>
      </c>
      <c r="F123" s="6">
        <v>790</v>
      </c>
      <c r="G123" s="7"/>
      <c r="H123" s="19">
        <f t="shared" si="6"/>
        <v>790</v>
      </c>
      <c r="J123" s="54"/>
    </row>
    <row r="124" spans="2:10" x14ac:dyDescent="0.25">
      <c r="B124" s="185">
        <v>326</v>
      </c>
      <c r="C124" s="21" t="s">
        <v>95</v>
      </c>
      <c r="D124" s="20" t="s">
        <v>656</v>
      </c>
      <c r="E124" s="28">
        <v>42593</v>
      </c>
      <c r="F124" s="6">
        <v>590</v>
      </c>
      <c r="G124" s="7"/>
      <c r="H124" s="19">
        <f t="shared" si="6"/>
        <v>590</v>
      </c>
      <c r="J124" s="54"/>
    </row>
    <row r="125" spans="2:10" x14ac:dyDescent="0.25">
      <c r="B125" s="185">
        <v>327</v>
      </c>
      <c r="C125" s="21" t="s">
        <v>84</v>
      </c>
      <c r="D125" s="20" t="s">
        <v>717</v>
      </c>
      <c r="E125" s="28">
        <v>42593</v>
      </c>
      <c r="F125" s="6">
        <v>290</v>
      </c>
      <c r="G125" s="7"/>
      <c r="H125" s="19">
        <f t="shared" si="6"/>
        <v>290</v>
      </c>
      <c r="J125" s="54"/>
    </row>
    <row r="126" spans="2:10" x14ac:dyDescent="0.25">
      <c r="B126" s="185">
        <v>328</v>
      </c>
      <c r="C126" s="21" t="s">
        <v>86</v>
      </c>
      <c r="D126" s="20" t="s">
        <v>708</v>
      </c>
      <c r="E126" s="28">
        <v>42593</v>
      </c>
      <c r="F126" s="6">
        <v>270</v>
      </c>
      <c r="G126" s="7"/>
      <c r="H126" s="19">
        <f t="shared" si="6"/>
        <v>270</v>
      </c>
      <c r="J126" s="54"/>
    </row>
    <row r="127" spans="2:10" x14ac:dyDescent="0.25">
      <c r="B127" s="185">
        <v>330</v>
      </c>
      <c r="C127" s="21" t="s">
        <v>86</v>
      </c>
      <c r="D127" s="20" t="s">
        <v>718</v>
      </c>
      <c r="E127" s="28">
        <v>42594</v>
      </c>
      <c r="F127" s="6">
        <v>1070</v>
      </c>
      <c r="G127" s="7"/>
      <c r="H127" s="19">
        <f t="shared" si="6"/>
        <v>1070</v>
      </c>
      <c r="J127" s="54"/>
    </row>
    <row r="128" spans="2:10" x14ac:dyDescent="0.25">
      <c r="B128" s="185">
        <v>331</v>
      </c>
      <c r="C128" s="21" t="s">
        <v>86</v>
      </c>
      <c r="D128" s="20" t="s">
        <v>719</v>
      </c>
      <c r="E128" s="28">
        <v>42594</v>
      </c>
      <c r="F128" s="6">
        <v>1390</v>
      </c>
      <c r="G128" s="7"/>
      <c r="H128" s="19">
        <f t="shared" si="6"/>
        <v>1390</v>
      </c>
      <c r="J128" s="54"/>
    </row>
    <row r="129" spans="2:10" x14ac:dyDescent="0.25">
      <c r="B129" s="185">
        <v>332</v>
      </c>
      <c r="C129" s="21" t="s">
        <v>86</v>
      </c>
      <c r="D129" s="20" t="s">
        <v>152</v>
      </c>
      <c r="E129" s="28">
        <v>42594</v>
      </c>
      <c r="F129" s="6">
        <v>8668.19</v>
      </c>
      <c r="G129" s="7"/>
      <c r="H129" s="19">
        <f t="shared" si="6"/>
        <v>8668.19</v>
      </c>
      <c r="J129" s="54"/>
    </row>
    <row r="130" spans="2:10" x14ac:dyDescent="0.25">
      <c r="B130" s="185">
        <v>333</v>
      </c>
      <c r="C130" s="21" t="s">
        <v>86</v>
      </c>
      <c r="D130" s="20" t="s">
        <v>720</v>
      </c>
      <c r="E130" s="28">
        <v>42594</v>
      </c>
      <c r="F130" s="125">
        <v>1290</v>
      </c>
      <c r="G130" s="7">
        <v>59</v>
      </c>
      <c r="H130" s="19">
        <f t="shared" si="6"/>
        <v>1231</v>
      </c>
      <c r="J130" s="54"/>
    </row>
    <row r="131" spans="2:10" x14ac:dyDescent="0.25">
      <c r="B131" s="185">
        <v>334</v>
      </c>
      <c r="C131" s="21" t="s">
        <v>86</v>
      </c>
      <c r="D131" s="20" t="s">
        <v>740</v>
      </c>
      <c r="E131" s="28">
        <v>42597</v>
      </c>
      <c r="F131" s="125">
        <v>990</v>
      </c>
      <c r="G131" s="7"/>
      <c r="H131" s="19">
        <f t="shared" si="6"/>
        <v>990</v>
      </c>
      <c r="J131" s="54"/>
    </row>
    <row r="132" spans="2:10" x14ac:dyDescent="0.25">
      <c r="B132" s="185">
        <v>335</v>
      </c>
      <c r="C132" s="21" t="s">
        <v>84</v>
      </c>
      <c r="D132" s="20" t="s">
        <v>741</v>
      </c>
      <c r="E132" s="28">
        <v>42598</v>
      </c>
      <c r="F132" s="125">
        <v>290</v>
      </c>
      <c r="G132" s="7"/>
      <c r="H132" s="19">
        <f t="shared" si="6"/>
        <v>290</v>
      </c>
      <c r="J132" s="54"/>
    </row>
    <row r="133" spans="2:10" x14ac:dyDescent="0.25">
      <c r="B133" s="185">
        <v>336</v>
      </c>
      <c r="C133" s="21" t="s">
        <v>84</v>
      </c>
      <c r="D133" s="20" t="s">
        <v>654</v>
      </c>
      <c r="E133" s="28">
        <v>42600</v>
      </c>
      <c r="F133" s="125">
        <v>290</v>
      </c>
      <c r="G133" s="7"/>
      <c r="H133" s="19">
        <f t="shared" si="6"/>
        <v>290</v>
      </c>
      <c r="J133" s="54"/>
    </row>
    <row r="134" spans="2:10" x14ac:dyDescent="0.25">
      <c r="B134" s="185">
        <v>337</v>
      </c>
      <c r="C134" s="21" t="s">
        <v>86</v>
      </c>
      <c r="D134" s="20" t="s">
        <v>742</v>
      </c>
      <c r="E134" s="28">
        <v>42600</v>
      </c>
      <c r="F134" s="125">
        <v>490</v>
      </c>
      <c r="G134" s="7"/>
      <c r="H134" s="19">
        <f t="shared" si="6"/>
        <v>490</v>
      </c>
      <c r="J134" s="54"/>
    </row>
    <row r="135" spans="2:10" x14ac:dyDescent="0.25">
      <c r="B135" s="185">
        <v>338</v>
      </c>
      <c r="C135" s="21" t="s">
        <v>86</v>
      </c>
      <c r="D135" s="20" t="s">
        <v>743</v>
      </c>
      <c r="E135" s="28">
        <v>42600</v>
      </c>
      <c r="F135" s="125">
        <v>290</v>
      </c>
      <c r="G135" s="7"/>
      <c r="H135" s="19">
        <f t="shared" si="6"/>
        <v>290</v>
      </c>
      <c r="J135" s="54"/>
    </row>
    <row r="136" spans="2:10" x14ac:dyDescent="0.25">
      <c r="B136" s="185">
        <v>339</v>
      </c>
      <c r="C136" s="21" t="s">
        <v>84</v>
      </c>
      <c r="D136" s="20" t="s">
        <v>744</v>
      </c>
      <c r="E136" s="28">
        <v>42600</v>
      </c>
      <c r="F136" s="125">
        <v>290</v>
      </c>
      <c r="G136" s="7"/>
      <c r="H136" s="19">
        <f t="shared" si="6"/>
        <v>290</v>
      </c>
      <c r="J136" s="54"/>
    </row>
    <row r="137" spans="2:10" x14ac:dyDescent="0.25">
      <c r="B137" s="185">
        <v>340</v>
      </c>
      <c r="C137" s="21" t="s">
        <v>86</v>
      </c>
      <c r="D137" s="20" t="s">
        <v>724</v>
      </c>
      <c r="E137" s="28">
        <v>42600</v>
      </c>
      <c r="F137" s="125">
        <v>490</v>
      </c>
      <c r="G137" s="7"/>
      <c r="H137" s="19">
        <f t="shared" si="6"/>
        <v>490</v>
      </c>
      <c r="J137" s="54"/>
    </row>
    <row r="138" spans="2:10" x14ac:dyDescent="0.25">
      <c r="B138" s="185">
        <v>341</v>
      </c>
      <c r="C138" s="21" t="s">
        <v>86</v>
      </c>
      <c r="D138" s="20" t="s">
        <v>248</v>
      </c>
      <c r="E138" s="28">
        <v>42600</v>
      </c>
      <c r="F138" s="125">
        <v>790</v>
      </c>
      <c r="G138" s="7"/>
      <c r="H138" s="19">
        <f t="shared" si="6"/>
        <v>790</v>
      </c>
      <c r="J138" s="54"/>
    </row>
    <row r="139" spans="2:10" x14ac:dyDescent="0.25">
      <c r="B139" s="185">
        <v>342</v>
      </c>
      <c r="C139" s="21" t="s">
        <v>86</v>
      </c>
      <c r="D139" s="20" t="s">
        <v>745</v>
      </c>
      <c r="E139" s="28">
        <v>42600</v>
      </c>
      <c r="F139" s="125">
        <v>550</v>
      </c>
      <c r="G139" s="7"/>
      <c r="H139" s="19">
        <f t="shared" si="6"/>
        <v>550</v>
      </c>
      <c r="J139" s="54"/>
    </row>
    <row r="140" spans="2:10" x14ac:dyDescent="0.25">
      <c r="B140" s="185">
        <v>343</v>
      </c>
      <c r="C140" s="21" t="s">
        <v>84</v>
      </c>
      <c r="D140" s="20" t="s">
        <v>746</v>
      </c>
      <c r="E140" s="28">
        <v>42600</v>
      </c>
      <c r="F140" s="125">
        <v>290</v>
      </c>
      <c r="G140" s="7"/>
      <c r="H140" s="19">
        <f t="shared" si="6"/>
        <v>290</v>
      </c>
      <c r="J140" s="54"/>
    </row>
    <row r="141" spans="2:10" x14ac:dyDescent="0.25">
      <c r="B141" s="185">
        <v>344</v>
      </c>
      <c r="C141" s="21" t="s">
        <v>84</v>
      </c>
      <c r="D141" s="20" t="s">
        <v>747</v>
      </c>
      <c r="E141" s="28">
        <v>42600</v>
      </c>
      <c r="F141" s="125">
        <v>290</v>
      </c>
      <c r="G141" s="7"/>
      <c r="H141" s="19">
        <f t="shared" si="6"/>
        <v>290</v>
      </c>
      <c r="J141" s="54"/>
    </row>
    <row r="142" spans="2:10" x14ac:dyDescent="0.25">
      <c r="B142" s="185" t="s">
        <v>83</v>
      </c>
      <c r="C142" s="21" t="s">
        <v>84</v>
      </c>
      <c r="D142" s="20" t="s">
        <v>736</v>
      </c>
      <c r="E142" s="28">
        <v>42600</v>
      </c>
      <c r="F142" s="125">
        <v>290</v>
      </c>
      <c r="G142" s="7"/>
      <c r="H142" s="19">
        <f t="shared" si="6"/>
        <v>290</v>
      </c>
      <c r="J142" s="54"/>
    </row>
    <row r="143" spans="2:10" x14ac:dyDescent="0.25">
      <c r="B143" s="185" t="s">
        <v>83</v>
      </c>
      <c r="C143" s="21" t="s">
        <v>86</v>
      </c>
      <c r="D143" s="20" t="s">
        <v>737</v>
      </c>
      <c r="E143" s="28">
        <v>42600</v>
      </c>
      <c r="F143" s="125">
        <v>209</v>
      </c>
      <c r="G143" s="7">
        <v>25</v>
      </c>
      <c r="H143" s="19">
        <f t="shared" si="6"/>
        <v>184</v>
      </c>
      <c r="J143" s="54"/>
    </row>
    <row r="144" spans="2:10" x14ac:dyDescent="0.25">
      <c r="B144" s="185">
        <v>346</v>
      </c>
      <c r="C144" s="21" t="s">
        <v>84</v>
      </c>
      <c r="D144" s="20" t="s">
        <v>748</v>
      </c>
      <c r="E144" s="28">
        <v>42601</v>
      </c>
      <c r="F144" s="125">
        <v>290</v>
      </c>
      <c r="G144" s="7"/>
      <c r="H144" s="19">
        <f t="shared" si="6"/>
        <v>290</v>
      </c>
      <c r="J144" s="54"/>
    </row>
    <row r="145" spans="2:10" x14ac:dyDescent="0.25">
      <c r="B145" s="185">
        <v>348</v>
      </c>
      <c r="C145" s="21" t="s">
        <v>86</v>
      </c>
      <c r="D145" s="20" t="s">
        <v>739</v>
      </c>
      <c r="E145" s="28">
        <v>42601</v>
      </c>
      <c r="F145" s="125">
        <v>1405</v>
      </c>
      <c r="G145" s="7"/>
      <c r="H145" s="19">
        <f t="shared" si="6"/>
        <v>1405</v>
      </c>
      <c r="J145" s="54"/>
    </row>
    <row r="146" spans="2:10" x14ac:dyDescent="0.25">
      <c r="B146" s="185">
        <v>349</v>
      </c>
      <c r="C146" s="21" t="s">
        <v>95</v>
      </c>
      <c r="D146" s="20" t="s">
        <v>591</v>
      </c>
      <c r="E146" s="28">
        <v>42604</v>
      </c>
      <c r="F146" s="125">
        <v>590</v>
      </c>
      <c r="G146" s="7"/>
      <c r="H146" s="19">
        <f t="shared" si="6"/>
        <v>590</v>
      </c>
      <c r="J146" s="54"/>
    </row>
    <row r="147" spans="2:10" x14ac:dyDescent="0.25">
      <c r="B147" s="185">
        <v>350</v>
      </c>
      <c r="C147" s="21" t="s">
        <v>84</v>
      </c>
      <c r="D147" s="20" t="s">
        <v>752</v>
      </c>
      <c r="E147" s="28">
        <v>42604</v>
      </c>
      <c r="F147" s="125">
        <v>290</v>
      </c>
      <c r="G147" s="7"/>
      <c r="H147" s="19">
        <f t="shared" si="6"/>
        <v>290</v>
      </c>
      <c r="J147" s="54"/>
    </row>
    <row r="148" spans="2:10" x14ac:dyDescent="0.25">
      <c r="B148" s="185">
        <v>351</v>
      </c>
      <c r="C148" s="21" t="s">
        <v>95</v>
      </c>
      <c r="D148" s="20" t="s">
        <v>753</v>
      </c>
      <c r="E148" s="28">
        <v>42605</v>
      </c>
      <c r="F148" s="125">
        <v>790</v>
      </c>
      <c r="G148" s="7"/>
      <c r="H148" s="19">
        <f t="shared" si="6"/>
        <v>790</v>
      </c>
      <c r="J148" s="54"/>
    </row>
    <row r="149" spans="2:10" x14ac:dyDescent="0.25">
      <c r="B149" s="185">
        <v>352</v>
      </c>
      <c r="C149" s="21" t="s">
        <v>84</v>
      </c>
      <c r="D149" s="20" t="s">
        <v>178</v>
      </c>
      <c r="E149" s="28">
        <v>42605</v>
      </c>
      <c r="F149" s="125">
        <v>290</v>
      </c>
      <c r="G149" s="7"/>
      <c r="H149" s="19">
        <f t="shared" si="6"/>
        <v>290</v>
      </c>
      <c r="J149" s="54"/>
    </row>
    <row r="150" spans="2:10" x14ac:dyDescent="0.25">
      <c r="B150" s="185">
        <v>354</v>
      </c>
      <c r="C150" s="21" t="s">
        <v>84</v>
      </c>
      <c r="D150" s="20" t="s">
        <v>754</v>
      </c>
      <c r="E150" s="28">
        <v>42608</v>
      </c>
      <c r="F150" s="125">
        <v>290</v>
      </c>
      <c r="G150" s="7"/>
      <c r="H150" s="19">
        <f t="shared" si="6"/>
        <v>290</v>
      </c>
      <c r="J150" s="54"/>
    </row>
    <row r="151" spans="2:10" x14ac:dyDescent="0.25">
      <c r="B151" s="185">
        <v>355</v>
      </c>
      <c r="C151" s="21" t="s">
        <v>84</v>
      </c>
      <c r="D151" s="20" t="s">
        <v>645</v>
      </c>
      <c r="E151" s="28">
        <v>42608</v>
      </c>
      <c r="F151" s="125">
        <v>290</v>
      </c>
      <c r="G151" s="7"/>
      <c r="H151" s="19">
        <f t="shared" si="6"/>
        <v>290</v>
      </c>
      <c r="J151" s="54"/>
    </row>
    <row r="152" spans="2:10" x14ac:dyDescent="0.25">
      <c r="B152" s="185">
        <v>356</v>
      </c>
      <c r="C152" s="21" t="s">
        <v>86</v>
      </c>
      <c r="D152" s="20" t="s">
        <v>755</v>
      </c>
      <c r="E152" s="28">
        <v>42608</v>
      </c>
      <c r="F152" s="125">
        <v>490</v>
      </c>
      <c r="G152" s="7"/>
      <c r="H152" s="19">
        <f t="shared" si="6"/>
        <v>490</v>
      </c>
      <c r="J152" s="54"/>
    </row>
    <row r="153" spans="2:10" x14ac:dyDescent="0.25">
      <c r="B153" s="185">
        <v>357</v>
      </c>
      <c r="C153" s="21" t="s">
        <v>86</v>
      </c>
      <c r="D153" s="20" t="s">
        <v>392</v>
      </c>
      <c r="E153" s="28">
        <v>42608</v>
      </c>
      <c r="F153" s="125">
        <v>1440</v>
      </c>
      <c r="G153" s="7"/>
      <c r="H153" s="19">
        <f t="shared" si="6"/>
        <v>1440</v>
      </c>
      <c r="J153" s="54"/>
    </row>
    <row r="154" spans="2:10" x14ac:dyDescent="0.25">
      <c r="B154" s="185">
        <v>358</v>
      </c>
      <c r="C154" s="21" t="s">
        <v>95</v>
      </c>
      <c r="D154" s="20" t="s">
        <v>392</v>
      </c>
      <c r="E154" s="28">
        <v>42608</v>
      </c>
      <c r="F154" s="125">
        <v>790</v>
      </c>
      <c r="G154" s="7"/>
      <c r="H154" s="19">
        <f t="shared" si="6"/>
        <v>790</v>
      </c>
      <c r="J154" s="54"/>
    </row>
    <row r="155" spans="2:10" x14ac:dyDescent="0.25">
      <c r="B155" s="185">
        <v>359</v>
      </c>
      <c r="C155" s="21" t="s">
        <v>86</v>
      </c>
      <c r="D155" s="20" t="s">
        <v>761</v>
      </c>
      <c r="E155" s="28">
        <v>42611</v>
      </c>
      <c r="F155" s="125">
        <v>590</v>
      </c>
      <c r="G155" s="7"/>
      <c r="H155" s="19">
        <f t="shared" si="6"/>
        <v>590</v>
      </c>
      <c r="J155" s="54"/>
    </row>
    <row r="156" spans="2:10" x14ac:dyDescent="0.25">
      <c r="B156" s="185">
        <v>360</v>
      </c>
      <c r="C156" s="21" t="s">
        <v>86</v>
      </c>
      <c r="D156" s="20" t="s">
        <v>691</v>
      </c>
      <c r="E156" s="28">
        <v>42612</v>
      </c>
      <c r="F156" s="125">
        <v>507.31</v>
      </c>
      <c r="G156" s="7"/>
      <c r="H156" s="19">
        <f t="shared" si="6"/>
        <v>507.31</v>
      </c>
      <c r="J156" s="54"/>
    </row>
    <row r="157" spans="2:10" x14ac:dyDescent="0.25">
      <c r="B157" s="185">
        <v>361</v>
      </c>
      <c r="C157" s="21" t="s">
        <v>86</v>
      </c>
      <c r="D157" s="20" t="s">
        <v>473</v>
      </c>
      <c r="E157" s="28">
        <v>42612</v>
      </c>
      <c r="F157" s="125">
        <v>490</v>
      </c>
      <c r="G157" s="7"/>
      <c r="H157" s="19">
        <f t="shared" si="6"/>
        <v>490</v>
      </c>
      <c r="J157" s="54"/>
    </row>
    <row r="158" spans="2:10" x14ac:dyDescent="0.25">
      <c r="B158" s="185">
        <v>362</v>
      </c>
      <c r="C158" s="21" t="s">
        <v>86</v>
      </c>
      <c r="D158" s="20" t="s">
        <v>762</v>
      </c>
      <c r="E158" s="28">
        <v>42613</v>
      </c>
      <c r="F158" s="125">
        <v>245</v>
      </c>
      <c r="G158" s="7"/>
      <c r="H158" s="19">
        <f t="shared" si="6"/>
        <v>245</v>
      </c>
      <c r="J158" s="54"/>
    </row>
    <row r="159" spans="2:10" x14ac:dyDescent="0.25">
      <c r="B159" s="185">
        <v>363</v>
      </c>
      <c r="C159" s="21" t="s">
        <v>86</v>
      </c>
      <c r="D159" s="20" t="s">
        <v>391</v>
      </c>
      <c r="E159" s="28">
        <v>42613</v>
      </c>
      <c r="F159" s="125">
        <v>400</v>
      </c>
      <c r="G159" s="7"/>
      <c r="H159" s="19">
        <f t="shared" si="6"/>
        <v>400</v>
      </c>
      <c r="J159" s="54"/>
    </row>
    <row r="160" spans="2:10" x14ac:dyDescent="0.25">
      <c r="B160" s="185">
        <v>364</v>
      </c>
      <c r="C160" s="21" t="s">
        <v>86</v>
      </c>
      <c r="D160" s="20" t="s">
        <v>763</v>
      </c>
      <c r="E160" s="28">
        <v>42613</v>
      </c>
      <c r="F160" s="125">
        <v>590</v>
      </c>
      <c r="G160" s="7"/>
      <c r="H160" s="19">
        <f t="shared" si="6"/>
        <v>590</v>
      </c>
      <c r="J160" s="54"/>
    </row>
    <row r="161" spans="2:10" x14ac:dyDescent="0.25">
      <c r="B161" s="185">
        <v>365</v>
      </c>
      <c r="C161" s="21" t="s">
        <v>95</v>
      </c>
      <c r="D161" s="20" t="s">
        <v>764</v>
      </c>
      <c r="E161" s="28">
        <v>42613</v>
      </c>
      <c r="F161" s="125">
        <v>590</v>
      </c>
      <c r="G161" s="7"/>
      <c r="H161" s="19">
        <f t="shared" si="6"/>
        <v>590</v>
      </c>
      <c r="J161" s="54"/>
    </row>
    <row r="162" spans="2:10" x14ac:dyDescent="0.25">
      <c r="B162" s="185">
        <v>366</v>
      </c>
      <c r="C162" s="21" t="s">
        <v>95</v>
      </c>
      <c r="D162" s="20" t="s">
        <v>607</v>
      </c>
      <c r="E162" s="28">
        <v>42613</v>
      </c>
      <c r="F162" s="125">
        <v>690</v>
      </c>
      <c r="G162" s="7"/>
      <c r="H162" s="19">
        <f t="shared" si="6"/>
        <v>690</v>
      </c>
      <c r="J162" s="54"/>
    </row>
    <row r="163" spans="2:10" x14ac:dyDescent="0.25">
      <c r="B163" s="185">
        <v>367</v>
      </c>
      <c r="C163" s="21" t="s">
        <v>95</v>
      </c>
      <c r="D163" s="20" t="s">
        <v>392</v>
      </c>
      <c r="E163" s="28">
        <v>42613</v>
      </c>
      <c r="F163" s="125">
        <v>990</v>
      </c>
      <c r="G163" s="7"/>
      <c r="H163" s="19">
        <f t="shared" si="6"/>
        <v>990</v>
      </c>
      <c r="J163" s="54"/>
    </row>
    <row r="164" spans="2:10" x14ac:dyDescent="0.25">
      <c r="B164" s="185" t="s">
        <v>83</v>
      </c>
      <c r="C164" s="21" t="s">
        <v>84</v>
      </c>
      <c r="D164" s="20" t="s">
        <v>391</v>
      </c>
      <c r="E164" s="28">
        <v>42613</v>
      </c>
      <c r="F164" s="125">
        <v>290</v>
      </c>
      <c r="G164" s="7"/>
      <c r="H164" s="19">
        <f t="shared" si="6"/>
        <v>290</v>
      </c>
      <c r="J164" s="54"/>
    </row>
    <row r="165" spans="2:10" x14ac:dyDescent="0.25">
      <c r="B165" s="185"/>
      <c r="C165" s="21"/>
      <c r="D165" s="20"/>
      <c r="E165" s="28"/>
      <c r="F165" s="125"/>
      <c r="G165" s="7"/>
      <c r="H165" s="19">
        <f t="shared" si="6"/>
        <v>0</v>
      </c>
      <c r="J165" s="54"/>
    </row>
    <row r="166" spans="2:10" x14ac:dyDescent="0.25">
      <c r="B166" s="185"/>
      <c r="C166" s="21"/>
      <c r="D166" s="20"/>
      <c r="E166" s="28"/>
      <c r="F166" s="6"/>
      <c r="G166" s="7"/>
      <c r="H166" s="19">
        <f t="shared" si="6"/>
        <v>0</v>
      </c>
      <c r="J166" s="54"/>
    </row>
    <row r="167" spans="2:10" ht="15" thickBot="1" x14ac:dyDescent="0.3">
      <c r="B167" s="185"/>
      <c r="C167" s="21"/>
      <c r="D167" s="20"/>
      <c r="E167" s="28"/>
      <c r="F167" s="6"/>
      <c r="G167" s="7"/>
      <c r="H167" s="19">
        <f t="shared" si="6"/>
        <v>0</v>
      </c>
    </row>
    <row r="168" spans="2:10" ht="15" thickBot="1" x14ac:dyDescent="0.3">
      <c r="E168" s="70"/>
      <c r="F168" s="62">
        <f>SUM(F98:F167)</f>
        <v>49237.2</v>
      </c>
      <c r="G168" s="36"/>
      <c r="H168" s="63">
        <f>SUM(H98:H167)</f>
        <v>49100.299999999996</v>
      </c>
    </row>
    <row r="169" spans="2:10" x14ac:dyDescent="0.25">
      <c r="E169" s="38" t="s">
        <v>8</v>
      </c>
      <c r="F169" s="39">
        <f>TOTAL!J11</f>
        <v>29000</v>
      </c>
      <c r="G169" s="40" t="s">
        <v>16</v>
      </c>
      <c r="H169" s="71">
        <f>H168/F169%</f>
        <v>169.31137931034482</v>
      </c>
      <c r="I169" s="58" t="s">
        <v>10</v>
      </c>
    </row>
    <row r="170" spans="2:10" x14ac:dyDescent="0.25">
      <c r="E170" s="38"/>
      <c r="F170" s="39"/>
      <c r="G170" s="40"/>
      <c r="H170" s="71"/>
      <c r="I170" s="58"/>
    </row>
    <row r="171" spans="2:10" ht="15" thickBot="1" x14ac:dyDescent="0.3">
      <c r="E171" s="38"/>
      <c r="F171" s="39"/>
      <c r="G171" s="40"/>
      <c r="H171" s="71"/>
      <c r="I171" s="58"/>
    </row>
    <row r="172" spans="2:10" ht="18.75" thickTop="1" x14ac:dyDescent="0.25">
      <c r="B172" s="207" t="s">
        <v>150</v>
      </c>
      <c r="C172" s="76"/>
      <c r="D172" s="83"/>
      <c r="E172" s="77"/>
      <c r="F172" s="77"/>
      <c r="G172" s="77"/>
      <c r="H172" s="77"/>
      <c r="I172" s="58"/>
    </row>
    <row r="173" spans="2:10" x14ac:dyDescent="0.25">
      <c r="B173" s="199" t="s">
        <v>1</v>
      </c>
      <c r="C173" s="9" t="s">
        <v>2</v>
      </c>
      <c r="D173" s="10" t="s">
        <v>3</v>
      </c>
      <c r="E173" s="250" t="s">
        <v>4</v>
      </c>
      <c r="F173" s="12" t="s">
        <v>5</v>
      </c>
      <c r="G173" s="7" t="s">
        <v>12</v>
      </c>
      <c r="H173" s="13" t="s">
        <v>7</v>
      </c>
      <c r="I173" s="58"/>
    </row>
    <row r="174" spans="2:10" x14ac:dyDescent="0.25">
      <c r="B174" s="182">
        <v>306</v>
      </c>
      <c r="C174" s="182" t="s">
        <v>151</v>
      </c>
      <c r="D174" s="183" t="s">
        <v>152</v>
      </c>
      <c r="E174" s="178">
        <v>42585</v>
      </c>
      <c r="F174" s="177">
        <v>41256.06</v>
      </c>
      <c r="G174" s="175"/>
      <c r="H174" s="19">
        <f t="shared" ref="H174:H177" si="7">F174-G174</f>
        <v>41256.06</v>
      </c>
      <c r="I174" s="58"/>
    </row>
    <row r="175" spans="2:10" x14ac:dyDescent="0.25">
      <c r="B175" s="182">
        <v>307</v>
      </c>
      <c r="C175" s="182" t="s">
        <v>151</v>
      </c>
      <c r="D175" s="183" t="s">
        <v>152</v>
      </c>
      <c r="E175" s="178">
        <v>42585</v>
      </c>
      <c r="F175" s="177">
        <v>22319.24</v>
      </c>
      <c r="G175" s="175"/>
      <c r="H175" s="19">
        <f t="shared" si="7"/>
        <v>22319.24</v>
      </c>
      <c r="I175" s="58"/>
    </row>
    <row r="176" spans="2:10" x14ac:dyDescent="0.25">
      <c r="B176" s="182">
        <v>345</v>
      </c>
      <c r="C176" s="29" t="s">
        <v>151</v>
      </c>
      <c r="D176" s="30" t="s">
        <v>152</v>
      </c>
      <c r="E176" s="31">
        <v>42600</v>
      </c>
      <c r="F176" s="6">
        <v>39162.730000000003</v>
      </c>
      <c r="G176" s="7"/>
      <c r="H176" s="19">
        <f t="shared" si="7"/>
        <v>39162.730000000003</v>
      </c>
      <c r="I176" s="58"/>
    </row>
    <row r="177" spans="2:15" ht="15" thickBot="1" x14ac:dyDescent="0.3">
      <c r="B177" s="182"/>
      <c r="C177" s="29"/>
      <c r="D177" s="30"/>
      <c r="E177" s="31"/>
      <c r="F177" s="6"/>
      <c r="G177" s="7"/>
      <c r="H177" s="19">
        <f t="shared" si="7"/>
        <v>0</v>
      </c>
      <c r="I177" s="58"/>
    </row>
    <row r="178" spans="2:15" ht="15" thickBot="1" x14ac:dyDescent="0.3">
      <c r="B178" s="182"/>
      <c r="C178" s="29"/>
      <c r="D178" s="30"/>
      <c r="E178" s="31"/>
      <c r="F178" s="35"/>
      <c r="G178" s="36"/>
      <c r="H178" s="37">
        <f>SUM(H174:H177)</f>
        <v>102738.03</v>
      </c>
      <c r="I178" s="58"/>
    </row>
    <row r="179" spans="2:15" x14ac:dyDescent="0.25">
      <c r="E179" s="38"/>
      <c r="F179" s="39"/>
      <c r="G179" s="40"/>
      <c r="H179" s="71"/>
      <c r="I179" s="58"/>
    </row>
    <row r="180" spans="2:15" x14ac:dyDescent="0.25">
      <c r="E180" s="38"/>
      <c r="F180" s="39"/>
      <c r="G180" s="40"/>
      <c r="H180" s="71"/>
      <c r="I180" s="58"/>
    </row>
    <row r="181" spans="2:15" ht="15" thickBot="1" x14ac:dyDescent="0.3">
      <c r="B181" s="206"/>
      <c r="C181" s="79"/>
      <c r="D181" s="80"/>
      <c r="E181" s="81"/>
      <c r="F181" s="82"/>
      <c r="G181" s="7"/>
      <c r="H181" s="74"/>
    </row>
    <row r="182" spans="2:15" ht="18.75" thickTop="1" x14ac:dyDescent="0.25">
      <c r="B182" s="207" t="s">
        <v>44</v>
      </c>
      <c r="C182" s="76"/>
      <c r="D182" s="83"/>
      <c r="E182" s="77"/>
      <c r="F182" s="84"/>
      <c r="G182" s="78"/>
      <c r="H182" s="50"/>
      <c r="J182" s="14"/>
    </row>
    <row r="183" spans="2:15" x14ac:dyDescent="0.25">
      <c r="B183" s="199" t="s">
        <v>1</v>
      </c>
      <c r="C183" s="9" t="s">
        <v>2</v>
      </c>
      <c r="D183" s="10" t="s">
        <v>3</v>
      </c>
      <c r="E183" s="11" t="s">
        <v>4</v>
      </c>
      <c r="F183" s="12" t="s">
        <v>5</v>
      </c>
      <c r="G183" s="7" t="s">
        <v>12</v>
      </c>
      <c r="H183" s="13" t="s">
        <v>7</v>
      </c>
    </row>
    <row r="184" spans="2:15" s="14" customFormat="1" x14ac:dyDescent="0.25">
      <c r="B184" s="185">
        <v>1448</v>
      </c>
      <c r="C184" s="21" t="s">
        <v>102</v>
      </c>
      <c r="D184" s="20" t="s">
        <v>687</v>
      </c>
      <c r="E184" s="28">
        <v>42583</v>
      </c>
      <c r="F184" s="6">
        <v>404</v>
      </c>
      <c r="G184" s="7">
        <v>54</v>
      </c>
      <c r="H184" s="19">
        <f t="shared" ref="H184:H194" si="8">F184-G184</f>
        <v>350</v>
      </c>
      <c r="I184" s="1"/>
      <c r="J184" s="1"/>
      <c r="K184" s="1"/>
      <c r="L184" s="1"/>
      <c r="M184" s="1"/>
      <c r="N184" s="1"/>
      <c r="O184" s="1"/>
    </row>
    <row r="185" spans="2:15" s="14" customFormat="1" x14ac:dyDescent="0.25">
      <c r="B185" s="185">
        <v>1451</v>
      </c>
      <c r="C185" s="21" t="s">
        <v>102</v>
      </c>
      <c r="D185" s="20" t="s">
        <v>694</v>
      </c>
      <c r="E185" s="28">
        <v>42585</v>
      </c>
      <c r="F185" s="6">
        <v>700</v>
      </c>
      <c r="G185" s="7"/>
      <c r="H185" s="19">
        <f t="shared" si="8"/>
        <v>700</v>
      </c>
      <c r="I185" s="1"/>
      <c r="J185" s="1"/>
      <c r="K185" s="1"/>
      <c r="L185" s="1"/>
      <c r="M185" s="1"/>
      <c r="N185" s="1"/>
      <c r="O185" s="1"/>
    </row>
    <row r="186" spans="2:15" s="14" customFormat="1" x14ac:dyDescent="0.25">
      <c r="B186" s="185">
        <v>1462</v>
      </c>
      <c r="C186" s="21" t="s">
        <v>102</v>
      </c>
      <c r="D186" s="20" t="s">
        <v>425</v>
      </c>
      <c r="E186" s="28">
        <v>42593</v>
      </c>
      <c r="F186" s="6">
        <v>377</v>
      </c>
      <c r="G186" s="7">
        <v>27</v>
      </c>
      <c r="H186" s="19">
        <f t="shared" si="8"/>
        <v>350</v>
      </c>
      <c r="I186" s="1"/>
      <c r="J186" s="1"/>
    </row>
    <row r="187" spans="2:15" s="14" customFormat="1" x14ac:dyDescent="0.25">
      <c r="B187" s="185">
        <v>1463</v>
      </c>
      <c r="C187" s="21" t="s">
        <v>102</v>
      </c>
      <c r="D187" s="20" t="s">
        <v>724</v>
      </c>
      <c r="E187" s="28">
        <v>42594</v>
      </c>
      <c r="F187" s="6">
        <v>439</v>
      </c>
      <c r="G187" s="52">
        <v>89</v>
      </c>
      <c r="H187" s="19">
        <f t="shared" si="8"/>
        <v>350</v>
      </c>
      <c r="I187" s="58"/>
      <c r="J187" s="54"/>
    </row>
    <row r="188" spans="2:15" s="14" customFormat="1" x14ac:dyDescent="0.25">
      <c r="B188" s="185">
        <v>1464</v>
      </c>
      <c r="C188" s="21" t="s">
        <v>102</v>
      </c>
      <c r="D188" s="20" t="s">
        <v>725</v>
      </c>
      <c r="E188" s="28">
        <v>42594</v>
      </c>
      <c r="F188" s="6">
        <v>377</v>
      </c>
      <c r="G188" s="7">
        <v>27</v>
      </c>
      <c r="H188" s="19">
        <f t="shared" si="8"/>
        <v>350</v>
      </c>
      <c r="J188" s="1"/>
    </row>
    <row r="189" spans="2:15" s="14" customFormat="1" x14ac:dyDescent="0.25">
      <c r="B189" s="185">
        <v>1477</v>
      </c>
      <c r="C189" s="21" t="s">
        <v>102</v>
      </c>
      <c r="D189" s="20" t="s">
        <v>765</v>
      </c>
      <c r="E189" s="28">
        <v>42611</v>
      </c>
      <c r="F189" s="6">
        <v>388</v>
      </c>
      <c r="G189" s="7">
        <v>38</v>
      </c>
      <c r="H189" s="19">
        <f t="shared" si="8"/>
        <v>350</v>
      </c>
      <c r="J189" s="54"/>
    </row>
    <row r="190" spans="2:15" s="14" customFormat="1" x14ac:dyDescent="0.25">
      <c r="B190" s="185">
        <v>1479</v>
      </c>
      <c r="C190" s="141" t="s">
        <v>102</v>
      </c>
      <c r="D190" s="141" t="s">
        <v>766</v>
      </c>
      <c r="E190" s="23">
        <v>42612</v>
      </c>
      <c r="F190" s="24">
        <v>376</v>
      </c>
      <c r="G190" s="25">
        <v>26</v>
      </c>
      <c r="H190" s="19">
        <f t="shared" si="8"/>
        <v>350</v>
      </c>
      <c r="J190" s="54"/>
    </row>
    <row r="191" spans="2:15" s="14" customFormat="1" x14ac:dyDescent="0.25">
      <c r="B191" s="185">
        <v>1480</v>
      </c>
      <c r="C191" s="141" t="s">
        <v>102</v>
      </c>
      <c r="D191" s="141" t="s">
        <v>766</v>
      </c>
      <c r="E191" s="23">
        <v>42613</v>
      </c>
      <c r="F191" s="24">
        <v>382</v>
      </c>
      <c r="G191" s="25">
        <v>32</v>
      </c>
      <c r="H191" s="19">
        <f t="shared" si="8"/>
        <v>350</v>
      </c>
      <c r="J191" s="54"/>
    </row>
    <row r="192" spans="2:15" s="14" customFormat="1" x14ac:dyDescent="0.25">
      <c r="B192" s="185"/>
      <c r="C192" s="22"/>
      <c r="D192" s="22"/>
      <c r="E192" s="23"/>
      <c r="F192" s="24"/>
      <c r="G192" s="25"/>
      <c r="H192" s="19">
        <f t="shared" si="8"/>
        <v>0</v>
      </c>
      <c r="J192" s="1"/>
    </row>
    <row r="193" spans="2:15" s="14" customFormat="1" x14ac:dyDescent="0.25">
      <c r="B193" s="185"/>
      <c r="C193" s="21"/>
      <c r="D193" s="20"/>
      <c r="E193" s="28"/>
      <c r="F193" s="6"/>
      <c r="G193" s="7"/>
      <c r="H193" s="19">
        <f t="shared" si="8"/>
        <v>0</v>
      </c>
      <c r="J193" s="1"/>
    </row>
    <row r="194" spans="2:15" ht="15" thickBot="1" x14ac:dyDescent="0.3">
      <c r="B194" s="185"/>
      <c r="C194" s="21"/>
      <c r="D194" s="20"/>
      <c r="E194" s="28"/>
      <c r="F194" s="18"/>
      <c r="G194" s="7"/>
      <c r="H194" s="19">
        <f t="shared" si="8"/>
        <v>0</v>
      </c>
      <c r="I194" s="101">
        <f>SUM(H186,H168,H98,H57,H39,H30,H22)</f>
        <v>51958.189999999995</v>
      </c>
      <c r="K194" s="14"/>
      <c r="L194" s="14"/>
      <c r="M194" s="14"/>
      <c r="N194" s="14"/>
      <c r="O194" s="14"/>
    </row>
    <row r="195" spans="2:15" ht="15" thickBot="1" x14ac:dyDescent="0.3">
      <c r="B195" s="208"/>
      <c r="C195" s="85"/>
      <c r="D195" s="14"/>
      <c r="E195" s="86"/>
      <c r="F195" s="62">
        <f>SUM(F184:F194)</f>
        <v>3443</v>
      </c>
      <c r="G195" s="36">
        <f>SUM(G184:G194)</f>
        <v>293</v>
      </c>
      <c r="H195" s="63">
        <f>SUM(H184:H194)</f>
        <v>3150</v>
      </c>
      <c r="I195" s="14"/>
      <c r="K195" s="14"/>
      <c r="L195" s="14"/>
      <c r="M195" s="14"/>
      <c r="N195" s="14"/>
      <c r="O195" s="14"/>
    </row>
    <row r="196" spans="2:15" x14ac:dyDescent="0.25">
      <c r="E196" s="38" t="s">
        <v>8</v>
      </c>
      <c r="F196" s="39">
        <f>TOTAL!J12</f>
        <v>3500</v>
      </c>
      <c r="G196" s="40" t="s">
        <v>16</v>
      </c>
      <c r="H196" s="71">
        <f>H195/F196%</f>
        <v>90</v>
      </c>
      <c r="I196" s="58" t="s">
        <v>10</v>
      </c>
    </row>
    <row r="197" spans="2:15" ht="15" thickBot="1" x14ac:dyDescent="0.3">
      <c r="B197" s="201"/>
      <c r="C197" s="3"/>
      <c r="D197" s="87"/>
      <c r="E197" s="88"/>
      <c r="F197" s="89"/>
      <c r="G197" s="90"/>
      <c r="H197" s="8"/>
      <c r="I197" s="14"/>
    </row>
    <row r="198" spans="2:15" ht="15" thickBot="1" x14ac:dyDescent="0.3">
      <c r="D198" s="288" t="s">
        <v>770</v>
      </c>
      <c r="E198" s="288"/>
      <c r="F198" s="288"/>
      <c r="G198" s="288"/>
      <c r="H198" s="91">
        <f>SUM(SUM(H3)+SUM(H39:H44)+SUM(H57:H65)+SUM(H98:H109)+SUM(H174:H175)+SUM(H184:H185))</f>
        <v>111782.16</v>
      </c>
      <c r="I198" s="14"/>
    </row>
    <row r="199" spans="2:15" ht="15" thickBot="1" x14ac:dyDescent="0.3">
      <c r="D199" s="285" t="s">
        <v>783</v>
      </c>
      <c r="E199" s="285"/>
      <c r="F199" s="285"/>
      <c r="G199" s="285"/>
      <c r="H199" s="92">
        <f>SUM(SUM(H4:H5)+SUM(H30)+SUM(H45:H46)+SUM(H66:H74)+SUM(H110:H130)+SUM(H186:H188))</f>
        <v>100829.86</v>
      </c>
      <c r="I199" s="14"/>
    </row>
    <row r="200" spans="2:15" ht="15" thickBot="1" x14ac:dyDescent="0.3">
      <c r="D200" s="286" t="s">
        <v>771</v>
      </c>
      <c r="E200" s="286"/>
      <c r="F200" s="286"/>
      <c r="G200" s="286"/>
      <c r="H200" s="93">
        <f>SUM(SUM(H6)+SUM(H47)+SUM(H75:H81)+SUM(H131:H145)+SUM(H176))</f>
        <v>80109.399999999994</v>
      </c>
      <c r="I200" s="14"/>
    </row>
    <row r="201" spans="2:15" ht="15" thickBot="1" x14ac:dyDescent="0.3">
      <c r="D201" s="287" t="s">
        <v>772</v>
      </c>
      <c r="E201" s="287"/>
      <c r="F201" s="287"/>
      <c r="G201" s="287"/>
      <c r="H201" s="94">
        <f>SUM(SUM(H7:H12)+SUM(H82:H83)+SUM(H146:H154))</f>
        <v>192399.08</v>
      </c>
      <c r="I201" s="14"/>
    </row>
    <row r="202" spans="2:15" ht="15" thickBot="1" x14ac:dyDescent="0.3">
      <c r="D202" s="283" t="s">
        <v>773</v>
      </c>
      <c r="E202" s="283"/>
      <c r="F202" s="283"/>
      <c r="G202" s="283"/>
      <c r="H202" s="95">
        <f>SUM(SUM(H13:H14)+SUM(H84:H89)+SUM(H155:H164)+SUM(H189:H191))</f>
        <v>73796.709999999992</v>
      </c>
      <c r="I202" s="14"/>
    </row>
    <row r="203" spans="2:15" ht="15" thickBot="1" x14ac:dyDescent="0.3">
      <c r="D203" s="96"/>
      <c r="E203" s="97"/>
      <c r="F203" s="98"/>
      <c r="G203" s="99"/>
      <c r="H203" s="100">
        <f>SUM(H198:H202)</f>
        <v>558917.21</v>
      </c>
      <c r="I203" s="101">
        <f>SUM(H17,H25,H34,H52,H93,H168,H195,H178)</f>
        <v>558917.21</v>
      </c>
    </row>
    <row r="204" spans="2:15" x14ac:dyDescent="0.25">
      <c r="B204" s="180"/>
      <c r="C204" s="1"/>
      <c r="E204" s="70"/>
    </row>
    <row r="209" spans="1:15" s="104" customFormat="1" x14ac:dyDescent="0.25">
      <c r="A209" s="1"/>
      <c r="B209" s="205"/>
      <c r="C209" s="69"/>
      <c r="D209" s="1"/>
      <c r="E209" s="70"/>
      <c r="F209" s="73"/>
      <c r="G209" s="103"/>
      <c r="I209" s="1"/>
      <c r="J209" s="1"/>
      <c r="K209" s="1"/>
      <c r="L209" s="1"/>
      <c r="M209" s="1"/>
      <c r="N209" s="1"/>
      <c r="O209" s="1"/>
    </row>
    <row r="210" spans="1:15" x14ac:dyDescent="0.25">
      <c r="K210" s="104"/>
      <c r="L210" s="104"/>
      <c r="M210" s="104"/>
      <c r="N210" s="104"/>
      <c r="O210" s="104"/>
    </row>
    <row r="216" spans="1:15" s="104" customFormat="1" x14ac:dyDescent="0.25">
      <c r="A216" s="1"/>
      <c r="B216" s="205"/>
      <c r="C216" s="69"/>
      <c r="D216" s="1"/>
      <c r="E216" s="70"/>
      <c r="F216" s="73"/>
      <c r="G216" s="103"/>
      <c r="I216" s="1"/>
      <c r="J216" s="1"/>
      <c r="K216" s="1"/>
      <c r="L216" s="1"/>
      <c r="M216" s="1"/>
      <c r="N216" s="1"/>
      <c r="O216" s="1"/>
    </row>
    <row r="217" spans="1:15" x14ac:dyDescent="0.25">
      <c r="K217" s="104"/>
      <c r="L217" s="104"/>
      <c r="M217" s="104"/>
      <c r="N217" s="104"/>
      <c r="O217" s="104"/>
    </row>
  </sheetData>
  <sortState ref="B196:G203">
    <sortCondition ref="E196:E203"/>
    <sortCondition ref="B196:B203"/>
  </sortState>
  <mergeCells count="6">
    <mergeCell ref="D202:G202"/>
    <mergeCell ref="J1:O1"/>
    <mergeCell ref="D198:G198"/>
    <mergeCell ref="D199:G199"/>
    <mergeCell ref="D200:G200"/>
    <mergeCell ref="D201:G201"/>
  </mergeCells>
  <phoneticPr fontId="38" type="noConversion"/>
  <pageMargins left="0.75" right="0.75" top="1" bottom="1" header="0.49212598499999999" footer="0.49212598499999999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30"/>
  <sheetViews>
    <sheetView showGridLines="0" topLeftCell="B1" zoomScale="85" zoomScaleNormal="85" workbookViewId="0">
      <selection activeCell="B9" sqref="B9"/>
    </sheetView>
  </sheetViews>
  <sheetFormatPr defaultRowHeight="14.25" x14ac:dyDescent="0.25"/>
  <cols>
    <col min="1" max="1" width="9.140625" style="1" hidden="1" customWidth="1"/>
    <col min="2" max="2" width="11.5703125" style="205" customWidth="1"/>
    <col min="3" max="3" width="22" style="69" hidden="1" customWidth="1"/>
    <col min="4" max="4" width="60.28515625" style="1" bestFit="1" customWidth="1"/>
    <col min="5" max="5" width="18.7109375" style="72" hidden="1" customWidth="1"/>
    <col min="6" max="6" width="16.28515625" style="73" customWidth="1"/>
    <col min="7" max="7" width="16.5703125" style="213" hidden="1" customWidth="1"/>
    <col min="8" max="8" width="23.42578125" style="104" hidden="1" customWidth="1"/>
    <col min="9" max="9" width="34" style="1" customWidth="1"/>
    <col min="10" max="14" width="15.7109375" style="1" customWidth="1"/>
    <col min="15" max="16384" width="9.140625" style="1"/>
  </cols>
  <sheetData>
    <row r="1" spans="1:14" ht="18" x14ac:dyDescent="0.25">
      <c r="B1" s="198" t="s">
        <v>0</v>
      </c>
      <c r="C1" s="3"/>
      <c r="D1" s="4"/>
      <c r="E1" s="5"/>
      <c r="F1" s="6"/>
      <c r="G1" s="175"/>
      <c r="H1" s="8"/>
      <c r="J1" s="284" t="s">
        <v>43</v>
      </c>
      <c r="K1" s="284"/>
      <c r="L1" s="284"/>
      <c r="M1" s="284"/>
      <c r="N1" s="284"/>
    </row>
    <row r="2" spans="1:14" x14ac:dyDescent="0.25">
      <c r="B2" s="199" t="s">
        <v>1</v>
      </c>
      <c r="C2" s="9" t="s">
        <v>2</v>
      </c>
      <c r="D2" s="10" t="s">
        <v>3</v>
      </c>
      <c r="E2" s="11" t="s">
        <v>4</v>
      </c>
      <c r="F2" s="12" t="s">
        <v>5</v>
      </c>
      <c r="G2" s="175" t="s">
        <v>6</v>
      </c>
      <c r="H2" s="13" t="s">
        <v>7</v>
      </c>
      <c r="I2" s="11" t="s">
        <v>42</v>
      </c>
      <c r="J2" s="11" t="s">
        <v>50</v>
      </c>
      <c r="K2" s="11" t="s">
        <v>53</v>
      </c>
      <c r="L2" s="11" t="s">
        <v>51</v>
      </c>
      <c r="M2" s="11" t="s">
        <v>52</v>
      </c>
      <c r="N2" s="11" t="s">
        <v>54</v>
      </c>
    </row>
    <row r="3" spans="1:14" s="14" customFormat="1" x14ac:dyDescent="0.25">
      <c r="B3" s="261">
        <v>4943</v>
      </c>
      <c r="C3" s="15" t="s">
        <v>181</v>
      </c>
      <c r="D3" s="16" t="s">
        <v>790</v>
      </c>
      <c r="E3" s="17">
        <v>42615</v>
      </c>
      <c r="F3" s="18">
        <v>34000</v>
      </c>
      <c r="G3" s="175">
        <f>180.63+150.15</f>
        <v>330.78</v>
      </c>
      <c r="H3" s="19">
        <f t="shared" ref="H3:H33" si="0">F3-G3</f>
        <v>33669.22</v>
      </c>
      <c r="I3" s="137" t="s">
        <v>938</v>
      </c>
      <c r="J3" s="145"/>
      <c r="K3" s="145"/>
      <c r="L3" s="145"/>
      <c r="M3" s="145"/>
      <c r="N3" s="145">
        <v>400</v>
      </c>
    </row>
    <row r="4" spans="1:14" s="14" customFormat="1" x14ac:dyDescent="0.25">
      <c r="A4" s="20"/>
      <c r="B4" s="260">
        <v>4945</v>
      </c>
      <c r="C4" s="141" t="s">
        <v>181</v>
      </c>
      <c r="D4" s="141" t="s">
        <v>792</v>
      </c>
      <c r="E4" s="23">
        <v>42618</v>
      </c>
      <c r="F4" s="24">
        <v>19500</v>
      </c>
      <c r="G4" s="259">
        <v>119.15</v>
      </c>
      <c r="H4" s="19">
        <f t="shared" si="0"/>
        <v>19380.849999999999</v>
      </c>
      <c r="I4" s="137" t="s">
        <v>939</v>
      </c>
      <c r="J4" s="145"/>
      <c r="K4" s="145"/>
      <c r="L4" s="145"/>
      <c r="M4" s="145"/>
      <c r="N4" s="145">
        <v>450</v>
      </c>
    </row>
    <row r="5" spans="1:14" s="14" customFormat="1" x14ac:dyDescent="0.25">
      <c r="A5" s="20"/>
      <c r="B5" s="261">
        <v>1489</v>
      </c>
      <c r="C5" s="15" t="s">
        <v>181</v>
      </c>
      <c r="D5" s="16" t="s">
        <v>665</v>
      </c>
      <c r="E5" s="17">
        <v>42619</v>
      </c>
      <c r="F5" s="18">
        <v>21000</v>
      </c>
      <c r="G5" s="175"/>
      <c r="H5" s="19">
        <f t="shared" si="0"/>
        <v>21000</v>
      </c>
      <c r="I5" s="137" t="s">
        <v>923</v>
      </c>
      <c r="J5" s="145"/>
      <c r="K5" s="145"/>
      <c r="L5" s="145"/>
      <c r="M5" s="145"/>
      <c r="N5" s="145"/>
    </row>
    <row r="6" spans="1:14" s="14" customFormat="1" x14ac:dyDescent="0.25">
      <c r="A6" s="20"/>
      <c r="B6" s="221">
        <v>4947</v>
      </c>
      <c r="C6" s="21" t="s">
        <v>181</v>
      </c>
      <c r="D6" s="20" t="s">
        <v>665</v>
      </c>
      <c r="E6" s="28">
        <v>42619</v>
      </c>
      <c r="F6" s="6">
        <v>31000</v>
      </c>
      <c r="G6" s="175"/>
      <c r="H6" s="19">
        <f t="shared" si="0"/>
        <v>31000</v>
      </c>
      <c r="I6" s="137" t="s">
        <v>620</v>
      </c>
      <c r="J6" s="145"/>
      <c r="K6" s="145"/>
      <c r="L6" s="145"/>
      <c r="M6" s="145"/>
      <c r="N6" s="145"/>
    </row>
    <row r="7" spans="1:14" x14ac:dyDescent="0.25">
      <c r="A7" s="20"/>
      <c r="B7" s="260">
        <v>4951</v>
      </c>
      <c r="C7" s="141" t="s">
        <v>181</v>
      </c>
      <c r="D7" s="141" t="s">
        <v>794</v>
      </c>
      <c r="E7" s="23">
        <v>42619</v>
      </c>
      <c r="F7" s="26">
        <v>20990</v>
      </c>
      <c r="G7" s="175"/>
      <c r="H7" s="19">
        <f t="shared" si="0"/>
        <v>20990</v>
      </c>
      <c r="I7" s="137" t="s">
        <v>922</v>
      </c>
      <c r="J7" s="145"/>
      <c r="K7" s="145"/>
      <c r="L7" s="145"/>
      <c r="M7" s="145"/>
      <c r="N7" s="145">
        <v>650</v>
      </c>
    </row>
    <row r="8" spans="1:14" x14ac:dyDescent="0.25">
      <c r="A8" s="20"/>
      <c r="B8" s="260">
        <v>4952</v>
      </c>
      <c r="C8" s="141" t="s">
        <v>181</v>
      </c>
      <c r="D8" s="141" t="s">
        <v>795</v>
      </c>
      <c r="E8" s="23">
        <v>42619</v>
      </c>
      <c r="F8" s="26">
        <v>19990</v>
      </c>
      <c r="G8" s="175">
        <v>125.27</v>
      </c>
      <c r="H8" s="19">
        <f t="shared" si="0"/>
        <v>19864.73</v>
      </c>
      <c r="I8" s="137" t="s">
        <v>942</v>
      </c>
      <c r="J8" s="145"/>
      <c r="K8" s="145"/>
      <c r="L8" s="145"/>
      <c r="M8" s="145"/>
      <c r="N8" s="145"/>
    </row>
    <row r="9" spans="1:14" x14ac:dyDescent="0.25">
      <c r="A9" s="20"/>
      <c r="B9" s="260">
        <v>4953</v>
      </c>
      <c r="C9" s="141" t="s">
        <v>181</v>
      </c>
      <c r="D9" s="141" t="s">
        <v>658</v>
      </c>
      <c r="E9" s="23">
        <v>42621</v>
      </c>
      <c r="F9" s="26">
        <v>30000</v>
      </c>
      <c r="G9" s="7">
        <v>185.6</v>
      </c>
      <c r="H9" s="19">
        <f t="shared" si="0"/>
        <v>29814.400000000001</v>
      </c>
      <c r="I9" s="137" t="s">
        <v>940</v>
      </c>
      <c r="J9" s="145"/>
      <c r="K9" s="145"/>
      <c r="L9" s="145"/>
      <c r="M9" s="145"/>
      <c r="N9" s="145"/>
    </row>
    <row r="10" spans="1:14" x14ac:dyDescent="0.25">
      <c r="A10" s="20"/>
      <c r="B10" s="260">
        <v>4956</v>
      </c>
      <c r="C10" s="141" t="s">
        <v>796</v>
      </c>
      <c r="D10" s="141" t="s">
        <v>797</v>
      </c>
      <c r="E10" s="23">
        <v>42622</v>
      </c>
      <c r="F10" s="257">
        <v>34402.42</v>
      </c>
      <c r="G10" s="175">
        <v>3112.98</v>
      </c>
      <c r="H10" s="19">
        <f t="shared" si="0"/>
        <v>31289.439999999999</v>
      </c>
      <c r="I10" s="137"/>
      <c r="J10" s="145"/>
      <c r="K10" s="145"/>
      <c r="L10" s="145"/>
      <c r="M10" s="145"/>
      <c r="N10" s="145"/>
    </row>
    <row r="11" spans="1:14" x14ac:dyDescent="0.25">
      <c r="A11" s="20"/>
      <c r="B11" s="260">
        <v>4957</v>
      </c>
      <c r="C11" s="141" t="s">
        <v>181</v>
      </c>
      <c r="D11" s="141" t="s">
        <v>798</v>
      </c>
      <c r="E11" s="23">
        <v>42622</v>
      </c>
      <c r="F11" s="257">
        <v>17500</v>
      </c>
      <c r="G11" s="175">
        <v>128.85</v>
      </c>
      <c r="H11" s="19">
        <f t="shared" si="0"/>
        <v>17371.150000000001</v>
      </c>
      <c r="I11" s="137"/>
      <c r="J11" s="145"/>
      <c r="K11" s="145"/>
      <c r="L11" s="145"/>
      <c r="M11" s="145"/>
      <c r="N11" s="145"/>
    </row>
    <row r="12" spans="1:14" x14ac:dyDescent="0.25">
      <c r="A12" s="20"/>
      <c r="B12" s="262">
        <v>4958</v>
      </c>
      <c r="C12" s="29" t="s">
        <v>181</v>
      </c>
      <c r="D12" s="30" t="s">
        <v>798</v>
      </c>
      <c r="E12" s="31">
        <v>42622</v>
      </c>
      <c r="F12" s="258">
        <v>17500</v>
      </c>
      <c r="G12" s="175">
        <v>128.85</v>
      </c>
      <c r="H12" s="19">
        <f t="shared" si="0"/>
        <v>17371.150000000001</v>
      </c>
      <c r="I12" s="139"/>
      <c r="J12" s="145"/>
      <c r="K12" s="145"/>
      <c r="L12" s="145"/>
      <c r="M12" s="145"/>
      <c r="N12" s="145"/>
    </row>
    <row r="13" spans="1:14" x14ac:dyDescent="0.25">
      <c r="A13" s="20"/>
      <c r="B13" s="238">
        <v>4971</v>
      </c>
      <c r="C13" s="238" t="s">
        <v>181</v>
      </c>
      <c r="D13" s="239" t="s">
        <v>801</v>
      </c>
      <c r="E13" s="235">
        <v>42626</v>
      </c>
      <c r="F13" s="236">
        <f>18900+8900</f>
        <v>27800</v>
      </c>
      <c r="G13" s="265"/>
      <c r="H13" s="19">
        <f t="shared" si="0"/>
        <v>27800</v>
      </c>
      <c r="I13" s="139" t="s">
        <v>526</v>
      </c>
      <c r="J13" s="145"/>
      <c r="K13" s="145"/>
      <c r="L13" s="145"/>
      <c r="M13" s="145"/>
      <c r="N13" s="145"/>
    </row>
    <row r="14" spans="1:14" x14ac:dyDescent="0.25">
      <c r="A14" s="20"/>
      <c r="B14" s="262">
        <v>4976</v>
      </c>
      <c r="C14" s="29" t="s">
        <v>181</v>
      </c>
      <c r="D14" s="30" t="s">
        <v>658</v>
      </c>
      <c r="E14" s="28">
        <v>42628</v>
      </c>
      <c r="F14" s="6">
        <v>8900</v>
      </c>
      <c r="G14" s="175"/>
      <c r="H14" s="19">
        <f t="shared" si="0"/>
        <v>8900</v>
      </c>
      <c r="I14" s="139" t="s">
        <v>941</v>
      </c>
      <c r="J14" s="145"/>
      <c r="K14" s="145"/>
      <c r="L14" s="145"/>
      <c r="M14" s="145"/>
      <c r="N14" s="145"/>
    </row>
    <row r="15" spans="1:14" x14ac:dyDescent="0.25">
      <c r="A15" s="20"/>
      <c r="B15" s="238">
        <v>4983</v>
      </c>
      <c r="C15" s="238" t="s">
        <v>181</v>
      </c>
      <c r="D15" s="239" t="s">
        <v>804</v>
      </c>
      <c r="E15" s="235">
        <v>42629</v>
      </c>
      <c r="F15" s="236">
        <v>27900</v>
      </c>
      <c r="G15" s="265"/>
      <c r="H15" s="19">
        <f t="shared" si="0"/>
        <v>27900</v>
      </c>
      <c r="I15" s="139" t="s">
        <v>936</v>
      </c>
      <c r="J15" s="145"/>
      <c r="K15" s="145"/>
      <c r="L15" s="145"/>
      <c r="M15" s="145"/>
      <c r="N15" s="145"/>
    </row>
    <row r="16" spans="1:14" x14ac:dyDescent="0.25">
      <c r="B16" s="221">
        <v>1507</v>
      </c>
      <c r="C16" s="21" t="s">
        <v>181</v>
      </c>
      <c r="D16" s="20" t="s">
        <v>829</v>
      </c>
      <c r="E16" s="28">
        <v>42632</v>
      </c>
      <c r="F16" s="6">
        <v>8000</v>
      </c>
      <c r="G16" s="175"/>
      <c r="H16" s="19">
        <f t="shared" si="0"/>
        <v>8000</v>
      </c>
      <c r="I16" s="140"/>
      <c r="J16" s="145"/>
      <c r="K16" s="145"/>
      <c r="L16" s="145"/>
      <c r="M16" s="145"/>
      <c r="N16" s="145"/>
    </row>
    <row r="17" spans="2:14" x14ac:dyDescent="0.25">
      <c r="B17" s="221">
        <v>1513</v>
      </c>
      <c r="C17" s="21" t="s">
        <v>181</v>
      </c>
      <c r="D17" s="20" t="s">
        <v>665</v>
      </c>
      <c r="E17" s="28">
        <v>42635</v>
      </c>
      <c r="F17" s="6">
        <v>21000</v>
      </c>
      <c r="G17" s="175"/>
      <c r="H17" s="19">
        <f t="shared" si="0"/>
        <v>21000</v>
      </c>
      <c r="I17" s="140" t="s">
        <v>923</v>
      </c>
      <c r="J17" s="145"/>
      <c r="K17" s="145"/>
      <c r="L17" s="145"/>
      <c r="M17" s="145"/>
      <c r="N17" s="145"/>
    </row>
    <row r="18" spans="2:14" x14ac:dyDescent="0.25">
      <c r="B18" s="221">
        <v>4990</v>
      </c>
      <c r="C18" s="21" t="s">
        <v>181</v>
      </c>
      <c r="D18" s="20" t="s">
        <v>418</v>
      </c>
      <c r="E18" s="28">
        <v>42635</v>
      </c>
      <c r="F18" s="6">
        <v>18900</v>
      </c>
      <c r="G18" s="175">
        <v>500</v>
      </c>
      <c r="H18" s="19">
        <f t="shared" si="0"/>
        <v>18400</v>
      </c>
      <c r="I18" s="140" t="s">
        <v>917</v>
      </c>
      <c r="J18" s="145"/>
      <c r="K18" s="145"/>
      <c r="L18" s="146"/>
      <c r="M18" s="145"/>
      <c r="N18" s="145"/>
    </row>
    <row r="19" spans="2:14" x14ac:dyDescent="0.25">
      <c r="B19" s="262">
        <v>4991</v>
      </c>
      <c r="C19" s="29" t="s">
        <v>181</v>
      </c>
      <c r="D19" s="30" t="s">
        <v>665</v>
      </c>
      <c r="E19" s="31">
        <v>42635</v>
      </c>
      <c r="F19" s="6">
        <v>31000</v>
      </c>
      <c r="G19" s="175"/>
      <c r="H19" s="19">
        <f t="shared" si="0"/>
        <v>31000</v>
      </c>
      <c r="I19" s="140" t="s">
        <v>620</v>
      </c>
      <c r="J19" s="145"/>
      <c r="K19" s="145"/>
      <c r="L19" s="145"/>
      <c r="M19" s="145"/>
      <c r="N19" s="145"/>
    </row>
    <row r="20" spans="2:14" x14ac:dyDescent="0.25">
      <c r="B20" s="221">
        <v>4992</v>
      </c>
      <c r="C20" s="21" t="s">
        <v>181</v>
      </c>
      <c r="D20" s="20" t="s">
        <v>665</v>
      </c>
      <c r="E20" s="28">
        <v>42635</v>
      </c>
      <c r="F20" s="6">
        <v>17100</v>
      </c>
      <c r="G20" s="175"/>
      <c r="H20" s="19">
        <f t="shared" si="0"/>
        <v>17100</v>
      </c>
      <c r="I20" s="140" t="s">
        <v>925</v>
      </c>
      <c r="J20" s="145"/>
      <c r="K20" s="145"/>
      <c r="L20" s="145"/>
      <c r="M20" s="145"/>
      <c r="N20" s="145"/>
    </row>
    <row r="21" spans="2:14" x14ac:dyDescent="0.25">
      <c r="B21" s="221">
        <v>4998</v>
      </c>
      <c r="C21" s="21" t="s">
        <v>181</v>
      </c>
      <c r="D21" s="20" t="s">
        <v>841</v>
      </c>
      <c r="E21" s="28">
        <v>42636</v>
      </c>
      <c r="F21" s="6">
        <v>30900</v>
      </c>
      <c r="G21" s="175">
        <v>50</v>
      </c>
      <c r="H21" s="19">
        <f t="shared" si="0"/>
        <v>30850</v>
      </c>
      <c r="I21" s="140"/>
      <c r="J21" s="145"/>
      <c r="K21" s="145"/>
      <c r="L21" s="145"/>
      <c r="M21" s="145"/>
      <c r="N21" s="145"/>
    </row>
    <row r="22" spans="2:14" x14ac:dyDescent="0.25">
      <c r="B22" s="221">
        <v>5008</v>
      </c>
      <c r="C22" s="21" t="s">
        <v>181</v>
      </c>
      <c r="D22" s="20" t="s">
        <v>845</v>
      </c>
      <c r="E22" s="28">
        <v>42643</v>
      </c>
      <c r="F22" s="6">
        <v>27800</v>
      </c>
      <c r="G22" s="175"/>
      <c r="H22" s="19">
        <f t="shared" si="0"/>
        <v>27800</v>
      </c>
      <c r="I22" s="140" t="s">
        <v>928</v>
      </c>
      <c r="J22" s="145"/>
      <c r="K22" s="145"/>
      <c r="L22" s="145"/>
      <c r="M22" s="145"/>
      <c r="N22" s="145"/>
    </row>
    <row r="23" spans="2:14" x14ac:dyDescent="0.25">
      <c r="B23" s="221">
        <v>5015</v>
      </c>
      <c r="C23" s="21" t="s">
        <v>181</v>
      </c>
      <c r="D23" s="20" t="s">
        <v>850</v>
      </c>
      <c r="E23" s="28">
        <v>42643</v>
      </c>
      <c r="F23" s="6">
        <v>18900</v>
      </c>
      <c r="G23" s="175"/>
      <c r="H23" s="19">
        <f t="shared" si="0"/>
        <v>18900</v>
      </c>
      <c r="I23" s="140"/>
      <c r="J23" s="145"/>
      <c r="K23" s="145"/>
      <c r="L23" s="145"/>
      <c r="M23" s="145"/>
      <c r="N23" s="145"/>
    </row>
    <row r="24" spans="2:14" x14ac:dyDescent="0.25">
      <c r="B24" s="221">
        <v>5017</v>
      </c>
      <c r="C24" s="21" t="s">
        <v>181</v>
      </c>
      <c r="D24" s="20" t="s">
        <v>847</v>
      </c>
      <c r="E24" s="28">
        <v>42643</v>
      </c>
      <c r="F24" s="6">
        <v>25600</v>
      </c>
      <c r="G24" s="175"/>
      <c r="H24" s="19">
        <f t="shared" si="0"/>
        <v>25600</v>
      </c>
      <c r="I24" s="140" t="s">
        <v>918</v>
      </c>
      <c r="J24" s="145"/>
      <c r="K24" s="145"/>
      <c r="L24" s="145"/>
      <c r="M24" s="145"/>
      <c r="N24" s="145"/>
    </row>
    <row r="25" spans="2:14" x14ac:dyDescent="0.25">
      <c r="B25" s="221">
        <v>5018</v>
      </c>
      <c r="C25" s="21" t="s">
        <v>181</v>
      </c>
      <c r="D25" s="20" t="s">
        <v>296</v>
      </c>
      <c r="E25" s="28">
        <v>42643</v>
      </c>
      <c r="F25" s="6">
        <v>20990</v>
      </c>
      <c r="G25" s="175">
        <v>130</v>
      </c>
      <c r="H25" s="19">
        <f t="shared" si="0"/>
        <v>20860</v>
      </c>
      <c r="I25" s="140"/>
      <c r="J25" s="145"/>
      <c r="K25" s="145"/>
      <c r="L25" s="145"/>
      <c r="M25" s="145"/>
      <c r="N25" s="145"/>
    </row>
    <row r="26" spans="2:14" x14ac:dyDescent="0.25">
      <c r="B26" s="221">
        <v>5020</v>
      </c>
      <c r="C26" s="21" t="s">
        <v>181</v>
      </c>
      <c r="D26" s="20" t="s">
        <v>296</v>
      </c>
      <c r="E26" s="28">
        <v>42643</v>
      </c>
      <c r="F26" s="6">
        <v>7900</v>
      </c>
      <c r="G26" s="175">
        <v>100</v>
      </c>
      <c r="H26" s="19">
        <f t="shared" si="0"/>
        <v>7800</v>
      </c>
      <c r="I26" s="140"/>
      <c r="J26" s="145"/>
      <c r="K26" s="145"/>
      <c r="L26" s="145"/>
      <c r="M26" s="145"/>
      <c r="N26" s="145"/>
    </row>
    <row r="27" spans="2:14" x14ac:dyDescent="0.25">
      <c r="B27" s="185"/>
      <c r="C27" s="21"/>
      <c r="D27" s="20"/>
      <c r="E27" s="28"/>
      <c r="F27" s="6"/>
      <c r="G27" s="175"/>
      <c r="H27" s="19">
        <f t="shared" si="0"/>
        <v>0</v>
      </c>
      <c r="I27" s="140"/>
      <c r="J27" s="145"/>
      <c r="K27" s="145"/>
      <c r="L27" s="145"/>
      <c r="M27" s="145"/>
      <c r="N27" s="145"/>
    </row>
    <row r="28" spans="2:14" x14ac:dyDescent="0.25">
      <c r="B28" s="185"/>
      <c r="C28" s="21"/>
      <c r="D28" s="20"/>
      <c r="E28" s="28"/>
      <c r="F28" s="6"/>
      <c r="G28" s="175"/>
      <c r="H28" s="19">
        <f t="shared" si="0"/>
        <v>0</v>
      </c>
      <c r="I28" s="137"/>
      <c r="J28" s="145"/>
      <c r="K28" s="145"/>
      <c r="L28" s="145"/>
      <c r="M28" s="145"/>
      <c r="N28" s="145"/>
    </row>
    <row r="29" spans="2:14" x14ac:dyDescent="0.25">
      <c r="B29" s="185"/>
      <c r="C29" s="21"/>
      <c r="D29" s="20"/>
      <c r="E29" s="28"/>
      <c r="F29" s="6"/>
      <c r="G29" s="175"/>
      <c r="H29" s="19">
        <f t="shared" si="0"/>
        <v>0</v>
      </c>
      <c r="I29" s="140"/>
      <c r="J29" s="145"/>
      <c r="K29" s="145"/>
      <c r="L29" s="145"/>
      <c r="M29" s="145"/>
      <c r="N29" s="145"/>
    </row>
    <row r="30" spans="2:14" x14ac:dyDescent="0.25">
      <c r="B30" s="185"/>
      <c r="C30" s="21"/>
      <c r="D30" s="20"/>
      <c r="E30" s="28"/>
      <c r="F30" s="6"/>
      <c r="G30" s="175"/>
      <c r="H30" s="19">
        <f t="shared" si="0"/>
        <v>0</v>
      </c>
      <c r="I30" s="140"/>
      <c r="J30" s="145"/>
      <c r="K30" s="145"/>
      <c r="L30" s="145"/>
      <c r="M30" s="145"/>
      <c r="N30" s="145"/>
    </row>
    <row r="31" spans="2:14" x14ac:dyDescent="0.25">
      <c r="B31" s="185"/>
      <c r="C31" s="21"/>
      <c r="D31" s="20"/>
      <c r="E31" s="28"/>
      <c r="F31" s="6"/>
      <c r="G31" s="175"/>
      <c r="H31" s="19">
        <f t="shared" si="0"/>
        <v>0</v>
      </c>
      <c r="I31" s="140"/>
      <c r="J31" s="145"/>
      <c r="K31" s="145"/>
      <c r="L31" s="145"/>
      <c r="M31" s="145"/>
      <c r="N31" s="145"/>
    </row>
    <row r="32" spans="2:14" x14ac:dyDescent="0.25">
      <c r="B32" s="185"/>
      <c r="C32" s="21"/>
      <c r="D32" s="20"/>
      <c r="E32" s="28"/>
      <c r="F32" s="6"/>
      <c r="G32" s="175"/>
      <c r="H32" s="19">
        <f t="shared" si="0"/>
        <v>0</v>
      </c>
      <c r="I32" s="140"/>
      <c r="J32" s="145"/>
      <c r="K32" s="145"/>
      <c r="L32" s="145"/>
      <c r="M32" s="145"/>
      <c r="N32" s="145"/>
    </row>
    <row r="33" spans="2:14" ht="15" thickBot="1" x14ac:dyDescent="0.3">
      <c r="B33" s="185"/>
      <c r="C33" s="21"/>
      <c r="D33" s="20"/>
      <c r="E33" s="28"/>
      <c r="F33" s="6"/>
      <c r="G33" s="175"/>
      <c r="H33" s="19">
        <f t="shared" si="0"/>
        <v>0</v>
      </c>
      <c r="I33" s="66"/>
      <c r="J33" s="133"/>
      <c r="K33" s="134"/>
      <c r="L33" s="134"/>
      <c r="M33" s="134"/>
      <c r="N33" s="134"/>
    </row>
    <row r="34" spans="2:14" ht="15" thickBot="1" x14ac:dyDescent="0.3">
      <c r="B34" s="200"/>
      <c r="C34" s="32"/>
      <c r="D34" s="33"/>
      <c r="E34" s="34"/>
      <c r="F34" s="35">
        <f>SUM(F3:F33)</f>
        <v>538572.41999999993</v>
      </c>
      <c r="G34" s="215">
        <f>SUM(G3:G33)</f>
        <v>4911.4799999999996</v>
      </c>
      <c r="H34" s="37">
        <f>SUM(H3:H33)</f>
        <v>533660.93999999994</v>
      </c>
      <c r="I34" s="66"/>
      <c r="J34" s="131">
        <f>SUM(J3:J33)</f>
        <v>0</v>
      </c>
      <c r="K34" s="131">
        <f>SUM(K3:K33)</f>
        <v>0</v>
      </c>
      <c r="L34" s="131">
        <f>SUM(L3:L33)</f>
        <v>0</v>
      </c>
      <c r="M34" s="131">
        <f>SUM(M3:M33)</f>
        <v>0</v>
      </c>
      <c r="N34" s="131">
        <f>SUM(N3:N33)</f>
        <v>1500</v>
      </c>
    </row>
    <row r="35" spans="2:14" x14ac:dyDescent="0.25">
      <c r="B35" s="201"/>
      <c r="C35" s="3"/>
      <c r="D35" s="4"/>
      <c r="E35" s="38" t="s">
        <v>8</v>
      </c>
      <c r="F35" s="39">
        <f>TOTAL!K8</f>
        <v>565000</v>
      </c>
      <c r="G35" s="209" t="s">
        <v>9</v>
      </c>
      <c r="H35" s="41">
        <f>H34/F35%</f>
        <v>94.453263716814149</v>
      </c>
      <c r="I35" s="58" t="s">
        <v>10</v>
      </c>
    </row>
    <row r="36" spans="2:14" ht="15" thickBot="1" x14ac:dyDescent="0.3">
      <c r="B36" s="202"/>
      <c r="C36" s="43"/>
      <c r="D36" s="44"/>
      <c r="E36" s="45"/>
      <c r="F36" s="46"/>
      <c r="G36" s="210"/>
      <c r="H36" s="48"/>
      <c r="I36" s="14"/>
    </row>
    <row r="37" spans="2:14" ht="18.75" thickTop="1" x14ac:dyDescent="0.25">
      <c r="B37" s="198" t="s">
        <v>11</v>
      </c>
      <c r="C37" s="49"/>
      <c r="D37" s="4"/>
      <c r="E37" s="5"/>
      <c r="F37" s="6"/>
      <c r="G37" s="175"/>
      <c r="H37" s="50"/>
      <c r="I37" s="256"/>
      <c r="J37" s="255"/>
    </row>
    <row r="38" spans="2:14" x14ac:dyDescent="0.25">
      <c r="B38" s="199" t="s">
        <v>1</v>
      </c>
      <c r="C38" s="9" t="s">
        <v>2</v>
      </c>
      <c r="D38" s="10" t="s">
        <v>3</v>
      </c>
      <c r="E38" s="11" t="s">
        <v>4</v>
      </c>
      <c r="F38" s="12" t="s">
        <v>5</v>
      </c>
      <c r="G38" s="175" t="s">
        <v>12</v>
      </c>
      <c r="H38" s="13" t="s">
        <v>7</v>
      </c>
      <c r="I38" s="14"/>
    </row>
    <row r="39" spans="2:14" s="14" customFormat="1" x14ac:dyDescent="0.25">
      <c r="B39" s="182"/>
      <c r="C39" s="29"/>
      <c r="D39" s="30"/>
      <c r="E39" s="31"/>
      <c r="F39" s="6"/>
      <c r="G39" s="175"/>
      <c r="H39" s="19">
        <f t="shared" ref="H39:H46" si="1">F39-G39</f>
        <v>0</v>
      </c>
    </row>
    <row r="40" spans="2:14" s="14" customFormat="1" x14ac:dyDescent="0.25">
      <c r="B40" s="182"/>
      <c r="C40" s="29"/>
      <c r="D40" s="30"/>
      <c r="E40" s="31"/>
      <c r="F40" s="6"/>
      <c r="G40" s="175"/>
      <c r="H40" s="19">
        <f t="shared" si="1"/>
        <v>0</v>
      </c>
    </row>
    <row r="41" spans="2:14" s="14" customFormat="1" x14ac:dyDescent="0.25">
      <c r="B41" s="182"/>
      <c r="C41" s="29"/>
      <c r="D41" s="30"/>
      <c r="E41" s="31"/>
      <c r="F41" s="6"/>
      <c r="G41" s="175"/>
      <c r="H41" s="19">
        <f t="shared" si="1"/>
        <v>0</v>
      </c>
    </row>
    <row r="42" spans="2:14" s="14" customFormat="1" x14ac:dyDescent="0.25">
      <c r="B42" s="182"/>
      <c r="C42" s="29"/>
      <c r="D42" s="30"/>
      <c r="E42" s="31"/>
      <c r="F42" s="6"/>
      <c r="G42" s="175"/>
      <c r="H42" s="19">
        <f t="shared" si="1"/>
        <v>0</v>
      </c>
      <c r="I42" s="1"/>
    </row>
    <row r="43" spans="2:14" s="14" customFormat="1" x14ac:dyDescent="0.25">
      <c r="B43" s="182"/>
      <c r="C43" s="29"/>
      <c r="D43" s="30"/>
      <c r="E43" s="31"/>
      <c r="F43" s="6"/>
      <c r="G43" s="175"/>
      <c r="H43" s="19">
        <f t="shared" si="1"/>
        <v>0</v>
      </c>
      <c r="I43" s="1"/>
    </row>
    <row r="44" spans="2:14" s="14" customFormat="1" x14ac:dyDescent="0.25">
      <c r="B44" s="182"/>
      <c r="C44" s="29"/>
      <c r="D44" s="30"/>
      <c r="E44" s="31"/>
      <c r="F44" s="6"/>
      <c r="G44" s="175"/>
      <c r="H44" s="19">
        <f t="shared" si="1"/>
        <v>0</v>
      </c>
      <c r="I44" s="1"/>
    </row>
    <row r="45" spans="2:14" x14ac:dyDescent="0.25">
      <c r="B45" s="182"/>
      <c r="C45" s="29"/>
      <c r="D45" s="30"/>
      <c r="E45" s="31"/>
      <c r="F45" s="6"/>
      <c r="G45" s="175"/>
      <c r="H45" s="19">
        <f t="shared" si="1"/>
        <v>0</v>
      </c>
      <c r="I45" s="255">
        <f>F35-F34</f>
        <v>26427.580000000075</v>
      </c>
    </row>
    <row r="46" spans="2:14" ht="15" thickBot="1" x14ac:dyDescent="0.3">
      <c r="B46" s="182"/>
      <c r="C46" s="29"/>
      <c r="D46" s="30"/>
      <c r="E46" s="31"/>
      <c r="F46" s="6"/>
      <c r="G46" s="175"/>
      <c r="H46" s="19">
        <f t="shared" si="1"/>
        <v>0</v>
      </c>
    </row>
    <row r="47" spans="2:14" ht="15" thickBot="1" x14ac:dyDescent="0.3">
      <c r="B47" s="182"/>
      <c r="C47" s="29"/>
      <c r="D47" s="30"/>
      <c r="E47" s="31"/>
      <c r="F47" s="35"/>
      <c r="G47" s="215"/>
      <c r="H47" s="37">
        <f>SUM(H39:H46)</f>
        <v>0</v>
      </c>
    </row>
    <row r="48" spans="2:14" x14ac:dyDescent="0.25">
      <c r="B48" s="182"/>
      <c r="C48" s="29"/>
      <c r="D48" s="30"/>
      <c r="E48" s="31"/>
      <c r="F48" s="51"/>
      <c r="G48" s="175"/>
      <c r="H48" s="53"/>
    </row>
    <row r="49" spans="2:10" ht="15" thickBot="1" x14ac:dyDescent="0.3">
      <c r="B49" s="202"/>
      <c r="C49" s="43"/>
      <c r="D49" s="44"/>
      <c r="E49" s="45"/>
      <c r="F49" s="46"/>
      <c r="G49" s="210"/>
      <c r="H49" s="48"/>
      <c r="I49" s="14"/>
    </row>
    <row r="50" spans="2:10" ht="18.75" thickTop="1" x14ac:dyDescent="0.25">
      <c r="B50" s="198" t="s">
        <v>13</v>
      </c>
      <c r="C50" s="49"/>
      <c r="D50" s="4"/>
      <c r="E50" s="5"/>
      <c r="F50" s="6"/>
      <c r="G50" s="175"/>
      <c r="H50" s="50"/>
      <c r="I50" s="14"/>
    </row>
    <row r="51" spans="2:10" x14ac:dyDescent="0.25">
      <c r="B51" s="199" t="s">
        <v>1</v>
      </c>
      <c r="C51" s="9" t="s">
        <v>2</v>
      </c>
      <c r="D51" s="10" t="s">
        <v>3</v>
      </c>
      <c r="E51" s="11" t="s">
        <v>4</v>
      </c>
      <c r="F51" s="12" t="s">
        <v>5</v>
      </c>
      <c r="G51" s="175" t="s">
        <v>12</v>
      </c>
      <c r="H51" s="13" t="s">
        <v>7</v>
      </c>
      <c r="I51" s="14"/>
    </row>
    <row r="52" spans="2:10" s="14" customFormat="1" x14ac:dyDescent="0.25">
      <c r="B52" s="261">
        <v>4984</v>
      </c>
      <c r="C52" s="15" t="s">
        <v>102</v>
      </c>
      <c r="D52" s="16" t="s">
        <v>810</v>
      </c>
      <c r="E52" s="17">
        <v>42629</v>
      </c>
      <c r="F52" s="6">
        <v>1290</v>
      </c>
      <c r="G52" s="175"/>
      <c r="H52" s="19">
        <f t="shared" ref="H52:H63" si="2">F52-G52</f>
        <v>1290</v>
      </c>
    </row>
    <row r="53" spans="2:10" s="14" customFormat="1" x14ac:dyDescent="0.25">
      <c r="B53" s="262">
        <v>5015</v>
      </c>
      <c r="C53" s="29" t="s">
        <v>102</v>
      </c>
      <c r="D53" s="30" t="s">
        <v>850</v>
      </c>
      <c r="E53" s="31">
        <v>42643</v>
      </c>
      <c r="F53" s="6">
        <v>1295</v>
      </c>
      <c r="G53" s="175"/>
      <c r="H53" s="19">
        <f t="shared" si="2"/>
        <v>1295</v>
      </c>
    </row>
    <row r="54" spans="2:10" s="14" customFormat="1" x14ac:dyDescent="0.25">
      <c r="B54" s="194"/>
      <c r="C54" s="141"/>
      <c r="D54" s="141"/>
      <c r="E54" s="23"/>
      <c r="F54" s="6"/>
      <c r="G54" s="175"/>
      <c r="H54" s="19">
        <f t="shared" si="2"/>
        <v>0</v>
      </c>
    </row>
    <row r="55" spans="2:10" s="14" customFormat="1" x14ac:dyDescent="0.25">
      <c r="B55" s="194"/>
      <c r="C55" s="141"/>
      <c r="D55" s="141"/>
      <c r="E55" s="23"/>
      <c r="F55" s="6"/>
      <c r="G55" s="175"/>
      <c r="H55" s="19">
        <f t="shared" si="2"/>
        <v>0</v>
      </c>
      <c r="I55" s="1"/>
    </row>
    <row r="56" spans="2:10" s="14" customFormat="1" x14ac:dyDescent="0.25">
      <c r="B56" s="182"/>
      <c r="C56" s="29"/>
      <c r="D56" s="30"/>
      <c r="E56" s="28"/>
      <c r="F56" s="6"/>
      <c r="G56" s="175"/>
      <c r="H56" s="19">
        <f t="shared" si="2"/>
        <v>0</v>
      </c>
      <c r="I56" s="1"/>
    </row>
    <row r="57" spans="2:10" s="14" customFormat="1" x14ac:dyDescent="0.25">
      <c r="B57" s="182"/>
      <c r="C57" s="29"/>
      <c r="D57" s="30"/>
      <c r="E57" s="31"/>
      <c r="F57" s="6"/>
      <c r="G57" s="175"/>
      <c r="H57" s="19">
        <f t="shared" si="2"/>
        <v>0</v>
      </c>
      <c r="I57" s="1"/>
    </row>
    <row r="58" spans="2:10" x14ac:dyDescent="0.25">
      <c r="B58" s="182"/>
      <c r="C58" s="29"/>
      <c r="D58" s="30"/>
      <c r="E58" s="31"/>
      <c r="F58" s="6"/>
      <c r="G58" s="175"/>
      <c r="H58" s="19">
        <f t="shared" si="2"/>
        <v>0</v>
      </c>
    </row>
    <row r="59" spans="2:10" x14ac:dyDescent="0.25">
      <c r="B59" s="182"/>
      <c r="C59" s="29"/>
      <c r="D59" s="30"/>
      <c r="E59" s="31"/>
      <c r="F59" s="6"/>
      <c r="G59" s="175"/>
      <c r="H59" s="19">
        <f t="shared" si="2"/>
        <v>0</v>
      </c>
    </row>
    <row r="60" spans="2:10" x14ac:dyDescent="0.25">
      <c r="B60" s="182"/>
      <c r="C60" s="29"/>
      <c r="D60" s="30"/>
      <c r="E60" s="31"/>
      <c r="F60" s="6"/>
      <c r="G60" s="175"/>
      <c r="H60" s="19">
        <f t="shared" si="2"/>
        <v>0</v>
      </c>
    </row>
    <row r="61" spans="2:10" x14ac:dyDescent="0.25">
      <c r="B61" s="182"/>
      <c r="C61" s="29"/>
      <c r="D61" s="30"/>
      <c r="E61" s="31"/>
      <c r="F61" s="6"/>
      <c r="G61" s="175"/>
      <c r="H61" s="19">
        <f t="shared" si="2"/>
        <v>0</v>
      </c>
      <c r="J61" s="54"/>
    </row>
    <row r="62" spans="2:10" x14ac:dyDescent="0.25">
      <c r="B62" s="182"/>
      <c r="C62" s="29"/>
      <c r="D62" s="30"/>
      <c r="E62" s="31"/>
      <c r="F62" s="6"/>
      <c r="G62" s="175"/>
      <c r="H62" s="19">
        <f t="shared" si="2"/>
        <v>0</v>
      </c>
      <c r="I62" s="58"/>
    </row>
    <row r="63" spans="2:10" ht="15" thickBot="1" x14ac:dyDescent="0.3">
      <c r="B63" s="182"/>
      <c r="C63" s="29"/>
      <c r="D63" s="30"/>
      <c r="E63" s="31"/>
      <c r="F63" s="6"/>
      <c r="G63" s="175"/>
      <c r="H63" s="19">
        <f t="shared" si="2"/>
        <v>0</v>
      </c>
    </row>
    <row r="64" spans="2:10" ht="15" thickBot="1" x14ac:dyDescent="0.3">
      <c r="B64" s="203"/>
      <c r="C64" s="55"/>
      <c r="D64" s="56"/>
      <c r="E64" s="57"/>
      <c r="F64" s="35">
        <f>SUM(F52:F63)</f>
        <v>2585</v>
      </c>
      <c r="G64" s="215">
        <f>SUM(G52:G63)</f>
        <v>0</v>
      </c>
      <c r="H64" s="37">
        <f>SUM(H52:H63)</f>
        <v>2585</v>
      </c>
    </row>
    <row r="65" spans="2:14" x14ac:dyDescent="0.25">
      <c r="B65" s="203"/>
      <c r="C65" s="55"/>
      <c r="D65" s="56"/>
      <c r="E65" s="38"/>
      <c r="F65" s="39"/>
      <c r="G65" s="209"/>
      <c r="H65" s="41"/>
    </row>
    <row r="66" spans="2:14" ht="15" thickBot="1" x14ac:dyDescent="0.3">
      <c r="B66" s="202"/>
      <c r="C66" s="43"/>
      <c r="D66" s="44"/>
      <c r="E66" s="59"/>
      <c r="F66" s="46"/>
      <c r="G66" s="210"/>
      <c r="H66" s="48"/>
      <c r="I66" s="14"/>
    </row>
    <row r="67" spans="2:14" ht="18.75" thickTop="1" x14ac:dyDescent="0.25">
      <c r="B67" s="198" t="s">
        <v>14</v>
      </c>
      <c r="C67" s="49"/>
      <c r="D67" s="4"/>
      <c r="E67" s="5"/>
      <c r="F67" s="6"/>
      <c r="G67" s="175"/>
      <c r="H67" s="50"/>
      <c r="I67" s="14"/>
    </row>
    <row r="68" spans="2:14" x14ac:dyDescent="0.25">
      <c r="B68" s="199" t="s">
        <v>1</v>
      </c>
      <c r="C68" s="9" t="s">
        <v>2</v>
      </c>
      <c r="D68" s="10" t="s">
        <v>3</v>
      </c>
      <c r="E68" s="11" t="s">
        <v>4</v>
      </c>
      <c r="F68" s="12" t="s">
        <v>5</v>
      </c>
      <c r="G68" s="175" t="s">
        <v>12</v>
      </c>
      <c r="H68" s="13" t="s">
        <v>7</v>
      </c>
      <c r="I68" s="14"/>
    </row>
    <row r="69" spans="2:14" s="14" customFormat="1" x14ac:dyDescent="0.25">
      <c r="B69" s="221">
        <v>4955</v>
      </c>
      <c r="C69" s="21" t="s">
        <v>102</v>
      </c>
      <c r="D69" s="20" t="s">
        <v>214</v>
      </c>
      <c r="E69" s="28">
        <v>42622</v>
      </c>
      <c r="F69" s="6">
        <v>10802.22</v>
      </c>
      <c r="G69" s="175"/>
      <c r="H69" s="19">
        <f t="shared" ref="H69:H88" si="3">F69-G69</f>
        <v>10802.22</v>
      </c>
      <c r="J69" s="1"/>
      <c r="K69" s="1"/>
      <c r="L69" s="1"/>
      <c r="M69" s="1"/>
      <c r="N69" s="1"/>
    </row>
    <row r="70" spans="2:14" s="14" customFormat="1" x14ac:dyDescent="0.25">
      <c r="B70" s="262">
        <v>1491</v>
      </c>
      <c r="C70" s="29" t="s">
        <v>102</v>
      </c>
      <c r="D70" s="30" t="s">
        <v>139</v>
      </c>
      <c r="E70" s="31">
        <v>42625</v>
      </c>
      <c r="F70" s="6">
        <v>312.85000000000002</v>
      </c>
      <c r="G70" s="175"/>
      <c r="H70" s="19">
        <f t="shared" si="3"/>
        <v>312.85000000000002</v>
      </c>
      <c r="J70" s="1"/>
      <c r="K70" s="1"/>
      <c r="L70" s="1"/>
      <c r="M70" s="1"/>
      <c r="N70" s="1"/>
    </row>
    <row r="71" spans="2:14" s="14" customFormat="1" x14ac:dyDescent="0.25">
      <c r="B71" s="260">
        <v>1496</v>
      </c>
      <c r="C71" s="141" t="s">
        <v>102</v>
      </c>
      <c r="D71" s="141" t="s">
        <v>805</v>
      </c>
      <c r="E71" s="23">
        <v>42629</v>
      </c>
      <c r="F71" s="26">
        <v>127.95</v>
      </c>
      <c r="G71" s="184"/>
      <c r="H71" s="19">
        <f t="shared" si="3"/>
        <v>127.95</v>
      </c>
    </row>
    <row r="72" spans="2:14" s="14" customFormat="1" x14ac:dyDescent="0.25">
      <c r="B72" s="260">
        <v>1497</v>
      </c>
      <c r="C72" s="141" t="s">
        <v>102</v>
      </c>
      <c r="D72" s="141" t="s">
        <v>805</v>
      </c>
      <c r="E72" s="23">
        <v>42629</v>
      </c>
      <c r="F72" s="26">
        <v>663.08</v>
      </c>
      <c r="G72" s="175"/>
      <c r="H72" s="19">
        <f t="shared" si="3"/>
        <v>663.08</v>
      </c>
    </row>
    <row r="73" spans="2:14" s="14" customFormat="1" x14ac:dyDescent="0.25">
      <c r="B73" s="260">
        <v>1498</v>
      </c>
      <c r="C73" s="141" t="s">
        <v>102</v>
      </c>
      <c r="D73" s="141" t="s">
        <v>805</v>
      </c>
      <c r="E73" s="23">
        <v>42629</v>
      </c>
      <c r="F73" s="26">
        <v>51.18</v>
      </c>
      <c r="G73" s="175"/>
      <c r="H73" s="19">
        <f t="shared" si="3"/>
        <v>51.18</v>
      </c>
    </row>
    <row r="74" spans="2:14" s="14" customFormat="1" x14ac:dyDescent="0.25">
      <c r="B74" s="260">
        <v>1499</v>
      </c>
      <c r="C74" s="141" t="s">
        <v>102</v>
      </c>
      <c r="D74" s="16" t="s">
        <v>805</v>
      </c>
      <c r="E74" s="17">
        <v>42629</v>
      </c>
      <c r="F74" s="18">
        <v>204.9</v>
      </c>
      <c r="G74" s="175"/>
      <c r="H74" s="19">
        <f t="shared" si="3"/>
        <v>204.9</v>
      </c>
    </row>
    <row r="75" spans="2:14" s="14" customFormat="1" x14ac:dyDescent="0.25">
      <c r="B75" s="261">
        <v>1500</v>
      </c>
      <c r="C75" s="15" t="s">
        <v>102</v>
      </c>
      <c r="D75" s="16" t="s">
        <v>806</v>
      </c>
      <c r="E75" s="17">
        <v>42629</v>
      </c>
      <c r="F75" s="6">
        <v>1806.17</v>
      </c>
      <c r="G75" s="175"/>
      <c r="H75" s="19">
        <f t="shared" si="3"/>
        <v>1806.17</v>
      </c>
    </row>
    <row r="76" spans="2:14" s="14" customFormat="1" x14ac:dyDescent="0.25">
      <c r="B76" s="261">
        <v>1501</v>
      </c>
      <c r="C76" s="15" t="s">
        <v>102</v>
      </c>
      <c r="D76" s="16" t="s">
        <v>806</v>
      </c>
      <c r="E76" s="17">
        <v>42629</v>
      </c>
      <c r="F76" s="18">
        <v>22.01</v>
      </c>
      <c r="G76" s="175"/>
      <c r="H76" s="19">
        <f t="shared" si="3"/>
        <v>22.01</v>
      </c>
    </row>
    <row r="77" spans="2:14" s="14" customFormat="1" x14ac:dyDescent="0.25">
      <c r="B77" s="261">
        <v>1502</v>
      </c>
      <c r="C77" s="15" t="s">
        <v>102</v>
      </c>
      <c r="D77" s="16" t="s">
        <v>806</v>
      </c>
      <c r="E77" s="17">
        <v>42629</v>
      </c>
      <c r="F77" s="18">
        <v>845.06</v>
      </c>
      <c r="G77" s="175"/>
      <c r="H77" s="19">
        <f t="shared" si="3"/>
        <v>845.06</v>
      </c>
    </row>
    <row r="78" spans="2:14" s="14" customFormat="1" x14ac:dyDescent="0.25">
      <c r="B78" s="261">
        <v>1503</v>
      </c>
      <c r="C78" s="15" t="s">
        <v>102</v>
      </c>
      <c r="D78" s="16" t="s">
        <v>807</v>
      </c>
      <c r="E78" s="17">
        <v>42629</v>
      </c>
      <c r="F78" s="18">
        <v>854.1</v>
      </c>
      <c r="G78" s="175"/>
      <c r="H78" s="19">
        <f t="shared" si="3"/>
        <v>854.1</v>
      </c>
      <c r="I78" s="1"/>
    </row>
    <row r="79" spans="2:14" s="14" customFormat="1" x14ac:dyDescent="0.25">
      <c r="B79" s="261">
        <v>4981</v>
      </c>
      <c r="C79" s="15" t="s">
        <v>102</v>
      </c>
      <c r="D79" s="15" t="s">
        <v>141</v>
      </c>
      <c r="E79" s="17">
        <v>42629</v>
      </c>
      <c r="F79" s="18">
        <v>2591.12</v>
      </c>
      <c r="G79" s="175"/>
      <c r="H79" s="19">
        <f t="shared" si="3"/>
        <v>2591.12</v>
      </c>
      <c r="I79" s="1"/>
    </row>
    <row r="80" spans="2:14" s="14" customFormat="1" x14ac:dyDescent="0.25">
      <c r="B80" s="261">
        <v>1518</v>
      </c>
      <c r="C80" s="15" t="s">
        <v>102</v>
      </c>
      <c r="D80" s="16" t="s">
        <v>852</v>
      </c>
      <c r="E80" s="17">
        <v>42640</v>
      </c>
      <c r="F80" s="18">
        <v>342.88</v>
      </c>
      <c r="G80" s="175"/>
      <c r="H80" s="19">
        <f t="shared" si="3"/>
        <v>342.88</v>
      </c>
      <c r="I80" s="1"/>
    </row>
    <row r="81" spans="2:14" x14ac:dyDescent="0.25">
      <c r="B81" s="221">
        <v>1519</v>
      </c>
      <c r="C81" s="21" t="s">
        <v>102</v>
      </c>
      <c r="D81" s="21" t="s">
        <v>852</v>
      </c>
      <c r="E81" s="28">
        <v>42641</v>
      </c>
      <c r="F81" s="6">
        <v>196.42</v>
      </c>
      <c r="G81" s="175"/>
      <c r="H81" s="19">
        <f t="shared" si="3"/>
        <v>196.42</v>
      </c>
      <c r="J81" s="14"/>
      <c r="K81" s="14"/>
      <c r="L81" s="14"/>
      <c r="M81" s="14"/>
      <c r="N81" s="14"/>
    </row>
    <row r="82" spans="2:14" x14ac:dyDescent="0.25">
      <c r="B82" s="185"/>
      <c r="C82" s="21"/>
      <c r="D82" s="21"/>
      <c r="E82" s="28"/>
      <c r="F82" s="6"/>
      <c r="G82" s="175"/>
      <c r="H82" s="19">
        <f t="shared" si="3"/>
        <v>0</v>
      </c>
      <c r="J82" s="14"/>
      <c r="K82" s="14"/>
      <c r="L82" s="14"/>
      <c r="M82" s="14"/>
      <c r="N82" s="14"/>
    </row>
    <row r="83" spans="2:14" x14ac:dyDescent="0.25">
      <c r="B83" s="185"/>
      <c r="C83" s="21"/>
      <c r="D83" s="21"/>
      <c r="E83" s="28"/>
      <c r="F83" s="6"/>
      <c r="G83" s="175"/>
      <c r="H83" s="19">
        <f t="shared" si="3"/>
        <v>0</v>
      </c>
    </row>
    <row r="84" spans="2:14" x14ac:dyDescent="0.25">
      <c r="B84" s="185"/>
      <c r="C84" s="21"/>
      <c r="D84" s="21"/>
      <c r="E84" s="28"/>
      <c r="F84" s="6"/>
      <c r="G84" s="175"/>
      <c r="H84" s="19">
        <f t="shared" si="3"/>
        <v>0</v>
      </c>
    </row>
    <row r="85" spans="2:14" x14ac:dyDescent="0.25">
      <c r="B85" s="185"/>
      <c r="C85" s="21"/>
      <c r="D85" s="21"/>
      <c r="E85" s="28"/>
      <c r="F85" s="6"/>
      <c r="G85" s="175"/>
      <c r="H85" s="19">
        <f t="shared" si="3"/>
        <v>0</v>
      </c>
    </row>
    <row r="86" spans="2:14" x14ac:dyDescent="0.25">
      <c r="B86" s="185"/>
      <c r="C86" s="21"/>
      <c r="D86" s="21"/>
      <c r="E86" s="28"/>
      <c r="F86" s="6"/>
      <c r="G86" s="175"/>
      <c r="H86" s="19">
        <f t="shared" si="3"/>
        <v>0</v>
      </c>
    </row>
    <row r="87" spans="2:14" x14ac:dyDescent="0.25">
      <c r="B87" s="185"/>
      <c r="C87" s="21"/>
      <c r="D87" s="21"/>
      <c r="E87" s="28"/>
      <c r="F87" s="6"/>
      <c r="G87" s="175"/>
      <c r="H87" s="19">
        <f t="shared" si="3"/>
        <v>0</v>
      </c>
      <c r="I87" s="58"/>
    </row>
    <row r="88" spans="2:14" ht="15" thickBot="1" x14ac:dyDescent="0.3">
      <c r="B88" s="185"/>
      <c r="C88" s="21"/>
      <c r="D88" s="21"/>
      <c r="E88" s="28"/>
      <c r="F88" s="6"/>
      <c r="G88" s="175"/>
      <c r="H88" s="19">
        <f t="shared" si="3"/>
        <v>0</v>
      </c>
    </row>
    <row r="89" spans="2:14" ht="15" thickBot="1" x14ac:dyDescent="0.3">
      <c r="B89" s="201"/>
      <c r="C89" s="3"/>
      <c r="D89" s="4"/>
      <c r="E89" s="61"/>
      <c r="F89" s="62">
        <f>SUM(F69:F88)</f>
        <v>18819.939999999999</v>
      </c>
      <c r="G89" s="215">
        <f>SUM(G69:G88)</f>
        <v>0</v>
      </c>
      <c r="H89" s="63">
        <f>SUM(H69:H88)</f>
        <v>18819.939999999999</v>
      </c>
    </row>
    <row r="90" spans="2:14" x14ac:dyDescent="0.25">
      <c r="B90" s="204"/>
      <c r="C90" s="3"/>
      <c r="D90" s="65"/>
      <c r="E90" s="38" t="s">
        <v>8</v>
      </c>
      <c r="F90" s="39">
        <f>TOTAL!K9</f>
        <v>0</v>
      </c>
      <c r="G90" s="209" t="s">
        <v>9</v>
      </c>
      <c r="H90" s="41" t="e">
        <f>H89/F90%</f>
        <v>#DIV/0!</v>
      </c>
      <c r="I90" s="58" t="s">
        <v>10</v>
      </c>
    </row>
    <row r="91" spans="2:14" ht="15" thickBot="1" x14ac:dyDescent="0.3">
      <c r="B91" s="202"/>
      <c r="C91" s="43"/>
      <c r="D91" s="44"/>
      <c r="E91" s="59"/>
      <c r="F91" s="46"/>
      <c r="G91" s="210"/>
      <c r="H91" s="48"/>
      <c r="I91" s="14"/>
      <c r="J91" s="54"/>
    </row>
    <row r="92" spans="2:14" ht="18.75" thickTop="1" x14ac:dyDescent="0.25">
      <c r="B92" s="198" t="s">
        <v>15</v>
      </c>
      <c r="C92" s="49"/>
      <c r="D92" s="4"/>
      <c r="E92" s="5"/>
      <c r="F92" s="6"/>
      <c r="G92" s="175"/>
      <c r="H92" s="50"/>
      <c r="I92" s="14"/>
    </row>
    <row r="93" spans="2:14" x14ac:dyDescent="0.25">
      <c r="B93" s="199" t="s">
        <v>1</v>
      </c>
      <c r="C93" s="9" t="s">
        <v>2</v>
      </c>
      <c r="D93" s="10" t="s">
        <v>3</v>
      </c>
      <c r="E93" s="11" t="s">
        <v>4</v>
      </c>
      <c r="F93" s="12" t="s">
        <v>5</v>
      </c>
      <c r="G93" s="175" t="s">
        <v>12</v>
      </c>
      <c r="H93" s="13" t="s">
        <v>7</v>
      </c>
      <c r="I93" s="14"/>
    </row>
    <row r="94" spans="2:14" s="14" customFormat="1" x14ac:dyDescent="0.25">
      <c r="B94" s="221">
        <v>5001</v>
      </c>
      <c r="C94" s="21" t="s">
        <v>102</v>
      </c>
      <c r="D94" s="21" t="s">
        <v>833</v>
      </c>
      <c r="E94" s="28">
        <v>42639</v>
      </c>
      <c r="F94" s="6">
        <v>5839.55</v>
      </c>
      <c r="G94" s="175">
        <v>54</v>
      </c>
      <c r="H94" s="19">
        <f t="shared" ref="H94:H121" si="4">F94-G94</f>
        <v>5785.55</v>
      </c>
      <c r="J94" s="1"/>
      <c r="K94" s="1"/>
      <c r="L94" s="1"/>
      <c r="M94" s="1"/>
      <c r="N94" s="1"/>
    </row>
    <row r="95" spans="2:14" s="14" customFormat="1" x14ac:dyDescent="0.25">
      <c r="B95" s="261">
        <v>4940</v>
      </c>
      <c r="C95" s="15" t="s">
        <v>102</v>
      </c>
      <c r="D95" s="16" t="s">
        <v>762</v>
      </c>
      <c r="E95" s="17">
        <v>42614</v>
      </c>
      <c r="F95" s="18">
        <v>796</v>
      </c>
      <c r="G95" s="175"/>
      <c r="H95" s="19">
        <f t="shared" si="4"/>
        <v>796</v>
      </c>
      <c r="J95" s="1"/>
      <c r="K95" s="1"/>
      <c r="L95" s="1"/>
      <c r="M95" s="1"/>
      <c r="N95" s="1"/>
    </row>
    <row r="96" spans="2:14" s="14" customFormat="1" x14ac:dyDescent="0.25">
      <c r="B96" s="221">
        <v>4941</v>
      </c>
      <c r="C96" s="21" t="s">
        <v>102</v>
      </c>
      <c r="D96" s="20" t="s">
        <v>789</v>
      </c>
      <c r="E96" s="28">
        <v>42615</v>
      </c>
      <c r="F96" s="6">
        <v>843.54</v>
      </c>
      <c r="G96" s="175">
        <v>44</v>
      </c>
      <c r="H96" s="19">
        <f t="shared" si="4"/>
        <v>799.54</v>
      </c>
    </row>
    <row r="97" spans="2:14" s="14" customFormat="1" x14ac:dyDescent="0.25">
      <c r="B97" s="260">
        <v>1488</v>
      </c>
      <c r="C97" s="141" t="s">
        <v>102</v>
      </c>
      <c r="D97" s="16" t="s">
        <v>788</v>
      </c>
      <c r="E97" s="17">
        <v>42618</v>
      </c>
      <c r="F97" s="18">
        <v>2584.8000000000002</v>
      </c>
      <c r="G97" s="175">
        <v>54.6</v>
      </c>
      <c r="H97" s="19">
        <f t="shared" si="4"/>
        <v>2530.2000000000003</v>
      </c>
    </row>
    <row r="98" spans="2:14" s="14" customFormat="1" x14ac:dyDescent="0.25">
      <c r="B98" s="262">
        <v>4944</v>
      </c>
      <c r="C98" s="29" t="s">
        <v>102</v>
      </c>
      <c r="D98" s="30" t="s">
        <v>791</v>
      </c>
      <c r="E98" s="31">
        <v>42618</v>
      </c>
      <c r="F98" s="6">
        <v>505.26</v>
      </c>
      <c r="G98" s="175">
        <v>32</v>
      </c>
      <c r="H98" s="19">
        <f t="shared" si="4"/>
        <v>473.26</v>
      </c>
    </row>
    <row r="99" spans="2:14" s="14" customFormat="1" x14ac:dyDescent="0.25">
      <c r="B99" s="261">
        <v>4949</v>
      </c>
      <c r="C99" s="15" t="s">
        <v>102</v>
      </c>
      <c r="D99" s="15" t="s">
        <v>793</v>
      </c>
      <c r="E99" s="17">
        <v>42619</v>
      </c>
      <c r="F99" s="18">
        <v>322.7</v>
      </c>
      <c r="G99" s="184">
        <v>62.9</v>
      </c>
      <c r="H99" s="19">
        <f t="shared" si="4"/>
        <v>259.8</v>
      </c>
    </row>
    <row r="100" spans="2:14" s="14" customFormat="1" x14ac:dyDescent="0.25">
      <c r="B100" s="262">
        <v>4960</v>
      </c>
      <c r="C100" s="29" t="s">
        <v>102</v>
      </c>
      <c r="D100" s="30" t="s">
        <v>800</v>
      </c>
      <c r="E100" s="28">
        <v>42625</v>
      </c>
      <c r="F100" s="6">
        <v>872.43</v>
      </c>
      <c r="G100" s="175">
        <v>72.900000000000006</v>
      </c>
      <c r="H100" s="19">
        <f t="shared" si="4"/>
        <v>799.53</v>
      </c>
    </row>
    <row r="101" spans="2:14" s="14" customFormat="1" x14ac:dyDescent="0.25">
      <c r="B101" s="260">
        <v>4961</v>
      </c>
      <c r="C101" s="141" t="s">
        <v>102</v>
      </c>
      <c r="D101" s="141" t="s">
        <v>391</v>
      </c>
      <c r="E101" s="23">
        <v>42625</v>
      </c>
      <c r="F101" s="26">
        <v>3850</v>
      </c>
      <c r="G101" s="175"/>
      <c r="H101" s="19">
        <f t="shared" si="4"/>
        <v>3850</v>
      </c>
    </row>
    <row r="102" spans="2:14" s="14" customFormat="1" x14ac:dyDescent="0.25">
      <c r="B102" s="261">
        <v>4970</v>
      </c>
      <c r="C102" s="15" t="s">
        <v>102</v>
      </c>
      <c r="D102" s="16" t="s">
        <v>170</v>
      </c>
      <c r="E102" s="17">
        <v>42626</v>
      </c>
      <c r="F102" s="18">
        <v>4519.42</v>
      </c>
      <c r="G102" s="175"/>
      <c r="H102" s="19">
        <f t="shared" si="4"/>
        <v>4519.42</v>
      </c>
    </row>
    <row r="103" spans="2:14" s="14" customFormat="1" x14ac:dyDescent="0.25">
      <c r="B103" s="261">
        <v>4972</v>
      </c>
      <c r="C103" s="15" t="s">
        <v>102</v>
      </c>
      <c r="D103" s="16" t="s">
        <v>802</v>
      </c>
      <c r="E103" s="17">
        <v>42627</v>
      </c>
      <c r="F103" s="18">
        <v>399.77</v>
      </c>
      <c r="G103" s="175"/>
      <c r="H103" s="19">
        <f t="shared" si="4"/>
        <v>399.77</v>
      </c>
      <c r="I103" s="1"/>
    </row>
    <row r="104" spans="2:14" s="14" customFormat="1" x14ac:dyDescent="0.25">
      <c r="B104" s="221">
        <v>4974</v>
      </c>
      <c r="C104" s="21" t="s">
        <v>102</v>
      </c>
      <c r="D104" s="20" t="s">
        <v>803</v>
      </c>
      <c r="E104" s="28">
        <v>42627</v>
      </c>
      <c r="F104" s="26">
        <v>690</v>
      </c>
      <c r="G104" s="175"/>
      <c r="H104" s="19">
        <f t="shared" si="4"/>
        <v>690</v>
      </c>
      <c r="I104" s="1"/>
    </row>
    <row r="105" spans="2:14" s="14" customFormat="1" x14ac:dyDescent="0.25">
      <c r="B105" s="260">
        <v>4975</v>
      </c>
      <c r="C105" s="141" t="s">
        <v>102</v>
      </c>
      <c r="D105" s="16" t="s">
        <v>114</v>
      </c>
      <c r="E105" s="17">
        <v>42628</v>
      </c>
      <c r="F105" s="18">
        <v>2030.59</v>
      </c>
      <c r="G105" s="175">
        <v>177.7</v>
      </c>
      <c r="H105" s="19">
        <f t="shared" si="4"/>
        <v>1852.8899999999999</v>
      </c>
      <c r="I105" s="1"/>
    </row>
    <row r="106" spans="2:14" s="14" customFormat="1" x14ac:dyDescent="0.25">
      <c r="B106" s="261">
        <v>1505</v>
      </c>
      <c r="C106" s="15" t="s">
        <v>102</v>
      </c>
      <c r="D106" s="16" t="s">
        <v>809</v>
      </c>
      <c r="E106" s="17">
        <v>42629</v>
      </c>
      <c r="F106" s="18">
        <v>4163</v>
      </c>
      <c r="G106" s="175">
        <v>59</v>
      </c>
      <c r="H106" s="19">
        <f t="shared" si="4"/>
        <v>4104</v>
      </c>
      <c r="I106" s="1"/>
    </row>
    <row r="107" spans="2:14" s="14" customFormat="1" x14ac:dyDescent="0.25">
      <c r="B107" s="261">
        <v>4986</v>
      </c>
      <c r="C107" s="15" t="s">
        <v>102</v>
      </c>
      <c r="D107" s="16" t="s">
        <v>855</v>
      </c>
      <c r="E107" s="17">
        <v>42632</v>
      </c>
      <c r="F107" s="18">
        <v>439.77</v>
      </c>
      <c r="G107" s="175">
        <v>40</v>
      </c>
      <c r="H107" s="19">
        <f t="shared" si="4"/>
        <v>399.77</v>
      </c>
      <c r="I107" s="1"/>
    </row>
    <row r="108" spans="2:14" s="14" customFormat="1" x14ac:dyDescent="0.25">
      <c r="B108" s="221">
        <v>1508</v>
      </c>
      <c r="C108" s="21" t="s">
        <v>102</v>
      </c>
      <c r="D108" s="21" t="s">
        <v>804</v>
      </c>
      <c r="E108" s="28">
        <v>42634</v>
      </c>
      <c r="F108" s="6">
        <v>2278</v>
      </c>
      <c r="G108" s="175"/>
      <c r="H108" s="19">
        <f t="shared" si="4"/>
        <v>2278</v>
      </c>
      <c r="I108" s="1"/>
    </row>
    <row r="109" spans="2:14" s="14" customFormat="1" x14ac:dyDescent="0.25">
      <c r="B109" s="195" t="s">
        <v>83</v>
      </c>
      <c r="C109" s="15" t="s">
        <v>102</v>
      </c>
      <c r="D109" s="16" t="s">
        <v>823</v>
      </c>
      <c r="E109" s="17">
        <v>42634</v>
      </c>
      <c r="F109" s="18">
        <v>73.540000000000006</v>
      </c>
      <c r="G109" s="175">
        <v>24</v>
      </c>
      <c r="H109" s="19">
        <f t="shared" si="4"/>
        <v>49.540000000000006</v>
      </c>
      <c r="I109" s="1"/>
    </row>
    <row r="110" spans="2:14" s="14" customFormat="1" x14ac:dyDescent="0.25">
      <c r="B110" s="261">
        <v>1512</v>
      </c>
      <c r="C110" s="15" t="s">
        <v>102</v>
      </c>
      <c r="D110" s="16" t="s">
        <v>830</v>
      </c>
      <c r="E110" s="17">
        <v>42635</v>
      </c>
      <c r="F110" s="18">
        <v>895.9</v>
      </c>
      <c r="G110" s="175"/>
      <c r="H110" s="19">
        <f t="shared" si="4"/>
        <v>895.9</v>
      </c>
      <c r="I110" s="1"/>
    </row>
    <row r="111" spans="2:14" x14ac:dyDescent="0.25">
      <c r="B111" s="221">
        <v>1516</v>
      </c>
      <c r="C111" s="21" t="s">
        <v>102</v>
      </c>
      <c r="D111" s="21" t="s">
        <v>507</v>
      </c>
      <c r="E111" s="28">
        <v>42636</v>
      </c>
      <c r="F111" s="6">
        <v>633.6</v>
      </c>
      <c r="G111" s="175"/>
      <c r="H111" s="19">
        <f t="shared" si="4"/>
        <v>633.6</v>
      </c>
      <c r="J111" s="14"/>
      <c r="K111" s="14"/>
      <c r="L111" s="14"/>
      <c r="M111" s="14"/>
      <c r="N111" s="14"/>
    </row>
    <row r="112" spans="2:14" x14ac:dyDescent="0.25">
      <c r="B112" s="261">
        <v>4995</v>
      </c>
      <c r="C112" s="15" t="s">
        <v>102</v>
      </c>
      <c r="D112" s="16" t="s">
        <v>828</v>
      </c>
      <c r="E112" s="17">
        <v>42636</v>
      </c>
      <c r="F112" s="18">
        <v>444.57</v>
      </c>
      <c r="G112" s="175">
        <v>44.8</v>
      </c>
      <c r="H112" s="19">
        <f t="shared" si="4"/>
        <v>399.77</v>
      </c>
      <c r="J112" s="14"/>
      <c r="K112" s="14"/>
      <c r="L112" s="14"/>
      <c r="M112" s="14"/>
      <c r="N112" s="14"/>
    </row>
    <row r="113" spans="2:14" x14ac:dyDescent="0.25">
      <c r="B113" s="261">
        <v>4997</v>
      </c>
      <c r="C113" s="15" t="s">
        <v>102</v>
      </c>
      <c r="D113" s="16" t="s">
        <v>827</v>
      </c>
      <c r="E113" s="17">
        <v>42636</v>
      </c>
      <c r="F113" s="18">
        <v>823.53</v>
      </c>
      <c r="G113" s="175">
        <v>24</v>
      </c>
      <c r="H113" s="19">
        <f t="shared" si="4"/>
        <v>799.53</v>
      </c>
      <c r="I113" s="255"/>
      <c r="J113" s="14"/>
      <c r="K113" s="14"/>
      <c r="L113" s="14"/>
      <c r="M113" s="14"/>
      <c r="N113" s="14"/>
    </row>
    <row r="114" spans="2:14" x14ac:dyDescent="0.25">
      <c r="B114" s="221">
        <v>5000</v>
      </c>
      <c r="C114" s="21" t="s">
        <v>102</v>
      </c>
      <c r="D114" s="21" t="s">
        <v>842</v>
      </c>
      <c r="E114" s="28">
        <v>42639</v>
      </c>
      <c r="F114" s="6">
        <v>1708.98</v>
      </c>
      <c r="G114" s="175">
        <v>59.9</v>
      </c>
      <c r="H114" s="19"/>
      <c r="J114" s="14"/>
      <c r="K114" s="14"/>
      <c r="L114" s="14"/>
      <c r="M114" s="14"/>
      <c r="N114" s="14"/>
    </row>
    <row r="115" spans="2:14" x14ac:dyDescent="0.25">
      <c r="B115" s="221">
        <v>5003</v>
      </c>
      <c r="C115" s="21" t="s">
        <v>102</v>
      </c>
      <c r="D115" s="21" t="s">
        <v>843</v>
      </c>
      <c r="E115" s="28">
        <v>42641</v>
      </c>
      <c r="F115" s="6">
        <v>459.67</v>
      </c>
      <c r="G115" s="175">
        <v>59.9</v>
      </c>
      <c r="H115" s="19"/>
      <c r="J115" s="14"/>
      <c r="K115" s="14"/>
      <c r="L115" s="14"/>
      <c r="M115" s="14"/>
      <c r="N115" s="14"/>
    </row>
    <row r="116" spans="2:14" x14ac:dyDescent="0.25">
      <c r="B116" s="221">
        <v>5007</v>
      </c>
      <c r="C116" s="21" t="s">
        <v>102</v>
      </c>
      <c r="D116" s="21" t="s">
        <v>844</v>
      </c>
      <c r="E116" s="28">
        <v>42642</v>
      </c>
      <c r="F116" s="6">
        <v>1225.71</v>
      </c>
      <c r="G116" s="175">
        <v>26.4</v>
      </c>
      <c r="H116" s="19"/>
      <c r="J116" s="14"/>
      <c r="K116" s="14"/>
      <c r="L116" s="14"/>
      <c r="M116" s="14"/>
      <c r="N116" s="14"/>
    </row>
    <row r="117" spans="2:14" x14ac:dyDescent="0.25">
      <c r="B117" s="221">
        <v>1520</v>
      </c>
      <c r="C117" s="21" t="s">
        <v>102</v>
      </c>
      <c r="D117" s="21" t="s">
        <v>853</v>
      </c>
      <c r="E117" s="28">
        <v>42643</v>
      </c>
      <c r="F117" s="6">
        <v>400</v>
      </c>
      <c r="G117" s="175"/>
      <c r="H117" s="19"/>
      <c r="J117" s="14"/>
      <c r="K117" s="14"/>
      <c r="L117" s="14"/>
      <c r="M117" s="14"/>
      <c r="N117" s="14"/>
    </row>
    <row r="118" spans="2:14" x14ac:dyDescent="0.25">
      <c r="B118" s="221">
        <v>5011</v>
      </c>
      <c r="C118" s="21" t="s">
        <v>102</v>
      </c>
      <c r="D118" s="21" t="s">
        <v>848</v>
      </c>
      <c r="E118" s="28">
        <v>42643</v>
      </c>
      <c r="F118" s="6">
        <v>1850</v>
      </c>
      <c r="G118" s="175"/>
      <c r="H118" s="19"/>
      <c r="J118" s="14"/>
      <c r="K118" s="14"/>
      <c r="L118" s="14"/>
      <c r="M118" s="14"/>
      <c r="N118" s="14"/>
    </row>
    <row r="119" spans="2:14" x14ac:dyDescent="0.25">
      <c r="B119" s="221">
        <v>5014</v>
      </c>
      <c r="C119" s="21" t="s">
        <v>102</v>
      </c>
      <c r="D119" s="21" t="s">
        <v>849</v>
      </c>
      <c r="E119" s="28">
        <v>42643</v>
      </c>
      <c r="F119" s="6">
        <v>760</v>
      </c>
      <c r="G119" s="175">
        <v>11.3</v>
      </c>
      <c r="H119" s="19"/>
      <c r="J119" s="14"/>
      <c r="K119" s="14"/>
      <c r="L119" s="14"/>
      <c r="M119" s="14"/>
      <c r="N119" s="14"/>
    </row>
    <row r="120" spans="2:14" ht="11.25" customHeight="1" x14ac:dyDescent="0.25">
      <c r="B120" s="185"/>
      <c r="C120" s="21"/>
      <c r="D120" s="20"/>
      <c r="E120" s="28"/>
      <c r="F120" s="6"/>
      <c r="G120" s="175"/>
      <c r="H120" s="19">
        <f t="shared" si="4"/>
        <v>0</v>
      </c>
      <c r="I120" s="58"/>
    </row>
    <row r="121" spans="2:14" ht="15" thickBot="1" x14ac:dyDescent="0.3">
      <c r="B121" s="185"/>
      <c r="C121" s="21"/>
      <c r="D121" s="20"/>
      <c r="E121" s="28"/>
      <c r="F121" s="6"/>
      <c r="G121" s="175"/>
      <c r="H121" s="19">
        <f t="shared" si="4"/>
        <v>0</v>
      </c>
    </row>
    <row r="122" spans="2:14" ht="15" thickBot="1" x14ac:dyDescent="0.3">
      <c r="B122" s="201"/>
      <c r="C122" s="3"/>
      <c r="D122" s="4"/>
      <c r="E122" s="61"/>
      <c r="F122" s="62">
        <f>SUM(F94:F121)</f>
        <v>39410.33</v>
      </c>
      <c r="G122" s="215">
        <f>SUM(G94:G121)</f>
        <v>847.39999999999975</v>
      </c>
      <c r="H122" s="63">
        <f>SUM(H94:H121)</f>
        <v>32316.070000000003</v>
      </c>
    </row>
    <row r="123" spans="2:14" x14ac:dyDescent="0.25">
      <c r="B123" s="204"/>
      <c r="C123" s="3"/>
      <c r="D123" s="65"/>
      <c r="E123" s="38" t="s">
        <v>8</v>
      </c>
      <c r="F123" s="39">
        <f>TOTAL!K10</f>
        <v>40000</v>
      </c>
      <c r="G123" s="209" t="s">
        <v>9</v>
      </c>
      <c r="H123" s="41">
        <f>H122/F123%</f>
        <v>80.790175000000005</v>
      </c>
      <c r="I123" s="58" t="s">
        <v>10</v>
      </c>
    </row>
    <row r="124" spans="2:14" ht="15" thickBot="1" x14ac:dyDescent="0.3">
      <c r="B124" s="202"/>
      <c r="C124" s="43"/>
      <c r="D124" s="44"/>
      <c r="E124" s="45"/>
      <c r="F124" s="67"/>
      <c r="G124" s="210"/>
      <c r="H124" s="48"/>
      <c r="I124" s="14"/>
      <c r="J124" s="54"/>
    </row>
    <row r="125" spans="2:14" ht="18.75" thickTop="1" x14ac:dyDescent="0.25">
      <c r="B125" s="198" t="s">
        <v>49</v>
      </c>
      <c r="C125" s="49"/>
      <c r="D125" s="4"/>
      <c r="E125" s="5"/>
      <c r="F125" s="6"/>
      <c r="G125" s="175"/>
      <c r="H125" s="50"/>
      <c r="I125" s="14"/>
    </row>
    <row r="126" spans="2:14" x14ac:dyDescent="0.25">
      <c r="B126" s="199" t="s">
        <v>1</v>
      </c>
      <c r="C126" s="9" t="s">
        <v>2</v>
      </c>
      <c r="D126" s="10" t="s">
        <v>3</v>
      </c>
      <c r="E126" s="11" t="s">
        <v>4</v>
      </c>
      <c r="F126" s="12" t="s">
        <v>5</v>
      </c>
      <c r="G126" s="175" t="s">
        <v>12</v>
      </c>
      <c r="H126" s="13" t="s">
        <v>7</v>
      </c>
      <c r="I126" s="14"/>
    </row>
    <row r="127" spans="2:14" s="14" customFormat="1" x14ac:dyDescent="0.25">
      <c r="B127" s="221">
        <v>369</v>
      </c>
      <c r="C127" s="21" t="s">
        <v>84</v>
      </c>
      <c r="D127" s="20" t="s">
        <v>785</v>
      </c>
      <c r="E127" s="28">
        <v>42622</v>
      </c>
      <c r="F127" s="6">
        <v>290</v>
      </c>
      <c r="G127" s="175"/>
      <c r="H127" s="19">
        <f t="shared" ref="H127:H179" si="5">F127-G127</f>
        <v>290</v>
      </c>
      <c r="J127" s="1"/>
      <c r="K127" s="1"/>
      <c r="L127" s="1"/>
      <c r="M127" s="1"/>
      <c r="N127" s="1"/>
    </row>
    <row r="128" spans="2:14" s="14" customFormat="1" x14ac:dyDescent="0.25">
      <c r="B128" s="261">
        <v>370</v>
      </c>
      <c r="C128" s="15" t="s">
        <v>86</v>
      </c>
      <c r="D128" s="16" t="s">
        <v>786</v>
      </c>
      <c r="E128" s="17">
        <v>42622</v>
      </c>
      <c r="F128" s="125">
        <v>490</v>
      </c>
      <c r="G128" s="175"/>
      <c r="H128" s="19">
        <f t="shared" si="5"/>
        <v>490</v>
      </c>
      <c r="J128" s="1"/>
      <c r="K128" s="1"/>
      <c r="L128" s="1"/>
      <c r="M128" s="1"/>
      <c r="N128" s="1"/>
    </row>
    <row r="129" spans="2:14" s="14" customFormat="1" x14ac:dyDescent="0.25">
      <c r="B129" s="261">
        <v>371</v>
      </c>
      <c r="C129" s="15" t="s">
        <v>86</v>
      </c>
      <c r="D129" s="16" t="s">
        <v>760</v>
      </c>
      <c r="E129" s="17">
        <v>42622</v>
      </c>
      <c r="F129" s="125">
        <v>490</v>
      </c>
      <c r="G129" s="175"/>
      <c r="H129" s="19">
        <f t="shared" si="5"/>
        <v>490</v>
      </c>
      <c r="J129" s="68"/>
    </row>
    <row r="130" spans="2:14" s="14" customFormat="1" x14ac:dyDescent="0.25">
      <c r="B130" s="261">
        <v>372</v>
      </c>
      <c r="C130" s="15" t="s">
        <v>84</v>
      </c>
      <c r="D130" s="16" t="s">
        <v>787</v>
      </c>
      <c r="E130" s="17">
        <v>42622</v>
      </c>
      <c r="F130" s="125">
        <v>290</v>
      </c>
      <c r="G130" s="175"/>
      <c r="H130" s="19">
        <f t="shared" si="5"/>
        <v>290</v>
      </c>
      <c r="I130" s="1"/>
    </row>
    <row r="131" spans="2:14" s="14" customFormat="1" x14ac:dyDescent="0.25">
      <c r="B131" s="221">
        <v>373</v>
      </c>
      <c r="C131" s="21" t="s">
        <v>95</v>
      </c>
      <c r="D131" s="20" t="s">
        <v>811</v>
      </c>
      <c r="E131" s="28">
        <v>42626</v>
      </c>
      <c r="F131" s="125">
        <v>1390</v>
      </c>
      <c r="G131" s="175"/>
      <c r="H131" s="19">
        <f t="shared" si="5"/>
        <v>1390</v>
      </c>
      <c r="I131" s="1"/>
    </row>
    <row r="132" spans="2:14" s="14" customFormat="1" x14ac:dyDescent="0.25">
      <c r="B132" s="261">
        <v>374</v>
      </c>
      <c r="C132" s="15" t="s">
        <v>86</v>
      </c>
      <c r="D132" s="16" t="s">
        <v>812</v>
      </c>
      <c r="E132" s="17">
        <v>42626</v>
      </c>
      <c r="F132" s="51">
        <v>790</v>
      </c>
      <c r="G132" s="175"/>
      <c r="H132" s="19">
        <f t="shared" si="5"/>
        <v>790</v>
      </c>
      <c r="I132" s="1"/>
    </row>
    <row r="133" spans="2:14" x14ac:dyDescent="0.25">
      <c r="B133" s="261">
        <v>375</v>
      </c>
      <c r="C133" s="15" t="s">
        <v>86</v>
      </c>
      <c r="D133" s="16" t="s">
        <v>786</v>
      </c>
      <c r="E133" s="17">
        <v>42626</v>
      </c>
      <c r="F133" s="51">
        <v>520</v>
      </c>
      <c r="G133" s="175"/>
      <c r="H133" s="19">
        <f t="shared" si="5"/>
        <v>520</v>
      </c>
      <c r="J133" s="14"/>
      <c r="K133" s="14"/>
      <c r="L133" s="14"/>
      <c r="M133" s="14"/>
      <c r="N133" s="14"/>
    </row>
    <row r="134" spans="2:14" x14ac:dyDescent="0.25">
      <c r="B134" s="221">
        <v>376</v>
      </c>
      <c r="C134" s="21" t="s">
        <v>86</v>
      </c>
      <c r="D134" s="20" t="s">
        <v>813</v>
      </c>
      <c r="E134" s="28">
        <v>42626</v>
      </c>
      <c r="F134" s="125">
        <v>1290</v>
      </c>
      <c r="G134" s="175"/>
      <c r="H134" s="19">
        <f t="shared" si="5"/>
        <v>1290</v>
      </c>
      <c r="J134" s="14"/>
      <c r="K134" s="14"/>
      <c r="L134" s="14"/>
      <c r="M134" s="14"/>
      <c r="N134" s="14"/>
    </row>
    <row r="135" spans="2:14" x14ac:dyDescent="0.25">
      <c r="B135" s="221">
        <v>377</v>
      </c>
      <c r="C135" s="21" t="s">
        <v>84</v>
      </c>
      <c r="D135" s="20" t="s">
        <v>814</v>
      </c>
      <c r="E135" s="28">
        <v>42626</v>
      </c>
      <c r="F135" s="125">
        <v>290</v>
      </c>
      <c r="G135" s="175"/>
      <c r="H135" s="19">
        <f t="shared" si="5"/>
        <v>290</v>
      </c>
    </row>
    <row r="136" spans="2:14" x14ac:dyDescent="0.25">
      <c r="B136" s="185" t="s">
        <v>83</v>
      </c>
      <c r="C136" s="21" t="s">
        <v>84</v>
      </c>
      <c r="D136" s="20" t="s">
        <v>799</v>
      </c>
      <c r="E136" s="28">
        <v>42626</v>
      </c>
      <c r="F136" s="125">
        <v>290</v>
      </c>
      <c r="G136" s="175"/>
      <c r="H136" s="19">
        <f t="shared" si="5"/>
        <v>290</v>
      </c>
    </row>
    <row r="137" spans="2:14" x14ac:dyDescent="0.25">
      <c r="B137" s="221">
        <v>378</v>
      </c>
      <c r="C137" s="21" t="s">
        <v>84</v>
      </c>
      <c r="D137" s="20" t="s">
        <v>815</v>
      </c>
      <c r="E137" s="28">
        <v>42627</v>
      </c>
      <c r="F137" s="125">
        <v>290</v>
      </c>
      <c r="G137" s="175"/>
      <c r="H137" s="19">
        <f t="shared" si="5"/>
        <v>290</v>
      </c>
      <c r="J137" s="54"/>
    </row>
    <row r="138" spans="2:14" x14ac:dyDescent="0.25">
      <c r="B138" s="221">
        <v>379</v>
      </c>
      <c r="C138" s="21" t="s">
        <v>84</v>
      </c>
      <c r="D138" s="20" t="s">
        <v>816</v>
      </c>
      <c r="E138" s="28">
        <v>42627</v>
      </c>
      <c r="F138" s="125">
        <v>290</v>
      </c>
      <c r="G138" s="175"/>
      <c r="H138" s="19">
        <f t="shared" si="5"/>
        <v>290</v>
      </c>
      <c r="J138" s="54"/>
    </row>
    <row r="139" spans="2:14" x14ac:dyDescent="0.25">
      <c r="B139" s="221">
        <v>380</v>
      </c>
      <c r="C139" s="21" t="s">
        <v>86</v>
      </c>
      <c r="D139" s="20" t="s">
        <v>187</v>
      </c>
      <c r="E139" s="28">
        <v>42627</v>
      </c>
      <c r="F139" s="125">
        <v>890</v>
      </c>
      <c r="G139" s="175"/>
      <c r="H139" s="19">
        <f t="shared" si="5"/>
        <v>890</v>
      </c>
      <c r="J139" s="54"/>
    </row>
    <row r="140" spans="2:14" x14ac:dyDescent="0.25">
      <c r="B140" s="221">
        <v>381</v>
      </c>
      <c r="C140" s="21" t="s">
        <v>86</v>
      </c>
      <c r="D140" s="20" t="s">
        <v>710</v>
      </c>
      <c r="E140" s="28">
        <v>42627</v>
      </c>
      <c r="F140" s="125">
        <v>610</v>
      </c>
      <c r="G140" s="175"/>
      <c r="H140" s="19">
        <f t="shared" si="5"/>
        <v>610</v>
      </c>
      <c r="J140" s="54"/>
    </row>
    <row r="141" spans="2:14" x14ac:dyDescent="0.25">
      <c r="B141" s="221">
        <v>382</v>
      </c>
      <c r="C141" s="21" t="s">
        <v>95</v>
      </c>
      <c r="D141" s="20" t="s">
        <v>489</v>
      </c>
      <c r="E141" s="28">
        <v>42627</v>
      </c>
      <c r="F141" s="125">
        <v>990</v>
      </c>
      <c r="G141" s="175"/>
      <c r="H141" s="19">
        <f t="shared" si="5"/>
        <v>990</v>
      </c>
      <c r="J141" s="54"/>
    </row>
    <row r="142" spans="2:14" x14ac:dyDescent="0.25">
      <c r="B142" s="221">
        <v>383</v>
      </c>
      <c r="C142" s="21" t="s">
        <v>86</v>
      </c>
      <c r="D142" s="20" t="s">
        <v>786</v>
      </c>
      <c r="E142" s="28">
        <v>42627</v>
      </c>
      <c r="F142" s="6">
        <v>390</v>
      </c>
      <c r="G142" s="175"/>
      <c r="H142" s="19">
        <f t="shared" si="5"/>
        <v>390</v>
      </c>
      <c r="J142" s="54"/>
    </row>
    <row r="143" spans="2:14" x14ac:dyDescent="0.25">
      <c r="B143" s="221">
        <v>384</v>
      </c>
      <c r="C143" s="21" t="s">
        <v>95</v>
      </c>
      <c r="D143" s="20" t="s">
        <v>737</v>
      </c>
      <c r="E143" s="28">
        <v>42627</v>
      </c>
      <c r="F143" s="125">
        <v>590</v>
      </c>
      <c r="G143" s="175"/>
      <c r="H143" s="19">
        <f t="shared" si="5"/>
        <v>590</v>
      </c>
      <c r="J143" s="54"/>
    </row>
    <row r="144" spans="2:14" x14ac:dyDescent="0.25">
      <c r="B144" s="221">
        <v>385</v>
      </c>
      <c r="C144" s="21" t="s">
        <v>84</v>
      </c>
      <c r="D144" s="20" t="s">
        <v>817</v>
      </c>
      <c r="E144" s="28">
        <v>42627</v>
      </c>
      <c r="F144" s="125">
        <v>290</v>
      </c>
      <c r="G144" s="175"/>
      <c r="H144" s="19">
        <f t="shared" si="5"/>
        <v>290</v>
      </c>
      <c r="J144" s="54"/>
    </row>
    <row r="145" spans="2:10" x14ac:dyDescent="0.25">
      <c r="B145" s="221">
        <v>386</v>
      </c>
      <c r="C145" s="21" t="s">
        <v>86</v>
      </c>
      <c r="D145" s="20" t="s">
        <v>818</v>
      </c>
      <c r="E145" s="28">
        <v>42627</v>
      </c>
      <c r="F145" s="125">
        <v>670</v>
      </c>
      <c r="G145" s="175"/>
      <c r="H145" s="19">
        <f t="shared" si="5"/>
        <v>670</v>
      </c>
      <c r="J145" s="54"/>
    </row>
    <row r="146" spans="2:10" x14ac:dyDescent="0.25">
      <c r="B146" s="221">
        <v>387</v>
      </c>
      <c r="C146" s="21" t="s">
        <v>86</v>
      </c>
      <c r="D146" s="20" t="s">
        <v>819</v>
      </c>
      <c r="E146" s="28">
        <v>42627</v>
      </c>
      <c r="F146" s="125">
        <v>750.5</v>
      </c>
      <c r="G146" s="175"/>
      <c r="H146" s="19">
        <f t="shared" si="5"/>
        <v>750.5</v>
      </c>
      <c r="J146" s="54"/>
    </row>
    <row r="147" spans="2:10" x14ac:dyDescent="0.25">
      <c r="B147" s="221">
        <v>388</v>
      </c>
      <c r="C147" s="21" t="s">
        <v>86</v>
      </c>
      <c r="D147" s="20" t="s">
        <v>114</v>
      </c>
      <c r="E147" s="28">
        <v>42628</v>
      </c>
      <c r="F147" s="6">
        <v>3973.17</v>
      </c>
      <c r="G147" s="175"/>
      <c r="H147" s="19">
        <f t="shared" si="5"/>
        <v>3973.17</v>
      </c>
      <c r="J147" s="54"/>
    </row>
    <row r="148" spans="2:10" x14ac:dyDescent="0.25">
      <c r="B148" s="221">
        <v>389</v>
      </c>
      <c r="C148" s="21" t="s">
        <v>86</v>
      </c>
      <c r="D148" s="20" t="s">
        <v>820</v>
      </c>
      <c r="E148" s="28">
        <v>42628</v>
      </c>
      <c r="F148" s="6">
        <v>390</v>
      </c>
      <c r="G148" s="175"/>
      <c r="H148" s="19">
        <f t="shared" si="5"/>
        <v>390</v>
      </c>
      <c r="J148" s="54"/>
    </row>
    <row r="149" spans="2:10" x14ac:dyDescent="0.25">
      <c r="B149" s="221">
        <v>390</v>
      </c>
      <c r="C149" s="21" t="s">
        <v>95</v>
      </c>
      <c r="D149" s="20" t="s">
        <v>821</v>
      </c>
      <c r="E149" s="28">
        <v>42629</v>
      </c>
      <c r="F149" s="125">
        <v>990</v>
      </c>
      <c r="G149" s="175"/>
      <c r="H149" s="19">
        <f t="shared" si="5"/>
        <v>990</v>
      </c>
      <c r="J149" s="54"/>
    </row>
    <row r="150" spans="2:10" x14ac:dyDescent="0.25">
      <c r="B150" s="221">
        <v>391</v>
      </c>
      <c r="C150" s="21" t="s">
        <v>86</v>
      </c>
      <c r="D150" s="20" t="s">
        <v>786</v>
      </c>
      <c r="E150" s="28">
        <v>42629</v>
      </c>
      <c r="F150" s="6">
        <v>490</v>
      </c>
      <c r="G150" s="175"/>
      <c r="H150" s="19">
        <f t="shared" si="5"/>
        <v>490</v>
      </c>
      <c r="J150" s="54"/>
    </row>
    <row r="151" spans="2:10" x14ac:dyDescent="0.25">
      <c r="B151" s="221">
        <v>392</v>
      </c>
      <c r="C151" s="21" t="s">
        <v>84</v>
      </c>
      <c r="D151" s="20" t="s">
        <v>822</v>
      </c>
      <c r="E151" s="28">
        <v>42629</v>
      </c>
      <c r="F151" s="6">
        <v>290</v>
      </c>
      <c r="G151" s="175"/>
      <c r="H151" s="19">
        <f t="shared" si="5"/>
        <v>290</v>
      </c>
      <c r="J151" s="54"/>
    </row>
    <row r="152" spans="2:10" x14ac:dyDescent="0.25">
      <c r="B152" s="221">
        <v>393</v>
      </c>
      <c r="C152" s="21" t="s">
        <v>86</v>
      </c>
      <c r="D152" s="20" t="s">
        <v>280</v>
      </c>
      <c r="E152" s="28">
        <v>42629</v>
      </c>
      <c r="F152" s="6">
        <v>490</v>
      </c>
      <c r="G152" s="175"/>
      <c r="H152" s="19">
        <f t="shared" si="5"/>
        <v>490</v>
      </c>
      <c r="J152" s="54"/>
    </row>
    <row r="153" spans="2:10" x14ac:dyDescent="0.25">
      <c r="B153" s="221">
        <v>395</v>
      </c>
      <c r="C153" s="21" t="s">
        <v>86</v>
      </c>
      <c r="D153" s="20" t="s">
        <v>824</v>
      </c>
      <c r="E153" s="28">
        <v>42634</v>
      </c>
      <c r="F153" s="6">
        <v>790</v>
      </c>
      <c r="G153" s="175"/>
      <c r="H153" s="19">
        <f t="shared" si="5"/>
        <v>790</v>
      </c>
      <c r="J153" s="54"/>
    </row>
    <row r="154" spans="2:10" x14ac:dyDescent="0.25">
      <c r="B154" s="221">
        <v>396</v>
      </c>
      <c r="C154" s="21" t="s">
        <v>86</v>
      </c>
      <c r="D154" s="20" t="s">
        <v>825</v>
      </c>
      <c r="E154" s="28">
        <v>42634</v>
      </c>
      <c r="F154" s="6">
        <v>690</v>
      </c>
      <c r="G154" s="175"/>
      <c r="H154" s="19">
        <f t="shared" si="5"/>
        <v>690</v>
      </c>
      <c r="J154" s="54"/>
    </row>
    <row r="155" spans="2:10" x14ac:dyDescent="0.25">
      <c r="B155" s="221">
        <v>397</v>
      </c>
      <c r="C155" s="21" t="s">
        <v>86</v>
      </c>
      <c r="D155" s="20" t="s">
        <v>826</v>
      </c>
      <c r="E155" s="28">
        <v>42634</v>
      </c>
      <c r="F155" s="6">
        <v>790</v>
      </c>
      <c r="G155" s="175"/>
      <c r="H155" s="19">
        <f t="shared" si="5"/>
        <v>790</v>
      </c>
      <c r="J155" s="54"/>
    </row>
    <row r="156" spans="2:10" x14ac:dyDescent="0.25">
      <c r="B156" s="221">
        <v>1122</v>
      </c>
      <c r="C156" s="21" t="s">
        <v>86</v>
      </c>
      <c r="D156" s="20" t="s">
        <v>804</v>
      </c>
      <c r="E156" s="28">
        <v>42634</v>
      </c>
      <c r="F156" s="6">
        <v>590</v>
      </c>
      <c r="G156" s="175"/>
      <c r="H156" s="19">
        <f t="shared" si="5"/>
        <v>590</v>
      </c>
      <c r="J156" s="54"/>
    </row>
    <row r="157" spans="2:10" x14ac:dyDescent="0.25">
      <c r="B157" s="221">
        <v>398</v>
      </c>
      <c r="C157" s="21" t="s">
        <v>86</v>
      </c>
      <c r="D157" s="20" t="s">
        <v>834</v>
      </c>
      <c r="E157" s="28">
        <v>42639</v>
      </c>
      <c r="F157" s="125">
        <v>790</v>
      </c>
      <c r="G157" s="175"/>
      <c r="H157" s="19">
        <f t="shared" si="5"/>
        <v>790</v>
      </c>
      <c r="J157" s="54"/>
    </row>
    <row r="158" spans="2:10" x14ac:dyDescent="0.25">
      <c r="B158" s="221">
        <v>399</v>
      </c>
      <c r="C158" s="21" t="s">
        <v>86</v>
      </c>
      <c r="D158" s="20" t="s">
        <v>835</v>
      </c>
      <c r="E158" s="28">
        <v>42640</v>
      </c>
      <c r="F158" s="125">
        <v>290</v>
      </c>
      <c r="G158" s="175"/>
      <c r="H158" s="19">
        <f t="shared" si="5"/>
        <v>290</v>
      </c>
      <c r="J158" s="54"/>
    </row>
    <row r="159" spans="2:10" x14ac:dyDescent="0.25">
      <c r="B159" s="221">
        <v>400</v>
      </c>
      <c r="C159" s="21" t="s">
        <v>86</v>
      </c>
      <c r="D159" s="20" t="s">
        <v>837</v>
      </c>
      <c r="E159" s="28">
        <v>42640</v>
      </c>
      <c r="F159" s="6">
        <v>390</v>
      </c>
      <c r="G159" s="175"/>
      <c r="H159" s="19">
        <f t="shared" si="5"/>
        <v>390</v>
      </c>
      <c r="J159" s="54"/>
    </row>
    <row r="160" spans="2:10" x14ac:dyDescent="0.25">
      <c r="B160" s="221">
        <v>401</v>
      </c>
      <c r="C160" s="21" t="s">
        <v>86</v>
      </c>
      <c r="D160" s="20" t="s">
        <v>836</v>
      </c>
      <c r="E160" s="28">
        <v>42640</v>
      </c>
      <c r="F160" s="6">
        <v>590</v>
      </c>
      <c r="G160" s="175"/>
      <c r="H160" s="19">
        <f t="shared" si="5"/>
        <v>590</v>
      </c>
      <c r="J160" s="54"/>
    </row>
    <row r="161" spans="2:10" x14ac:dyDescent="0.25">
      <c r="B161" s="221">
        <v>402</v>
      </c>
      <c r="C161" s="21" t="s">
        <v>84</v>
      </c>
      <c r="D161" s="20" t="s">
        <v>838</v>
      </c>
      <c r="E161" s="28">
        <v>42642</v>
      </c>
      <c r="F161" s="6">
        <v>290</v>
      </c>
      <c r="G161" s="175"/>
      <c r="H161" s="19">
        <f t="shared" si="5"/>
        <v>290</v>
      </c>
      <c r="J161" s="54"/>
    </row>
    <row r="162" spans="2:10" x14ac:dyDescent="0.25">
      <c r="B162" s="221">
        <v>403</v>
      </c>
      <c r="C162" s="21" t="s">
        <v>86</v>
      </c>
      <c r="D162" s="20" t="s">
        <v>839</v>
      </c>
      <c r="E162" s="28">
        <v>42642</v>
      </c>
      <c r="F162" s="6">
        <v>790</v>
      </c>
      <c r="G162" s="175"/>
      <c r="H162" s="19">
        <f t="shared" si="5"/>
        <v>790</v>
      </c>
      <c r="J162" s="54"/>
    </row>
    <row r="163" spans="2:10" x14ac:dyDescent="0.25">
      <c r="B163" s="221">
        <v>404</v>
      </c>
      <c r="C163" s="21" t="s">
        <v>95</v>
      </c>
      <c r="D163" s="20" t="s">
        <v>489</v>
      </c>
      <c r="E163" s="28">
        <v>42642</v>
      </c>
      <c r="F163" s="6">
        <v>590</v>
      </c>
      <c r="G163" s="175"/>
      <c r="H163" s="19">
        <f t="shared" si="5"/>
        <v>590</v>
      </c>
      <c r="J163" s="54"/>
    </row>
    <row r="164" spans="2:10" x14ac:dyDescent="0.25">
      <c r="B164" s="221">
        <v>405</v>
      </c>
      <c r="C164" s="21" t="s">
        <v>95</v>
      </c>
      <c r="D164" s="20" t="s">
        <v>489</v>
      </c>
      <c r="E164" s="28">
        <v>42642</v>
      </c>
      <c r="F164" s="6">
        <v>490</v>
      </c>
      <c r="G164" s="175"/>
      <c r="H164" s="19">
        <f t="shared" si="5"/>
        <v>490</v>
      </c>
      <c r="J164" s="54"/>
    </row>
    <row r="165" spans="2:10" x14ac:dyDescent="0.25">
      <c r="B165" s="221">
        <v>1123</v>
      </c>
      <c r="C165" s="21" t="s">
        <v>86</v>
      </c>
      <c r="D165" s="20" t="s">
        <v>840</v>
      </c>
      <c r="E165" s="28">
        <v>42642</v>
      </c>
      <c r="F165" s="6">
        <v>350</v>
      </c>
      <c r="G165" s="175"/>
      <c r="H165" s="19">
        <f t="shared" si="5"/>
        <v>350</v>
      </c>
      <c r="J165" s="54"/>
    </row>
    <row r="166" spans="2:10" x14ac:dyDescent="0.25">
      <c r="B166" s="221">
        <v>1124</v>
      </c>
      <c r="C166" s="21" t="s">
        <v>86</v>
      </c>
      <c r="D166" s="20" t="s">
        <v>840</v>
      </c>
      <c r="E166" s="28">
        <v>42642</v>
      </c>
      <c r="F166" s="6">
        <v>350</v>
      </c>
      <c r="G166" s="175"/>
      <c r="H166" s="19">
        <f t="shared" si="5"/>
        <v>350</v>
      </c>
    </row>
    <row r="167" spans="2:10" x14ac:dyDescent="0.25">
      <c r="B167" s="185" t="s">
        <v>83</v>
      </c>
      <c r="C167" s="21" t="s">
        <v>84</v>
      </c>
      <c r="D167" s="20" t="s">
        <v>846</v>
      </c>
      <c r="E167" s="28">
        <v>42642</v>
      </c>
      <c r="F167" s="6">
        <v>290</v>
      </c>
      <c r="G167" s="175"/>
      <c r="H167" s="19">
        <f t="shared" si="5"/>
        <v>290</v>
      </c>
    </row>
    <row r="168" spans="2:10" x14ac:dyDescent="0.25">
      <c r="B168" s="221">
        <v>406</v>
      </c>
      <c r="C168" s="21" t="s">
        <v>84</v>
      </c>
      <c r="D168" s="20" t="s">
        <v>854</v>
      </c>
      <c r="E168" s="28">
        <v>42643</v>
      </c>
      <c r="F168" s="6">
        <v>290</v>
      </c>
      <c r="G168" s="175"/>
      <c r="H168" s="19">
        <f t="shared" si="5"/>
        <v>290</v>
      </c>
    </row>
    <row r="169" spans="2:10" x14ac:dyDescent="0.25">
      <c r="B169" s="221">
        <v>407</v>
      </c>
      <c r="C169" s="21" t="s">
        <v>86</v>
      </c>
      <c r="D169" s="20" t="s">
        <v>843</v>
      </c>
      <c r="E169" s="28">
        <v>42643</v>
      </c>
      <c r="F169" s="6">
        <v>590</v>
      </c>
      <c r="G169" s="175"/>
      <c r="H169" s="19">
        <f t="shared" si="5"/>
        <v>590</v>
      </c>
    </row>
    <row r="170" spans="2:10" x14ac:dyDescent="0.25">
      <c r="B170" s="221">
        <v>1125</v>
      </c>
      <c r="C170" s="21" t="s">
        <v>86</v>
      </c>
      <c r="D170" s="20" t="s">
        <v>489</v>
      </c>
      <c r="E170" s="28">
        <v>42643</v>
      </c>
      <c r="F170" s="6">
        <v>1150</v>
      </c>
      <c r="G170" s="175"/>
      <c r="H170" s="19">
        <f t="shared" si="5"/>
        <v>1150</v>
      </c>
    </row>
    <row r="171" spans="2:10" x14ac:dyDescent="0.25">
      <c r="B171" s="221">
        <v>1126</v>
      </c>
      <c r="C171" s="21" t="s">
        <v>86</v>
      </c>
      <c r="D171" s="20" t="s">
        <v>840</v>
      </c>
      <c r="E171" s="28">
        <v>42643</v>
      </c>
      <c r="F171" s="6">
        <v>350</v>
      </c>
      <c r="G171" s="175"/>
      <c r="H171" s="19">
        <f t="shared" si="5"/>
        <v>350</v>
      </c>
    </row>
    <row r="172" spans="2:10" x14ac:dyDescent="0.25">
      <c r="B172" s="185"/>
      <c r="C172" s="21"/>
      <c r="D172" s="20"/>
      <c r="E172" s="28"/>
      <c r="F172" s="6"/>
      <c r="G172" s="175"/>
      <c r="H172" s="19">
        <f t="shared" si="5"/>
        <v>0</v>
      </c>
    </row>
    <row r="173" spans="2:10" x14ac:dyDescent="0.25">
      <c r="B173" s="185"/>
      <c r="C173" s="21"/>
      <c r="D173" s="20"/>
      <c r="E173" s="28"/>
      <c r="F173" s="6"/>
      <c r="G173" s="175"/>
      <c r="H173" s="19">
        <f t="shared" si="5"/>
        <v>0</v>
      </c>
    </row>
    <row r="174" spans="2:10" x14ac:dyDescent="0.25">
      <c r="B174" s="185"/>
      <c r="C174" s="21"/>
      <c r="D174" s="20"/>
      <c r="E174" s="28"/>
      <c r="F174" s="6"/>
      <c r="G174" s="175"/>
      <c r="H174" s="19">
        <f t="shared" si="5"/>
        <v>0</v>
      </c>
    </row>
    <row r="175" spans="2:10" x14ac:dyDescent="0.25">
      <c r="B175" s="185"/>
      <c r="C175" s="21"/>
      <c r="D175" s="20"/>
      <c r="E175" s="28"/>
      <c r="F175" s="6"/>
      <c r="G175" s="175"/>
      <c r="H175" s="19">
        <f t="shared" si="5"/>
        <v>0</v>
      </c>
    </row>
    <row r="176" spans="2:10" x14ac:dyDescent="0.25">
      <c r="B176" s="185"/>
      <c r="C176" s="21"/>
      <c r="D176" s="20"/>
      <c r="E176" s="28"/>
      <c r="F176" s="6"/>
      <c r="G176" s="175"/>
      <c r="H176" s="19">
        <f t="shared" si="5"/>
        <v>0</v>
      </c>
    </row>
    <row r="177" spans="2:9" x14ac:dyDescent="0.25">
      <c r="B177" s="185"/>
      <c r="C177" s="21"/>
      <c r="D177" s="20"/>
      <c r="E177" s="28"/>
      <c r="F177" s="6"/>
      <c r="G177" s="175"/>
      <c r="H177" s="19">
        <f t="shared" si="5"/>
        <v>0</v>
      </c>
    </row>
    <row r="178" spans="2:9" x14ac:dyDescent="0.25">
      <c r="B178" s="185"/>
      <c r="C178" s="21"/>
      <c r="D178" s="20"/>
      <c r="E178" s="28"/>
      <c r="F178" s="6"/>
      <c r="G178" s="175"/>
      <c r="H178" s="19">
        <f t="shared" si="5"/>
        <v>0</v>
      </c>
    </row>
    <row r="179" spans="2:9" ht="15" thickBot="1" x14ac:dyDescent="0.3">
      <c r="B179" s="185"/>
      <c r="C179" s="21"/>
      <c r="D179" s="20"/>
      <c r="E179" s="28"/>
      <c r="F179" s="6"/>
      <c r="G179" s="175"/>
      <c r="H179" s="19">
        <f t="shared" si="5"/>
        <v>0</v>
      </c>
    </row>
    <row r="180" spans="2:9" ht="15" thickBot="1" x14ac:dyDescent="0.3">
      <c r="E180" s="70"/>
      <c r="F180" s="62">
        <f>SUM(F127:F179)</f>
        <v>28963.67</v>
      </c>
      <c r="G180" s="215"/>
      <c r="H180" s="63">
        <f>SUM(H127:H179)</f>
        <v>28963.67</v>
      </c>
    </row>
    <row r="181" spans="2:9" x14ac:dyDescent="0.25">
      <c r="E181" s="38" t="s">
        <v>8</v>
      </c>
      <c r="F181" s="39">
        <f>TOTAL!K11</f>
        <v>35000</v>
      </c>
      <c r="G181" s="209" t="s">
        <v>16</v>
      </c>
      <c r="H181" s="71">
        <f>H180/F181%</f>
        <v>82.753342857142854</v>
      </c>
      <c r="I181" s="58" t="s">
        <v>10</v>
      </c>
    </row>
    <row r="182" spans="2:9" x14ac:dyDescent="0.25">
      <c r="E182" s="38"/>
      <c r="F182" s="39"/>
      <c r="G182" s="209"/>
      <c r="H182" s="71"/>
      <c r="I182" s="58"/>
    </row>
    <row r="183" spans="2:9" x14ac:dyDescent="0.25">
      <c r="E183" s="38"/>
      <c r="F183" s="39"/>
      <c r="G183" s="209"/>
      <c r="H183" s="71"/>
      <c r="I183" s="58"/>
    </row>
    <row r="184" spans="2:9" ht="15" thickBot="1" x14ac:dyDescent="0.3">
      <c r="E184" s="38"/>
      <c r="F184" s="39"/>
      <c r="G184" s="40"/>
      <c r="H184" s="71"/>
      <c r="I184" s="58"/>
    </row>
    <row r="185" spans="2:9" ht="18.75" thickTop="1" x14ac:dyDescent="0.25">
      <c r="B185" s="207" t="s">
        <v>150</v>
      </c>
      <c r="C185" s="76"/>
      <c r="D185" s="83"/>
      <c r="E185" s="77"/>
      <c r="F185" s="77"/>
      <c r="G185" s="77"/>
      <c r="H185" s="77"/>
      <c r="I185" s="58"/>
    </row>
    <row r="186" spans="2:9" x14ac:dyDescent="0.25">
      <c r="B186" s="199" t="s">
        <v>1</v>
      </c>
      <c r="C186" s="9" t="s">
        <v>2</v>
      </c>
      <c r="D186" s="10" t="s">
        <v>3</v>
      </c>
      <c r="E186" s="254" t="s">
        <v>4</v>
      </c>
      <c r="F186" s="12" t="s">
        <v>5</v>
      </c>
      <c r="G186" s="7" t="s">
        <v>12</v>
      </c>
      <c r="H186" s="13" t="s">
        <v>7</v>
      </c>
      <c r="I186" s="58"/>
    </row>
    <row r="187" spans="2:9" x14ac:dyDescent="0.25">
      <c r="B187" s="262">
        <v>368</v>
      </c>
      <c r="C187" s="182" t="s">
        <v>151</v>
      </c>
      <c r="D187" s="183" t="s">
        <v>152</v>
      </c>
      <c r="E187" s="178">
        <v>42621</v>
      </c>
      <c r="F187" s="177">
        <v>53260.4</v>
      </c>
      <c r="G187" s="175"/>
      <c r="H187" s="19">
        <f t="shared" ref="H187:H190" si="6">F187-G187</f>
        <v>53260.4</v>
      </c>
      <c r="I187" s="58"/>
    </row>
    <row r="188" spans="2:9" x14ac:dyDescent="0.25">
      <c r="B188" s="262">
        <v>394</v>
      </c>
      <c r="C188" s="182" t="s">
        <v>151</v>
      </c>
      <c r="D188" s="183" t="s">
        <v>152</v>
      </c>
      <c r="E188" s="178">
        <v>42632</v>
      </c>
      <c r="F188" s="177">
        <v>43179.53</v>
      </c>
      <c r="G188" s="175"/>
      <c r="H188" s="19">
        <f t="shared" si="6"/>
        <v>43179.53</v>
      </c>
      <c r="I188" s="58"/>
    </row>
    <row r="189" spans="2:9" x14ac:dyDescent="0.25">
      <c r="B189" s="182"/>
      <c r="C189" s="29"/>
      <c r="D189" s="30"/>
      <c r="E189" s="31"/>
      <c r="F189" s="6"/>
      <c r="G189" s="7"/>
      <c r="H189" s="19">
        <f t="shared" si="6"/>
        <v>0</v>
      </c>
      <c r="I189" s="58"/>
    </row>
    <row r="190" spans="2:9" ht="15" thickBot="1" x14ac:dyDescent="0.3">
      <c r="B190" s="182"/>
      <c r="C190" s="29"/>
      <c r="D190" s="30"/>
      <c r="E190" s="31"/>
      <c r="F190" s="6"/>
      <c r="G190" s="7"/>
      <c r="H190" s="19">
        <f t="shared" si="6"/>
        <v>0</v>
      </c>
      <c r="I190" s="58"/>
    </row>
    <row r="191" spans="2:9" ht="15" thickBot="1" x14ac:dyDescent="0.3">
      <c r="B191" s="182"/>
      <c r="C191" s="29"/>
      <c r="D191" s="30"/>
      <c r="E191" s="31"/>
      <c r="F191" s="35"/>
      <c r="G191" s="36"/>
      <c r="H191" s="37">
        <f>SUM(H187:H190)</f>
        <v>96439.93</v>
      </c>
      <c r="I191" s="58"/>
    </row>
    <row r="192" spans="2:9" x14ac:dyDescent="0.25">
      <c r="E192" s="38"/>
      <c r="F192" s="39"/>
      <c r="G192" s="209"/>
      <c r="H192" s="71"/>
      <c r="I192" s="58"/>
    </row>
    <row r="193" spans="2:14" x14ac:dyDescent="0.25">
      <c r="E193" s="38"/>
      <c r="F193" s="39"/>
      <c r="G193" s="209"/>
      <c r="H193" s="71"/>
      <c r="I193" s="58"/>
    </row>
    <row r="194" spans="2:14" ht="15" thickBot="1" x14ac:dyDescent="0.3">
      <c r="B194" s="206"/>
      <c r="C194" s="79"/>
      <c r="D194" s="80"/>
      <c r="E194" s="81"/>
      <c r="F194" s="82"/>
      <c r="G194" s="175"/>
      <c r="H194" s="74"/>
    </row>
    <row r="195" spans="2:14" ht="18.75" thickTop="1" x14ac:dyDescent="0.25">
      <c r="B195" s="207" t="s">
        <v>44</v>
      </c>
      <c r="C195" s="76"/>
      <c r="D195" s="83"/>
      <c r="E195" s="77"/>
      <c r="F195" s="84"/>
      <c r="G195" s="211"/>
      <c r="H195" s="50"/>
      <c r="J195" s="14"/>
    </row>
    <row r="196" spans="2:14" x14ac:dyDescent="0.25">
      <c r="B196" s="199" t="s">
        <v>1</v>
      </c>
      <c r="C196" s="9" t="s">
        <v>2</v>
      </c>
      <c r="D196" s="10" t="s">
        <v>3</v>
      </c>
      <c r="E196" s="11" t="s">
        <v>4</v>
      </c>
      <c r="F196" s="12" t="s">
        <v>5</v>
      </c>
      <c r="G196" s="175" t="s">
        <v>12</v>
      </c>
      <c r="H196" s="13" t="s">
        <v>7</v>
      </c>
    </row>
    <row r="197" spans="2:14" s="14" customFormat="1" x14ac:dyDescent="0.25">
      <c r="B197" s="221">
        <v>1504</v>
      </c>
      <c r="C197" s="21" t="s">
        <v>102</v>
      </c>
      <c r="D197" s="20" t="s">
        <v>808</v>
      </c>
      <c r="E197" s="28">
        <v>42629</v>
      </c>
      <c r="F197" s="6">
        <v>350</v>
      </c>
      <c r="G197" s="175"/>
      <c r="H197" s="19">
        <f t="shared" ref="H197:H207" si="7">F197-G197</f>
        <v>350</v>
      </c>
      <c r="I197" s="1"/>
      <c r="J197" s="1"/>
      <c r="K197" s="1"/>
      <c r="L197" s="1"/>
      <c r="M197" s="1"/>
      <c r="N197" s="1"/>
    </row>
    <row r="198" spans="2:14" s="14" customFormat="1" x14ac:dyDescent="0.25">
      <c r="B198" s="221">
        <v>1514</v>
      </c>
      <c r="C198" s="21" t="s">
        <v>102</v>
      </c>
      <c r="D198" s="20" t="s">
        <v>831</v>
      </c>
      <c r="E198" s="28">
        <v>42636</v>
      </c>
      <c r="F198" s="6">
        <v>280</v>
      </c>
      <c r="G198" s="175"/>
      <c r="H198" s="19">
        <f t="shared" si="7"/>
        <v>280</v>
      </c>
      <c r="I198" s="1"/>
      <c r="J198" s="1"/>
      <c r="K198" s="1"/>
      <c r="L198" s="1"/>
      <c r="M198" s="1"/>
      <c r="N198" s="1"/>
    </row>
    <row r="199" spans="2:14" s="14" customFormat="1" x14ac:dyDescent="0.25">
      <c r="B199" s="260">
        <v>1515</v>
      </c>
      <c r="C199" s="141" t="s">
        <v>102</v>
      </c>
      <c r="D199" s="141" t="s">
        <v>832</v>
      </c>
      <c r="E199" s="154">
        <v>42636</v>
      </c>
      <c r="F199" s="6">
        <v>300</v>
      </c>
      <c r="G199" s="175"/>
      <c r="H199" s="19">
        <f t="shared" si="7"/>
        <v>300</v>
      </c>
      <c r="I199" s="1"/>
      <c r="J199" s="1"/>
    </row>
    <row r="200" spans="2:14" s="14" customFormat="1" x14ac:dyDescent="0.25">
      <c r="B200" s="221">
        <v>1517</v>
      </c>
      <c r="C200" s="21" t="s">
        <v>102</v>
      </c>
      <c r="D200" s="20" t="s">
        <v>851</v>
      </c>
      <c r="E200" s="28">
        <v>42639</v>
      </c>
      <c r="F200" s="6">
        <v>1078</v>
      </c>
      <c r="G200" s="175">
        <v>28</v>
      </c>
      <c r="H200" s="19">
        <f t="shared" si="7"/>
        <v>1050</v>
      </c>
      <c r="I200" s="58"/>
      <c r="J200" s="54"/>
    </row>
    <row r="201" spans="2:14" s="14" customFormat="1" x14ac:dyDescent="0.25">
      <c r="B201" s="221">
        <v>5014</v>
      </c>
      <c r="C201" s="21" t="s">
        <v>102</v>
      </c>
      <c r="D201" s="20" t="s">
        <v>849</v>
      </c>
      <c r="E201" s="28">
        <v>42643</v>
      </c>
      <c r="F201" s="6">
        <v>80</v>
      </c>
      <c r="G201" s="175">
        <v>11.3</v>
      </c>
      <c r="H201" s="19">
        <f t="shared" si="7"/>
        <v>68.7</v>
      </c>
      <c r="J201" s="1"/>
    </row>
    <row r="202" spans="2:14" s="14" customFormat="1" x14ac:dyDescent="0.25">
      <c r="B202" s="221">
        <v>5015</v>
      </c>
      <c r="C202" s="21" t="s">
        <v>102</v>
      </c>
      <c r="D202" s="20" t="s">
        <v>850</v>
      </c>
      <c r="E202" s="28">
        <v>42643</v>
      </c>
      <c r="F202" s="6">
        <v>400</v>
      </c>
      <c r="G202" s="175"/>
      <c r="H202" s="19">
        <f t="shared" si="7"/>
        <v>400</v>
      </c>
      <c r="J202" s="54"/>
    </row>
    <row r="203" spans="2:14" s="14" customFormat="1" x14ac:dyDescent="0.25">
      <c r="B203" s="185"/>
      <c r="C203" s="141"/>
      <c r="D203" s="141"/>
      <c r="E203" s="23"/>
      <c r="F203" s="24"/>
      <c r="G203" s="173"/>
      <c r="H203" s="19">
        <f t="shared" si="7"/>
        <v>0</v>
      </c>
      <c r="J203" s="54"/>
    </row>
    <row r="204" spans="2:14" s="14" customFormat="1" x14ac:dyDescent="0.25">
      <c r="B204" s="194"/>
      <c r="C204" s="141"/>
      <c r="D204" s="141"/>
      <c r="E204" s="23"/>
      <c r="F204" s="24"/>
      <c r="G204" s="173"/>
      <c r="H204" s="19">
        <f t="shared" si="7"/>
        <v>0</v>
      </c>
      <c r="J204" s="54"/>
    </row>
    <row r="205" spans="2:14" s="14" customFormat="1" x14ac:dyDescent="0.25">
      <c r="B205" s="194"/>
      <c r="C205" s="22"/>
      <c r="D205" s="22"/>
      <c r="E205" s="23"/>
      <c r="F205" s="24"/>
      <c r="G205" s="173"/>
      <c r="H205" s="19">
        <f t="shared" si="7"/>
        <v>0</v>
      </c>
      <c r="J205" s="1"/>
    </row>
    <row r="206" spans="2:14" s="14" customFormat="1" x14ac:dyDescent="0.25">
      <c r="B206" s="185"/>
      <c r="C206" s="21"/>
      <c r="D206" s="20"/>
      <c r="E206" s="28"/>
      <c r="F206" s="6"/>
      <c r="G206" s="175"/>
      <c r="H206" s="19">
        <f t="shared" si="7"/>
        <v>0</v>
      </c>
      <c r="J206" s="1"/>
    </row>
    <row r="207" spans="2:14" ht="15" thickBot="1" x14ac:dyDescent="0.3">
      <c r="B207" s="185"/>
      <c r="C207" s="21"/>
      <c r="D207" s="20"/>
      <c r="E207" s="28"/>
      <c r="F207" s="18"/>
      <c r="G207" s="175"/>
      <c r="H207" s="19">
        <f t="shared" si="7"/>
        <v>0</v>
      </c>
      <c r="I207" s="101">
        <f>SUM(H199,H180,H127,H94,H69,H52,H39)</f>
        <v>47431.44</v>
      </c>
      <c r="K207" s="14"/>
      <c r="L207" s="14"/>
      <c r="M207" s="14"/>
      <c r="N207" s="14"/>
    </row>
    <row r="208" spans="2:14" ht="15" thickBot="1" x14ac:dyDescent="0.3">
      <c r="B208" s="208"/>
      <c r="C208" s="85"/>
      <c r="D208" s="14"/>
      <c r="E208" s="86"/>
      <c r="F208" s="62">
        <f>SUM(F197:F207)</f>
        <v>2488</v>
      </c>
      <c r="G208" s="215">
        <f>SUM(G197:G207)</f>
        <v>39.299999999999997</v>
      </c>
      <c r="H208" s="63">
        <f>SUM(H197:H207)</f>
        <v>2448.6999999999998</v>
      </c>
      <c r="I208" s="14"/>
      <c r="K208" s="14"/>
      <c r="L208" s="14"/>
      <c r="M208" s="14"/>
      <c r="N208" s="14"/>
    </row>
    <row r="209" spans="1:14" x14ac:dyDescent="0.25">
      <c r="E209" s="38" t="s">
        <v>8</v>
      </c>
      <c r="F209" s="39">
        <f>TOTAL!K12</f>
        <v>3900</v>
      </c>
      <c r="G209" s="209" t="s">
        <v>16</v>
      </c>
      <c r="H209" s="71">
        <f>H208/F209%</f>
        <v>62.787179487179479</v>
      </c>
      <c r="I209" s="58" t="s">
        <v>10</v>
      </c>
    </row>
    <row r="210" spans="1:14" ht="15" thickBot="1" x14ac:dyDescent="0.3">
      <c r="B210" s="201"/>
      <c r="C210" s="3"/>
      <c r="D210" s="87"/>
      <c r="E210" s="88"/>
      <c r="F210" s="89"/>
      <c r="G210" s="212"/>
      <c r="H210" s="8"/>
      <c r="I210" s="14"/>
    </row>
    <row r="211" spans="1:14" ht="15" thickBot="1" x14ac:dyDescent="0.3">
      <c r="D211" s="288" t="s">
        <v>66</v>
      </c>
      <c r="E211" s="288"/>
      <c r="F211" s="288"/>
      <c r="G211" s="288"/>
      <c r="H211" s="91">
        <f>SUM(SUM(H3)+SUM(H69:H78)+SUM(H94:H96)+SUM(H127:H141)+SUM(H197))</f>
        <v>66289.83</v>
      </c>
      <c r="I211" s="14"/>
    </row>
    <row r="212" spans="1:14" ht="15" thickBot="1" x14ac:dyDescent="0.3">
      <c r="D212" s="285" t="s">
        <v>67</v>
      </c>
      <c r="E212" s="285"/>
      <c r="F212" s="285"/>
      <c r="G212" s="285"/>
      <c r="H212" s="92">
        <f>SUM(SUM(H4:H8)+SUM(H52:H53)+SUM(H97:H98)+SUM(H142:H146)+SUM(H198))</f>
        <v>120794.54000000001</v>
      </c>
      <c r="I212" s="14"/>
    </row>
    <row r="213" spans="1:14" ht="15" thickBot="1" x14ac:dyDescent="0.3">
      <c r="D213" s="286" t="s">
        <v>68</v>
      </c>
      <c r="E213" s="286"/>
      <c r="F213" s="286"/>
      <c r="G213" s="286"/>
      <c r="H213" s="93">
        <f>SUM(SUM(H9)+SUM(H54)+SUM(H79)+SUM(H99:H105)+SUM(H147:H165)+SUM(H199))</f>
        <v>59130.1</v>
      </c>
      <c r="I213" s="14"/>
    </row>
    <row r="214" spans="1:14" ht="15" thickBot="1" x14ac:dyDescent="0.3">
      <c r="D214" s="287" t="s">
        <v>69</v>
      </c>
      <c r="E214" s="287"/>
      <c r="F214" s="287"/>
      <c r="G214" s="287"/>
      <c r="H214" s="94">
        <f>SUM(SUM(H10:H20)+SUM(H55:H56)+SUM(H80:H85)+SUM(H106:H110)+SUM(H166:H176)+SUM(H200:H203))</f>
        <v>238936.94999999998</v>
      </c>
      <c r="I214" s="14"/>
    </row>
    <row r="215" spans="1:14" ht="15" thickBot="1" x14ac:dyDescent="0.3">
      <c r="D215" s="283" t="s">
        <v>70</v>
      </c>
      <c r="E215" s="283"/>
      <c r="F215" s="283"/>
      <c r="G215" s="283"/>
      <c r="H215" s="95">
        <f>SUM(SUM(H21:H24)+SUM(H111)+SUM(H177)+SUM(H204))</f>
        <v>103783.6</v>
      </c>
      <c r="I215" s="14"/>
    </row>
    <row r="216" spans="1:14" ht="15" thickBot="1" x14ac:dyDescent="0.3">
      <c r="D216" s="96"/>
      <c r="E216" s="97"/>
      <c r="F216" s="98"/>
      <c r="G216" s="212"/>
      <c r="H216" s="100">
        <f>SUM(H211:H215)</f>
        <v>588935.02</v>
      </c>
      <c r="I216" s="101">
        <f>SUM(H34,H47,H64,H89,H122,H180,H208)</f>
        <v>618794.31999999983</v>
      </c>
    </row>
    <row r="217" spans="1:14" x14ac:dyDescent="0.25">
      <c r="B217" s="180"/>
      <c r="C217" s="1"/>
      <c r="E217" s="70"/>
    </row>
    <row r="222" spans="1:14" s="104" customFormat="1" x14ac:dyDescent="0.25">
      <c r="A222" s="1"/>
      <c r="B222" s="205"/>
      <c r="C222" s="69"/>
      <c r="D222" s="1"/>
      <c r="E222" s="70"/>
      <c r="F222" s="73"/>
      <c r="G222" s="213"/>
      <c r="I222" s="1"/>
      <c r="J222" s="1"/>
      <c r="K222" s="1"/>
      <c r="L222" s="1"/>
      <c r="M222" s="1"/>
      <c r="N222" s="1"/>
    </row>
    <row r="223" spans="1:14" x14ac:dyDescent="0.25">
      <c r="K223" s="104"/>
      <c r="L223" s="104"/>
      <c r="M223" s="104"/>
      <c r="N223" s="104"/>
    </row>
    <row r="229" spans="1:14" s="104" customFormat="1" x14ac:dyDescent="0.25">
      <c r="A229" s="1"/>
      <c r="B229" s="205"/>
      <c r="C229" s="69"/>
      <c r="D229" s="1"/>
      <c r="E229" s="70"/>
      <c r="F229" s="73"/>
      <c r="G229" s="213"/>
      <c r="I229" s="1"/>
      <c r="J229" s="1"/>
      <c r="K229" s="1"/>
      <c r="L229" s="1"/>
      <c r="M229" s="1"/>
      <c r="N229" s="1"/>
    </row>
    <row r="230" spans="1:14" x14ac:dyDescent="0.25">
      <c r="K230" s="104"/>
      <c r="L230" s="104"/>
      <c r="M230" s="104"/>
      <c r="N230" s="104"/>
    </row>
  </sheetData>
  <sortState ref="B198:G203">
    <sortCondition ref="E198:E203"/>
    <sortCondition ref="B198:B203"/>
  </sortState>
  <mergeCells count="6">
    <mergeCell ref="D215:G215"/>
    <mergeCell ref="J1:N1"/>
    <mergeCell ref="D211:G211"/>
    <mergeCell ref="D212:G212"/>
    <mergeCell ref="D213:G213"/>
    <mergeCell ref="D214:G214"/>
  </mergeCells>
  <phoneticPr fontId="38" type="noConversion"/>
  <pageMargins left="0.75" right="0.75" top="1" bottom="1" header="0.49212598499999999" footer="0.49212598499999999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96</vt:i4>
      </vt:variant>
    </vt:vector>
  </HeadingPairs>
  <TitlesOfParts>
    <vt:vector size="109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TOTAL</vt:lpstr>
      <vt:lpstr>Abril!DadosExternos_1</vt:lpstr>
      <vt:lpstr>Agosto!DadosExternos_1</vt:lpstr>
      <vt:lpstr>Dezembro!DadosExternos_1</vt:lpstr>
      <vt:lpstr>Fevereiro!DadosExternos_1</vt:lpstr>
      <vt:lpstr>Janeiro!DadosExternos_1</vt:lpstr>
      <vt:lpstr>Julho!DadosExternos_1</vt:lpstr>
      <vt:lpstr>Junho!DadosExternos_1</vt:lpstr>
      <vt:lpstr>Maio!DadosExternos_1</vt:lpstr>
      <vt:lpstr>Março!DadosExternos_1</vt:lpstr>
      <vt:lpstr>Novembro!DadosExternos_1</vt:lpstr>
      <vt:lpstr>Outubro!DadosExternos_1</vt:lpstr>
      <vt:lpstr>Setembro!DadosExternos_1</vt:lpstr>
      <vt:lpstr>Abril!DadosExternos_2</vt:lpstr>
      <vt:lpstr>Agosto!DadosExternos_2</vt:lpstr>
      <vt:lpstr>Dezembro!DadosExternos_2</vt:lpstr>
      <vt:lpstr>Fevereiro!DadosExternos_2</vt:lpstr>
      <vt:lpstr>Janeiro!DadosExternos_2</vt:lpstr>
      <vt:lpstr>Julho!DadosExternos_2</vt:lpstr>
      <vt:lpstr>Junho!DadosExternos_2</vt:lpstr>
      <vt:lpstr>Maio!DadosExternos_2</vt:lpstr>
      <vt:lpstr>Março!DadosExternos_2</vt:lpstr>
      <vt:lpstr>Novembro!DadosExternos_2</vt:lpstr>
      <vt:lpstr>Outubro!DadosExternos_2</vt:lpstr>
      <vt:lpstr>Setembro!DadosExternos_2</vt:lpstr>
      <vt:lpstr>Abril!DadosExternos_3</vt:lpstr>
      <vt:lpstr>Agosto!DadosExternos_3</vt:lpstr>
      <vt:lpstr>Dezembro!DadosExternos_3</vt:lpstr>
      <vt:lpstr>Fevereiro!DadosExternos_3</vt:lpstr>
      <vt:lpstr>Janeiro!DadosExternos_3</vt:lpstr>
      <vt:lpstr>Julho!DadosExternos_3</vt:lpstr>
      <vt:lpstr>Junho!DadosExternos_3</vt:lpstr>
      <vt:lpstr>Maio!DadosExternos_3</vt:lpstr>
      <vt:lpstr>Março!DadosExternos_3</vt:lpstr>
      <vt:lpstr>Novembro!DadosExternos_3</vt:lpstr>
      <vt:lpstr>Outubro!DadosExternos_3</vt:lpstr>
      <vt:lpstr>Setembro!DadosExternos_3</vt:lpstr>
      <vt:lpstr>Abril!DadosExternos_4</vt:lpstr>
      <vt:lpstr>Agosto!DadosExternos_4</vt:lpstr>
      <vt:lpstr>Dezembro!DadosExternos_4</vt:lpstr>
      <vt:lpstr>Fevereiro!DadosExternos_4</vt:lpstr>
      <vt:lpstr>Janeiro!DadosExternos_4</vt:lpstr>
      <vt:lpstr>Julho!DadosExternos_4</vt:lpstr>
      <vt:lpstr>Junho!DadosExternos_4</vt:lpstr>
      <vt:lpstr>Maio!DadosExternos_4</vt:lpstr>
      <vt:lpstr>Março!DadosExternos_4</vt:lpstr>
      <vt:lpstr>Novembro!DadosExternos_4</vt:lpstr>
      <vt:lpstr>Outubro!DadosExternos_4</vt:lpstr>
      <vt:lpstr>Setembro!DadosExternos_4</vt:lpstr>
      <vt:lpstr>Abril!DadosExternos_5</vt:lpstr>
      <vt:lpstr>Agosto!DadosExternos_5</vt:lpstr>
      <vt:lpstr>Dezembro!DadosExternos_5</vt:lpstr>
      <vt:lpstr>Fevereiro!DadosExternos_5</vt:lpstr>
      <vt:lpstr>Janeiro!DadosExternos_5</vt:lpstr>
      <vt:lpstr>Julho!DadosExternos_5</vt:lpstr>
      <vt:lpstr>Junho!DadosExternos_5</vt:lpstr>
      <vt:lpstr>Maio!DadosExternos_5</vt:lpstr>
      <vt:lpstr>Março!DadosExternos_5</vt:lpstr>
      <vt:lpstr>Novembro!DadosExternos_5</vt:lpstr>
      <vt:lpstr>Outubro!DadosExternos_5</vt:lpstr>
      <vt:lpstr>Setembro!DadosExternos_5</vt:lpstr>
      <vt:lpstr>Abril!DadosExternos_6</vt:lpstr>
      <vt:lpstr>Agosto!DadosExternos_6</vt:lpstr>
      <vt:lpstr>Dezembro!DadosExternos_6</vt:lpstr>
      <vt:lpstr>Fevereiro!DadosExternos_6</vt:lpstr>
      <vt:lpstr>Janeiro!DadosExternos_6</vt:lpstr>
      <vt:lpstr>Julho!DadosExternos_6</vt:lpstr>
      <vt:lpstr>Junho!DadosExternos_6</vt:lpstr>
      <vt:lpstr>Maio!DadosExternos_6</vt:lpstr>
      <vt:lpstr>Março!DadosExternos_6</vt:lpstr>
      <vt:lpstr>Novembro!DadosExternos_6</vt:lpstr>
      <vt:lpstr>Outubro!DadosExternos_6</vt:lpstr>
      <vt:lpstr>Setembro!DadosExternos_6</vt:lpstr>
      <vt:lpstr>Abril!DadosExternos_7</vt:lpstr>
      <vt:lpstr>Agosto!DadosExternos_7</vt:lpstr>
      <vt:lpstr>Dezembro!DadosExternos_7</vt:lpstr>
      <vt:lpstr>Fevereiro!DadosExternos_7</vt:lpstr>
      <vt:lpstr>Janeiro!DadosExternos_7</vt:lpstr>
      <vt:lpstr>Julho!DadosExternos_7</vt:lpstr>
      <vt:lpstr>Junho!DadosExternos_7</vt:lpstr>
      <vt:lpstr>Maio!DadosExternos_7</vt:lpstr>
      <vt:lpstr>Março!DadosExternos_7</vt:lpstr>
      <vt:lpstr>Novembro!DadosExternos_7</vt:lpstr>
      <vt:lpstr>Outubro!DadosExternos_7</vt:lpstr>
      <vt:lpstr>Setembro!DadosExternos_7</vt:lpstr>
      <vt:lpstr>Abril!DadosExternos_8</vt:lpstr>
      <vt:lpstr>Agosto!DadosExternos_8</vt:lpstr>
      <vt:lpstr>Dezembro!DadosExternos_8</vt:lpstr>
      <vt:lpstr>Fevereiro!DadosExternos_8</vt:lpstr>
      <vt:lpstr>Janeiro!DadosExternos_8</vt:lpstr>
      <vt:lpstr>Julho!DadosExternos_8</vt:lpstr>
      <vt:lpstr>Junho!DadosExternos_8</vt:lpstr>
      <vt:lpstr>Maio!DadosExternos_8</vt:lpstr>
      <vt:lpstr>Março!DadosExternos_8</vt:lpstr>
      <vt:lpstr>Novembro!DadosExternos_8</vt:lpstr>
      <vt:lpstr>Outubro!DadosExternos_8</vt:lpstr>
      <vt:lpstr>Setembro!DadosExternos_8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 Brombatti</cp:lastModifiedBy>
  <cp:lastPrinted>2014-01-08T11:29:32Z</cp:lastPrinted>
  <dcterms:created xsi:type="dcterms:W3CDTF">2013-01-04T12:33:28Z</dcterms:created>
  <dcterms:modified xsi:type="dcterms:W3CDTF">2016-12-06T19:59:24Z</dcterms:modified>
</cp:coreProperties>
</file>