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álise Gráfica" sheetId="1" r:id="rId4"/>
    <sheet state="visible" name="Dados" sheetId="2" r:id="rId5"/>
  </sheets>
  <definedNames>
    <definedName hidden="1" localSheetId="1" name="_xlnm._FilterDatabase">Dados!$A$1:$M$1466</definedName>
  </definedNames>
  <calcPr/>
</workbook>
</file>

<file path=xl/sharedStrings.xml><?xml version="1.0" encoding="utf-8"?>
<sst xmlns="http://schemas.openxmlformats.org/spreadsheetml/2006/main" count="7345" uniqueCount="5677">
  <si>
    <t xml:space="preserve">Valores
</t>
  </si>
  <si>
    <t>Quantidade</t>
  </si>
  <si>
    <t>Média</t>
  </si>
  <si>
    <t>Média Ponderada</t>
  </si>
  <si>
    <t>Até 50 R$ 50,00</t>
  </si>
  <si>
    <t>Entre 50 e R$ 500,00</t>
  </si>
  <si>
    <t>Acima de R$ 500,00</t>
  </si>
  <si>
    <t>product_id</t>
  </si>
  <si>
    <t>product_name</t>
  </si>
  <si>
    <t>category</t>
  </si>
  <si>
    <t>category_geral</t>
  </si>
  <si>
    <t>subcategory</t>
  </si>
  <si>
    <t>actual_price</t>
  </si>
  <si>
    <t>product_price</t>
  </si>
  <si>
    <t>Percent</t>
  </si>
  <si>
    <t>Actual_price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</si>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</sst>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 -416]#,##0.00"/>
    <numFmt numFmtId="165" formatCode="[$₹]#,##0.00"/>
  </numFmts>
  <fonts count="4">
    <font>
      <sz val="10.0"/>
      <color rgb="FF000000"/>
      <name val="Arial"/>
      <scheme val="minor"/>
    </font>
    <font>
      <color theme="1"/>
      <name val="Arial"/>
      <scheme val="minor"/>
    </font>
    <font>
      <u/>
      <color rgb="FF0000FF"/>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Font="1" applyNumberFormat="1"/>
    <xf borderId="0" fillId="0" fontId="1" numFmtId="10" xfId="0" applyAlignment="1" applyFont="1" applyNumberFormat="1">
      <alignment readingOrder="0"/>
    </xf>
    <xf borderId="0" fillId="0" fontId="1" numFmtId="4" xfId="0" applyAlignment="1" applyFont="1" applyNumberFormat="1">
      <alignment readingOrder="0"/>
    </xf>
    <xf borderId="0" fillId="0" fontId="1" numFmtId="10" xfId="0" applyFont="1" applyNumberFormat="1"/>
    <xf borderId="0" fillId="0" fontId="2" numFmtId="0" xfId="0" applyAlignment="1" applyFont="1">
      <alignment readingOrder="0"/>
    </xf>
    <xf borderId="0" fillId="0" fontId="1" numFmtId="165" xfId="0" applyFont="1" applyNumberFormat="1"/>
    <xf borderId="0" fillId="0" fontId="3" numFmtId="2" xfId="0" applyAlignment="1" applyFont="1" applyNumberFormat="1">
      <alignmen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Valores de Vendas</a:t>
            </a:r>
          </a:p>
        </c:rich>
      </c:tx>
      <c:overlay val="0"/>
    </c:title>
    <c:plotArea>
      <c:layout/>
      <c:pieChart>
        <c:varyColors val="1"/>
        <c:ser>
          <c:idx val="0"/>
          <c:order val="0"/>
          <c:tx>
            <c:strRef>
              <c:f>'Análise Gráfica'!$B$1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'Análise Gráfica'!$A$2:$A$4</c:f>
            </c:strRef>
          </c:cat>
          <c:val>
            <c:numRef>
              <c:f>'Análise Gráfica'!$B$2:$B$4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a:t>
            </a:r>
          </a:p>
        </c:rich>
      </c:tx>
      <c:overlay val="0"/>
    </c:title>
    <c:plotArea>
      <c:layout/>
      <c:barChart>
        <c:barDir val="col"/>
        <c:ser>
          <c:idx val="0"/>
          <c:order val="0"/>
          <c:tx>
            <c:strRef>
              <c:f>'Análise Gráfica'!$B$1</c:f>
            </c:strRef>
          </c:tx>
          <c:spPr>
            <a:solidFill>
              <a:schemeClr val="accent1"/>
            </a:solidFill>
            <a:ln cmpd="sng">
              <a:solidFill>
                <a:srgbClr val="000000"/>
              </a:solidFill>
            </a:ln>
          </c:spPr>
          <c:val>
            <c:numRef>
              <c:f>'Análise Gráfica'!$B$2:$B$4</c:f>
              <c:numCache/>
            </c:numRef>
          </c:val>
        </c:ser>
        <c:axId val="386882105"/>
        <c:axId val="74416065"/>
      </c:barChart>
      <c:catAx>
        <c:axId val="386882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416065"/>
      </c:catAx>
      <c:valAx>
        <c:axId val="74416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68821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e Média</a:t>
            </a:r>
          </a:p>
        </c:rich>
      </c:tx>
      <c:overlay val="0"/>
    </c:title>
    <c:plotArea>
      <c:layout/>
      <c:scatterChart>
        <c:scatterStyle val="lineMarker"/>
        <c:ser>
          <c:idx val="0"/>
          <c:order val="0"/>
          <c:tx>
            <c:strRef>
              <c:f>'Análise Gráfica'!$B$1</c:f>
            </c:strRef>
          </c:tx>
          <c:spPr>
            <a:ln>
              <a:noFill/>
            </a:ln>
          </c:spPr>
          <c:marker>
            <c:symbol val="circle"/>
            <c:size val="7"/>
            <c:spPr>
              <a:solidFill>
                <a:schemeClr val="accent1"/>
              </a:solidFill>
              <a:ln cmpd="sng">
                <a:solidFill>
                  <a:schemeClr val="accent1"/>
                </a:solidFill>
              </a:ln>
            </c:spPr>
          </c:marker>
          <c:xVal>
            <c:numRef>
              <c:f>'Análise Gráfica'!$A$2:$A$4</c:f>
            </c:numRef>
          </c:xVal>
          <c:yVal>
            <c:numRef>
              <c:f>'Análise Gráfica'!$B$2:$B$4</c:f>
              <c:numCache/>
            </c:numRef>
          </c:yVal>
        </c:ser>
        <c:ser>
          <c:idx val="1"/>
          <c:order val="1"/>
          <c:tx>
            <c:strRef>
              <c:f>'Análise Gráfica'!$C$1</c:f>
            </c:strRef>
          </c:tx>
          <c:spPr>
            <a:ln>
              <a:noFill/>
            </a:ln>
          </c:spPr>
          <c:marker>
            <c:symbol val="circle"/>
            <c:size val="7"/>
            <c:spPr>
              <a:solidFill>
                <a:schemeClr val="accent2"/>
              </a:solidFill>
              <a:ln cmpd="sng">
                <a:solidFill>
                  <a:schemeClr val="accent2"/>
                </a:solidFill>
              </a:ln>
            </c:spPr>
          </c:marker>
          <c:xVal>
            <c:numRef>
              <c:f>'Análise Gráfica'!$A$2:$A$4</c:f>
            </c:numRef>
          </c:xVal>
          <c:yVal>
            <c:numRef>
              <c:f>'Análise Gráfica'!$C$2:$C$4</c:f>
              <c:numCache/>
            </c:numRef>
          </c:yVal>
        </c:ser>
        <c:dLbls>
          <c:showLegendKey val="0"/>
          <c:showVal val="0"/>
          <c:showCatName val="0"/>
          <c:showSerName val="0"/>
          <c:showPercent val="0"/>
          <c:showBubbleSize val="0"/>
        </c:dLbls>
        <c:axId val="1857874889"/>
        <c:axId val="808082157"/>
      </c:scatterChart>
      <c:valAx>
        <c:axId val="18578748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Valores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8082157"/>
      </c:valAx>
      <c:valAx>
        <c:axId val="808082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787488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190500</xdr:rowOff>
    </xdr:from>
    <xdr:ext cx="3000375" cy="18573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14</xdr:row>
      <xdr:rowOff>104775</xdr:rowOff>
    </xdr:from>
    <xdr:ext cx="2943225" cy="18573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104775</xdr:rowOff>
    </xdr:from>
    <xdr:ext cx="3000375" cy="18573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2.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c r="A1" s="1" t="s">
        <v>0</v>
      </c>
      <c r="B1" s="1" t="s">
        <v>1</v>
      </c>
      <c r="C1" s="1" t="s">
        <v>2</v>
      </c>
      <c r="E1" s="1" t="s">
        <v>3</v>
      </c>
    </row>
    <row r="2">
      <c r="A2" s="1" t="s">
        <v>4</v>
      </c>
      <c r="B2" s="2">
        <f>COUNTIF(Dados!I:I, "&lt;50")
</f>
        <v>745</v>
      </c>
      <c r="C2" s="3">
        <f>AVERAGEIF(Dados!I:I, "&lt;=50")
</f>
        <v>21.94306498</v>
      </c>
      <c r="E2" s="1">
        <f>SUMPRODUCT(Dados!J:J, Dados!K:K) / SUM(Dados!K:K)
</f>
        <v>4.464114875</v>
      </c>
    </row>
    <row r="3">
      <c r="A3" s="1" t="s">
        <v>5</v>
      </c>
      <c r="B3" s="2">
        <f>COUNTIF(Dados!I:I, "&gt;=50") - COUNTIF(Dados!I:I, "&gt;500")
</f>
        <v>571</v>
      </c>
      <c r="C3" s="3">
        <f>AVERAGEIFS(Dados!I:I, Dados!I:I, "&gt;50", Dados!I:I, "&lt;=500")
</f>
        <v>140.6172239</v>
      </c>
    </row>
    <row r="4">
      <c r="A4" s="1" t="s">
        <v>6</v>
      </c>
      <c r="B4" s="2">
        <f>COUNTIF(Dados!I:I, "&gt;500")
</f>
        <v>149</v>
      </c>
      <c r="C4" s="3">
        <f>AVERAGEIF(Dados!I:I, "&gt;500")
</f>
        <v>1194.272892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41.13"/>
  </cols>
  <sheetData>
    <row r="1">
      <c r="A1" s="1" t="s">
        <v>7</v>
      </c>
      <c r="B1" s="1" t="s">
        <v>8</v>
      </c>
      <c r="C1" s="1" t="s">
        <v>9</v>
      </c>
      <c r="D1" s="1" t="s">
        <v>10</v>
      </c>
      <c r="E1" s="1" t="s">
        <v>11</v>
      </c>
      <c r="F1" s="1" t="s">
        <v>12</v>
      </c>
      <c r="G1" s="1" t="s">
        <v>13</v>
      </c>
      <c r="H1" s="4" t="s">
        <v>14</v>
      </c>
      <c r="I1" s="1" t="s">
        <v>15</v>
      </c>
      <c r="J1" s="1" t="s">
        <v>16</v>
      </c>
      <c r="K1" s="1" t="s">
        <v>17</v>
      </c>
      <c r="L1" s="1" t="s">
        <v>18</v>
      </c>
      <c r="M1" s="1" t="s">
        <v>19</v>
      </c>
    </row>
    <row r="2">
      <c r="A2" s="1" t="s">
        <v>20</v>
      </c>
      <c r="B2" s="1" t="s">
        <v>21</v>
      </c>
      <c r="C2" s="1" t="s">
        <v>22</v>
      </c>
      <c r="D2" s="1" t="str">
        <f t="shared" ref="D2:D1466" si="1">LEFT(C2, SEARCH("|", C2) - 1)
</f>
        <v>Computers&amp;Accessories</v>
      </c>
      <c r="E2" s="1" t="str">
        <f t="shared" ref="E2:E1466" si="2">MID(C2, FIND("|", C2) + 1, FIND("|", C2, FIND("|", C2) + 1) - FIND("|", C2) - 1)
</f>
        <v>Accessories&amp;Peripherals</v>
      </c>
      <c r="F2" s="1">
        <v>399.0</v>
      </c>
      <c r="G2" s="5">
        <v>1099.0</v>
      </c>
      <c r="H2" s="6">
        <f t="shared" ref="H2:H1466" si="3">((F2 - G2) / G2) * -1</f>
        <v>0.6369426752</v>
      </c>
      <c r="I2" s="3">
        <f>IFERROR(__xludf.DUMMYFUNCTION("GOOGLEFINANCE(""CURRENCY:INRBRL"")*F2"),24.29965265889)</f>
        <v>24.29965266</v>
      </c>
      <c r="J2" s="1">
        <v>4.5</v>
      </c>
      <c r="K2" s="1">
        <v>24269.0</v>
      </c>
      <c r="L2" s="1" t="s">
        <v>23</v>
      </c>
      <c r="M2" s="7" t="s">
        <v>24</v>
      </c>
    </row>
    <row r="3">
      <c r="A3" s="1" t="s">
        <v>25</v>
      </c>
      <c r="B3" s="1" t="s">
        <v>26</v>
      </c>
      <c r="C3" s="1" t="s">
        <v>22</v>
      </c>
      <c r="D3" s="1" t="str">
        <f t="shared" si="1"/>
        <v>Computers&amp;Accessories</v>
      </c>
      <c r="E3" s="1" t="str">
        <f t="shared" si="2"/>
        <v>Accessories&amp;Peripherals</v>
      </c>
      <c r="F3" s="1">
        <v>199.0</v>
      </c>
      <c r="G3" s="1">
        <v>349.0</v>
      </c>
      <c r="H3" s="6">
        <f t="shared" si="3"/>
        <v>0.4297994269</v>
      </c>
      <c r="I3" s="3">
        <f>IFERROR(__xludf.DUMMYFUNCTION("GOOGLEFINANCE(""CURRENCY:INRBRL"")*F3"),12.11937563689)</f>
        <v>12.11937564</v>
      </c>
      <c r="J3" s="1">
        <v>4.0</v>
      </c>
      <c r="K3" s="1">
        <v>43994.0</v>
      </c>
      <c r="L3" s="1" t="s">
        <v>27</v>
      </c>
      <c r="M3" s="7" t="s">
        <v>28</v>
      </c>
    </row>
    <row r="4">
      <c r="A4" s="1" t="s">
        <v>29</v>
      </c>
      <c r="B4" s="1" t="s">
        <v>30</v>
      </c>
      <c r="C4" s="1" t="s">
        <v>22</v>
      </c>
      <c r="D4" s="1" t="str">
        <f t="shared" si="1"/>
        <v>Computers&amp;Accessories</v>
      </c>
      <c r="E4" s="1" t="str">
        <f t="shared" si="2"/>
        <v>Accessories&amp;Peripherals</v>
      </c>
      <c r="F4" s="1">
        <v>199.0</v>
      </c>
      <c r="G4" s="5">
        <v>1899.0</v>
      </c>
      <c r="H4" s="6">
        <f t="shared" si="3"/>
        <v>0.8952080042</v>
      </c>
      <c r="I4" s="3">
        <f>IFERROR(__xludf.DUMMYFUNCTION("GOOGLEFINANCE(""CURRENCY:INRBRL"")*F4"),12.11937563689)</f>
        <v>12.11937564</v>
      </c>
      <c r="J4" s="1">
        <v>4.52</v>
      </c>
      <c r="K4" s="1">
        <v>7928.0</v>
      </c>
      <c r="L4" s="1" t="s">
        <v>31</v>
      </c>
      <c r="M4" s="7" t="s">
        <v>32</v>
      </c>
    </row>
    <row r="5">
      <c r="A5" s="1" t="s">
        <v>33</v>
      </c>
      <c r="B5" s="1" t="s">
        <v>34</v>
      </c>
      <c r="C5" s="1" t="s">
        <v>22</v>
      </c>
      <c r="D5" s="1" t="str">
        <f t="shared" si="1"/>
        <v>Computers&amp;Accessories</v>
      </c>
      <c r="E5" s="1" t="str">
        <f t="shared" si="2"/>
        <v>Accessories&amp;Peripherals</v>
      </c>
      <c r="F5" s="1">
        <v>329.0</v>
      </c>
      <c r="G5" s="1">
        <v>699.0</v>
      </c>
      <c r="H5" s="6">
        <f t="shared" si="3"/>
        <v>0.5293276109</v>
      </c>
      <c r="I5" s="3">
        <f>IFERROR(__xludf.DUMMYFUNCTION("GOOGLEFINANCE(""CURRENCY:INRBRL"")*F5"),20.03655570119)</f>
        <v>20.0365557</v>
      </c>
      <c r="J5" s="1">
        <v>4.5</v>
      </c>
      <c r="K5" s="1">
        <v>94363.0</v>
      </c>
      <c r="L5" s="1" t="s">
        <v>35</v>
      </c>
      <c r="M5" s="7" t="s">
        <v>36</v>
      </c>
    </row>
    <row r="6">
      <c r="A6" s="1" t="s">
        <v>37</v>
      </c>
      <c r="B6" s="1" t="s">
        <v>38</v>
      </c>
      <c r="C6" s="1" t="s">
        <v>22</v>
      </c>
      <c r="D6" s="1" t="str">
        <f t="shared" si="1"/>
        <v>Computers&amp;Accessories</v>
      </c>
      <c r="E6" s="1" t="str">
        <f t="shared" si="2"/>
        <v>Accessories&amp;Peripherals</v>
      </c>
      <c r="F6" s="1">
        <v>154.0</v>
      </c>
      <c r="G6" s="1">
        <v>399.0</v>
      </c>
      <c r="H6" s="6">
        <f t="shared" si="3"/>
        <v>0.6140350877</v>
      </c>
      <c r="I6" s="3">
        <f>IFERROR(__xludf.DUMMYFUNCTION("GOOGLEFINANCE(""CURRENCY:INRBRL"")*F6"),9.37881330694)</f>
        <v>9.378813307</v>
      </c>
      <c r="J6" s="1">
        <v>4.5</v>
      </c>
      <c r="K6" s="1">
        <v>16905.0</v>
      </c>
      <c r="L6" s="1" t="s">
        <v>39</v>
      </c>
      <c r="M6" s="7" t="s">
        <v>40</v>
      </c>
    </row>
    <row r="7">
      <c r="A7" s="1" t="s">
        <v>41</v>
      </c>
      <c r="B7" s="1" t="s">
        <v>42</v>
      </c>
      <c r="C7" s="1" t="s">
        <v>22</v>
      </c>
      <c r="D7" s="1" t="str">
        <f t="shared" si="1"/>
        <v>Computers&amp;Accessories</v>
      </c>
      <c r="E7" s="1" t="str">
        <f t="shared" si="2"/>
        <v>Accessories&amp;Peripherals</v>
      </c>
      <c r="F7" s="1">
        <v>149.0</v>
      </c>
      <c r="G7" s="1">
        <v>999.0</v>
      </c>
      <c r="H7" s="6">
        <f t="shared" si="3"/>
        <v>0.8508508509</v>
      </c>
      <c r="I7" s="3">
        <f>IFERROR(__xludf.DUMMYFUNCTION("GOOGLEFINANCE(""CURRENCY:INRBRL"")*F7"),9.07430638139)</f>
        <v>9.074306381</v>
      </c>
      <c r="J7" s="1">
        <v>4.52</v>
      </c>
      <c r="K7" s="1">
        <v>24871.0</v>
      </c>
      <c r="L7" s="1" t="s">
        <v>43</v>
      </c>
      <c r="M7" s="7" t="s">
        <v>44</v>
      </c>
    </row>
    <row r="8">
      <c r="A8" s="1" t="s">
        <v>45</v>
      </c>
      <c r="B8" s="1" t="s">
        <v>46</v>
      </c>
      <c r="C8" s="1" t="s">
        <v>22</v>
      </c>
      <c r="D8" s="1" t="str">
        <f t="shared" si="1"/>
        <v>Computers&amp;Accessories</v>
      </c>
      <c r="E8" s="1" t="str">
        <f t="shared" si="2"/>
        <v>Accessories&amp;Peripherals</v>
      </c>
      <c r="F8" s="1">
        <v>176.63</v>
      </c>
      <c r="G8" s="1">
        <v>499.0</v>
      </c>
      <c r="H8" s="6">
        <f t="shared" si="3"/>
        <v>0.6460320641</v>
      </c>
      <c r="I8" s="3">
        <f>IFERROR(__xludf.DUMMYFUNCTION("GOOGLEFINANCE(""CURRENCY:INRBRL"")*F8"),10.7570116519793)</f>
        <v>10.75701165</v>
      </c>
      <c r="J8" s="1">
        <v>4.49</v>
      </c>
      <c r="K8" s="1">
        <v>15188.0</v>
      </c>
      <c r="L8" s="1" t="s">
        <v>47</v>
      </c>
      <c r="M8" s="7" t="s">
        <v>48</v>
      </c>
    </row>
    <row r="9">
      <c r="A9" s="1" t="s">
        <v>49</v>
      </c>
      <c r="B9" s="1" t="s">
        <v>50</v>
      </c>
      <c r="C9" s="1" t="s">
        <v>22</v>
      </c>
      <c r="D9" s="1" t="str">
        <f t="shared" si="1"/>
        <v>Computers&amp;Accessories</v>
      </c>
      <c r="E9" s="1" t="str">
        <f t="shared" si="2"/>
        <v>Accessories&amp;Peripherals</v>
      </c>
      <c r="F9" s="1">
        <v>229.0</v>
      </c>
      <c r="G9" s="1">
        <v>299.0</v>
      </c>
      <c r="H9" s="6">
        <f t="shared" si="3"/>
        <v>0.2341137124</v>
      </c>
      <c r="I9" s="3">
        <f>IFERROR(__xludf.DUMMYFUNCTION("GOOGLEFINANCE(""CURRENCY:INRBRL"")*F9"),13.94641719019)</f>
        <v>13.94641719</v>
      </c>
      <c r="J9" s="1">
        <v>4.5</v>
      </c>
      <c r="K9" s="1">
        <v>30411.0</v>
      </c>
      <c r="L9" s="1" t="s">
        <v>51</v>
      </c>
      <c r="M9" s="7" t="s">
        <v>52</v>
      </c>
    </row>
    <row r="10">
      <c r="A10" s="1" t="s">
        <v>53</v>
      </c>
      <c r="B10" s="1" t="s">
        <v>54</v>
      </c>
      <c r="C10" s="1" t="s">
        <v>55</v>
      </c>
      <c r="D10" s="1" t="str">
        <f t="shared" si="1"/>
        <v>Computers&amp;Accessories</v>
      </c>
      <c r="E10" s="1" t="str">
        <f t="shared" si="2"/>
        <v>NetworkingDevices</v>
      </c>
      <c r="F10" s="1">
        <v>499.0</v>
      </c>
      <c r="G10" s="1">
        <v>999.0</v>
      </c>
      <c r="H10" s="6">
        <f t="shared" si="3"/>
        <v>0.5005005005</v>
      </c>
      <c r="I10" s="3">
        <f>IFERROR(__xludf.DUMMYFUNCTION("GOOGLEFINANCE(""CURRENCY:INRBRL"")*F10"),30.38979116989)</f>
        <v>30.38979117</v>
      </c>
      <c r="J10" s="1">
        <v>4.5</v>
      </c>
      <c r="K10" s="1">
        <v>179691.0</v>
      </c>
      <c r="L10" s="1" t="s">
        <v>56</v>
      </c>
      <c r="M10" s="7" t="s">
        <v>57</v>
      </c>
    </row>
    <row r="11">
      <c r="A11" s="1" t="s">
        <v>58</v>
      </c>
      <c r="B11" s="1" t="s">
        <v>59</v>
      </c>
      <c r="C11" s="1" t="s">
        <v>22</v>
      </c>
      <c r="D11" s="1" t="str">
        <f t="shared" si="1"/>
        <v>Computers&amp;Accessories</v>
      </c>
      <c r="E11" s="1" t="str">
        <f t="shared" si="2"/>
        <v>Accessories&amp;Peripherals</v>
      </c>
      <c r="F11" s="1">
        <v>199.0</v>
      </c>
      <c r="G11" s="1">
        <v>299.0</v>
      </c>
      <c r="H11" s="6">
        <f t="shared" si="3"/>
        <v>0.3344481605</v>
      </c>
      <c r="I11" s="3">
        <f>IFERROR(__xludf.DUMMYFUNCTION("GOOGLEFINANCE(""CURRENCY:INRBRL"")*F11"),12.11937563689)</f>
        <v>12.11937564</v>
      </c>
      <c r="J11" s="1">
        <v>4.0</v>
      </c>
      <c r="K11" s="1">
        <v>43994.0</v>
      </c>
      <c r="L11" s="1" t="s">
        <v>60</v>
      </c>
      <c r="M11" s="7" t="s">
        <v>61</v>
      </c>
    </row>
    <row r="12">
      <c r="A12" s="1" t="s">
        <v>62</v>
      </c>
      <c r="B12" s="1" t="s">
        <v>63</v>
      </c>
      <c r="C12" s="1" t="s">
        <v>22</v>
      </c>
      <c r="D12" s="1" t="str">
        <f t="shared" si="1"/>
        <v>Computers&amp;Accessories</v>
      </c>
      <c r="E12" s="1" t="str">
        <f t="shared" si="2"/>
        <v>Accessories&amp;Peripherals</v>
      </c>
      <c r="F12" s="1">
        <v>154.0</v>
      </c>
      <c r="G12" s="1">
        <v>339.0</v>
      </c>
      <c r="H12" s="6">
        <f t="shared" si="3"/>
        <v>0.5457227139</v>
      </c>
      <c r="I12" s="3">
        <f>IFERROR(__xludf.DUMMYFUNCTION("GOOGLEFINANCE(""CURRENCY:INRBRL"")*F12"),9.37881330694)</f>
        <v>9.378813307</v>
      </c>
      <c r="J12" s="1">
        <v>4.5</v>
      </c>
      <c r="K12" s="1">
        <v>13391.0</v>
      </c>
      <c r="L12" s="1" t="s">
        <v>64</v>
      </c>
      <c r="M12" s="7" t="s">
        <v>65</v>
      </c>
    </row>
    <row r="13">
      <c r="A13" s="1" t="s">
        <v>66</v>
      </c>
      <c r="B13" s="1" t="s">
        <v>67</v>
      </c>
      <c r="C13" s="1" t="s">
        <v>22</v>
      </c>
      <c r="D13" s="1" t="str">
        <f t="shared" si="1"/>
        <v>Computers&amp;Accessories</v>
      </c>
      <c r="E13" s="1" t="str">
        <f t="shared" si="2"/>
        <v>Accessories&amp;Peripherals</v>
      </c>
      <c r="F13" s="1">
        <v>299.0</v>
      </c>
      <c r="G13" s="1">
        <v>799.0</v>
      </c>
      <c r="H13" s="6">
        <f t="shared" si="3"/>
        <v>0.6257822278</v>
      </c>
      <c r="I13" s="3">
        <f>IFERROR(__xludf.DUMMYFUNCTION("GOOGLEFINANCE(""CURRENCY:INRBRL"")*F13"),18.209514147889998)</f>
        <v>18.20951415</v>
      </c>
      <c r="J13" s="1">
        <v>4.5</v>
      </c>
      <c r="K13" s="1">
        <v>94363.0</v>
      </c>
      <c r="L13" s="1" t="s">
        <v>68</v>
      </c>
      <c r="M13" s="7" t="s">
        <v>69</v>
      </c>
    </row>
    <row r="14">
      <c r="A14" s="1" t="s">
        <v>70</v>
      </c>
      <c r="B14" s="1" t="s">
        <v>71</v>
      </c>
      <c r="C14" s="1" t="s">
        <v>72</v>
      </c>
      <c r="D14" s="1" t="str">
        <f t="shared" si="1"/>
        <v>Electronics</v>
      </c>
      <c r="E14" s="1" t="str">
        <f t="shared" si="2"/>
        <v>HomeTheater,TV&amp;Video</v>
      </c>
      <c r="F14" s="1">
        <v>219.0</v>
      </c>
      <c r="G14" s="1">
        <v>700.0</v>
      </c>
      <c r="H14" s="6">
        <f t="shared" si="3"/>
        <v>0.6871428571</v>
      </c>
      <c r="I14" s="3">
        <f>IFERROR(__xludf.DUMMYFUNCTION("GOOGLEFINANCE(""CURRENCY:INRBRL"")*F14"),13.337403339089999)</f>
        <v>13.33740334</v>
      </c>
      <c r="J14" s="1">
        <v>4.5</v>
      </c>
      <c r="K14" s="1">
        <v>426973.0</v>
      </c>
      <c r="L14" s="1" t="s">
        <v>73</v>
      </c>
      <c r="M14" s="7" t="s">
        <v>74</v>
      </c>
    </row>
    <row r="15">
      <c r="A15" s="1" t="s">
        <v>75</v>
      </c>
      <c r="B15" s="1" t="s">
        <v>76</v>
      </c>
      <c r="C15" s="1" t="s">
        <v>22</v>
      </c>
      <c r="D15" s="1" t="str">
        <f t="shared" si="1"/>
        <v>Computers&amp;Accessories</v>
      </c>
      <c r="E15" s="1" t="str">
        <f t="shared" si="2"/>
        <v>Accessories&amp;Peripherals</v>
      </c>
      <c r="F15" s="1">
        <v>350.0</v>
      </c>
      <c r="G15" s="1">
        <v>899.0</v>
      </c>
      <c r="H15" s="6">
        <f t="shared" si="3"/>
        <v>0.6106785317</v>
      </c>
      <c r="I15" s="3">
        <f>IFERROR(__xludf.DUMMYFUNCTION("GOOGLEFINANCE(""CURRENCY:INRBRL"")*F15"),21.315484788499997)</f>
        <v>21.31548479</v>
      </c>
      <c r="J15" s="1">
        <v>4.5</v>
      </c>
      <c r="K15" s="1">
        <v>2262.0</v>
      </c>
      <c r="L15" s="1" t="s">
        <v>77</v>
      </c>
      <c r="M15" s="7" t="s">
        <v>78</v>
      </c>
    </row>
    <row r="16">
      <c r="A16" s="1" t="s">
        <v>79</v>
      </c>
      <c r="B16" s="1" t="s">
        <v>80</v>
      </c>
      <c r="C16" s="1" t="s">
        <v>22</v>
      </c>
      <c r="D16" s="1" t="str">
        <f t="shared" si="1"/>
        <v>Computers&amp;Accessories</v>
      </c>
      <c r="E16" s="1" t="str">
        <f t="shared" si="2"/>
        <v>Accessories&amp;Peripherals</v>
      </c>
      <c r="F16" s="1">
        <v>159.0</v>
      </c>
      <c r="G16" s="1">
        <v>399.0</v>
      </c>
      <c r="H16" s="6">
        <f t="shared" si="3"/>
        <v>0.6015037594</v>
      </c>
      <c r="I16" s="3">
        <f>IFERROR(__xludf.DUMMYFUNCTION("GOOGLEFINANCE(""CURRENCY:INRBRL"")*F16"),9.683320232489999)</f>
        <v>9.683320232</v>
      </c>
      <c r="J16" s="1">
        <v>4.49</v>
      </c>
      <c r="K16" s="1">
        <v>4768.0</v>
      </c>
      <c r="L16" s="1" t="s">
        <v>39</v>
      </c>
      <c r="M16" s="7" t="s">
        <v>81</v>
      </c>
    </row>
    <row r="17">
      <c r="A17" s="1" t="s">
        <v>82</v>
      </c>
      <c r="B17" s="1" t="s">
        <v>83</v>
      </c>
      <c r="C17" s="1" t="s">
        <v>22</v>
      </c>
      <c r="D17" s="1" t="str">
        <f t="shared" si="1"/>
        <v>Computers&amp;Accessories</v>
      </c>
      <c r="E17" s="1" t="str">
        <f t="shared" si="2"/>
        <v>Accessories&amp;Peripherals</v>
      </c>
      <c r="F17" s="1">
        <v>349.0</v>
      </c>
      <c r="G17" s="1">
        <v>399.0</v>
      </c>
      <c r="H17" s="6">
        <f t="shared" si="3"/>
        <v>0.1253132832</v>
      </c>
      <c r="I17" s="3">
        <f>IFERROR(__xludf.DUMMYFUNCTION("GOOGLEFINANCE(""CURRENCY:INRBRL"")*F17"),21.25458340339)</f>
        <v>21.2545834</v>
      </c>
      <c r="J17" s="1">
        <v>4.5</v>
      </c>
      <c r="K17" s="1">
        <v>18757.0</v>
      </c>
      <c r="L17" s="1" t="s">
        <v>84</v>
      </c>
      <c r="M17" s="7" t="s">
        <v>85</v>
      </c>
    </row>
    <row r="18">
      <c r="A18" s="1" t="s">
        <v>86</v>
      </c>
      <c r="B18" s="1" t="s">
        <v>87</v>
      </c>
      <c r="C18" s="1" t="s">
        <v>88</v>
      </c>
      <c r="D18" s="1" t="str">
        <f t="shared" si="1"/>
        <v>Electronics</v>
      </c>
      <c r="E18" s="1" t="str">
        <f t="shared" si="2"/>
        <v>HomeTheater,TV&amp;Video</v>
      </c>
      <c r="F18" s="5">
        <v>13999.0</v>
      </c>
      <c r="G18" s="5">
        <v>24999.0</v>
      </c>
      <c r="H18" s="6">
        <f t="shared" si="3"/>
        <v>0.4400176007</v>
      </c>
      <c r="I18" s="3">
        <f>IFERROR(__xludf.DUMMYFUNCTION("GOOGLEFINANCE(""CURRENCY:INRBRL"")*F18"),852.5584901548899)</f>
        <v>852.5584902</v>
      </c>
      <c r="J18" s="1">
        <v>4.5</v>
      </c>
      <c r="K18" s="1">
        <v>3284.0</v>
      </c>
      <c r="L18" s="1" t="s">
        <v>89</v>
      </c>
      <c r="M18" s="7" t="s">
        <v>90</v>
      </c>
    </row>
    <row r="19">
      <c r="A19" s="1" t="s">
        <v>91</v>
      </c>
      <c r="B19" s="1" t="s">
        <v>92</v>
      </c>
      <c r="C19" s="1" t="s">
        <v>22</v>
      </c>
      <c r="D19" s="1" t="str">
        <f t="shared" si="1"/>
        <v>Computers&amp;Accessories</v>
      </c>
      <c r="E19" s="1" t="str">
        <f t="shared" si="2"/>
        <v>Accessories&amp;Peripherals</v>
      </c>
      <c r="F19" s="1">
        <v>249.0</v>
      </c>
      <c r="G19" s="1">
        <v>399.0</v>
      </c>
      <c r="H19" s="6">
        <f t="shared" si="3"/>
        <v>0.3759398496</v>
      </c>
      <c r="I19" s="3">
        <f>IFERROR(__xludf.DUMMYFUNCTION("GOOGLEFINANCE(""CURRENCY:INRBRL"")*F19"),15.16444489239)</f>
        <v>15.16444489</v>
      </c>
      <c r="J19" s="1">
        <v>4.0</v>
      </c>
      <c r="K19" s="1">
        <v>43994.0</v>
      </c>
      <c r="L19" s="1" t="s">
        <v>93</v>
      </c>
      <c r="M19" s="7" t="s">
        <v>94</v>
      </c>
    </row>
    <row r="20">
      <c r="A20" s="1" t="s">
        <v>95</v>
      </c>
      <c r="B20" s="1" t="s">
        <v>96</v>
      </c>
      <c r="C20" s="1" t="s">
        <v>22</v>
      </c>
      <c r="D20" s="1" t="str">
        <f t="shared" si="1"/>
        <v>Computers&amp;Accessories</v>
      </c>
      <c r="E20" s="1" t="str">
        <f t="shared" si="2"/>
        <v>Accessories&amp;Peripherals</v>
      </c>
      <c r="F20" s="1">
        <v>199.0</v>
      </c>
      <c r="G20" s="1">
        <v>499.0</v>
      </c>
      <c r="H20" s="6">
        <f t="shared" si="3"/>
        <v>0.6012024048</v>
      </c>
      <c r="I20" s="3">
        <f>IFERROR(__xludf.DUMMYFUNCTION("GOOGLEFINANCE(""CURRENCY:INRBRL"")*F20"),12.11937563689)</f>
        <v>12.11937564</v>
      </c>
      <c r="J20" s="1">
        <v>4.49</v>
      </c>
      <c r="K20" s="1">
        <v>13045.0</v>
      </c>
      <c r="L20" s="1" t="s">
        <v>97</v>
      </c>
      <c r="M20" s="7" t="s">
        <v>98</v>
      </c>
    </row>
    <row r="21">
      <c r="A21" s="1" t="s">
        <v>99</v>
      </c>
      <c r="B21" s="1" t="s">
        <v>100</v>
      </c>
      <c r="C21" s="1" t="s">
        <v>88</v>
      </c>
      <c r="D21" s="1" t="str">
        <f t="shared" si="1"/>
        <v>Electronics</v>
      </c>
      <c r="E21" s="1" t="str">
        <f t="shared" si="2"/>
        <v>HomeTheater,TV&amp;Video</v>
      </c>
      <c r="F21" s="5">
        <v>13489.0</v>
      </c>
      <c r="G21" s="5">
        <v>21989.0</v>
      </c>
      <c r="H21" s="6">
        <f t="shared" si="3"/>
        <v>0.3865569148</v>
      </c>
      <c r="I21" s="3">
        <f>IFERROR(__xludf.DUMMYFUNCTION("GOOGLEFINANCE(""CURRENCY:INRBRL"")*F21"),821.49878374879)</f>
        <v>821.4987837</v>
      </c>
      <c r="J21" s="1">
        <v>4.5</v>
      </c>
      <c r="K21" s="1">
        <v>11976.0</v>
      </c>
      <c r="L21" s="1" t="s">
        <v>101</v>
      </c>
      <c r="M21" s="7" t="s">
        <v>102</v>
      </c>
    </row>
    <row r="22">
      <c r="A22" s="1" t="s">
        <v>103</v>
      </c>
      <c r="B22" s="1" t="s">
        <v>104</v>
      </c>
      <c r="C22" s="1" t="s">
        <v>22</v>
      </c>
      <c r="D22" s="1" t="str">
        <f t="shared" si="1"/>
        <v>Computers&amp;Accessories</v>
      </c>
      <c r="E22" s="1" t="str">
        <f t="shared" si="2"/>
        <v>Accessories&amp;Peripherals</v>
      </c>
      <c r="F22" s="1">
        <v>970.0</v>
      </c>
      <c r="G22" s="5">
        <v>1799.0</v>
      </c>
      <c r="H22" s="6">
        <f t="shared" si="3"/>
        <v>0.460811562</v>
      </c>
      <c r="I22" s="3">
        <f>IFERROR(__xludf.DUMMYFUNCTION("GOOGLEFINANCE(""CURRENCY:INRBRL"")*F22"),59.0743435567)</f>
        <v>59.07434356</v>
      </c>
      <c r="J22" s="1">
        <v>4.51</v>
      </c>
      <c r="K22" s="1">
        <v>815.0</v>
      </c>
      <c r="L22" s="1" t="s">
        <v>105</v>
      </c>
      <c r="M22" s="7" t="s">
        <v>106</v>
      </c>
    </row>
    <row r="23">
      <c r="A23" s="1" t="s">
        <v>107</v>
      </c>
      <c r="B23" s="1" t="s">
        <v>108</v>
      </c>
      <c r="C23" s="1" t="s">
        <v>72</v>
      </c>
      <c r="D23" s="1" t="str">
        <f t="shared" si="1"/>
        <v>Electronics</v>
      </c>
      <c r="E23" s="1" t="str">
        <f t="shared" si="2"/>
        <v>HomeTheater,TV&amp;Video</v>
      </c>
      <c r="F23" s="1">
        <v>279.0</v>
      </c>
      <c r="G23" s="1">
        <v>499.0</v>
      </c>
      <c r="H23" s="6">
        <f t="shared" si="3"/>
        <v>0.4408817635</v>
      </c>
      <c r="I23" s="3">
        <f>IFERROR(__xludf.DUMMYFUNCTION("GOOGLEFINANCE(""CURRENCY:INRBRL"")*F23"),16.99148644569)</f>
        <v>16.99148645</v>
      </c>
      <c r="J23" s="1">
        <v>4.51</v>
      </c>
      <c r="K23" s="1">
        <v>10962.0</v>
      </c>
      <c r="L23" s="1" t="s">
        <v>109</v>
      </c>
      <c r="M23" s="7" t="s">
        <v>110</v>
      </c>
    </row>
    <row r="24">
      <c r="A24" s="1" t="s">
        <v>111</v>
      </c>
      <c r="B24" s="1" t="s">
        <v>112</v>
      </c>
      <c r="C24" s="1" t="s">
        <v>88</v>
      </c>
      <c r="D24" s="1" t="str">
        <f t="shared" si="1"/>
        <v>Electronics</v>
      </c>
      <c r="E24" s="1" t="str">
        <f t="shared" si="2"/>
        <v>HomeTheater,TV&amp;Video</v>
      </c>
      <c r="F24" s="5">
        <v>13490.0</v>
      </c>
      <c r="G24" s="5">
        <v>22900.0</v>
      </c>
      <c r="H24" s="6">
        <f t="shared" si="3"/>
        <v>0.4109170306</v>
      </c>
      <c r="I24" s="3">
        <f>IFERROR(__xludf.DUMMYFUNCTION("GOOGLEFINANCE(""CURRENCY:INRBRL"")*F24"),821.5596851339)</f>
        <v>821.5596851</v>
      </c>
      <c r="J24" s="1">
        <v>4.5</v>
      </c>
      <c r="K24" s="1">
        <v>16299.0</v>
      </c>
      <c r="L24" s="1" t="s">
        <v>113</v>
      </c>
      <c r="M24" s="7" t="s">
        <v>114</v>
      </c>
    </row>
    <row r="25">
      <c r="A25" s="1" t="s">
        <v>115</v>
      </c>
      <c r="B25" s="1" t="s">
        <v>116</v>
      </c>
      <c r="C25" s="1" t="s">
        <v>22</v>
      </c>
      <c r="D25" s="1" t="str">
        <f t="shared" si="1"/>
        <v>Computers&amp;Accessories</v>
      </c>
      <c r="E25" s="1" t="str">
        <f t="shared" si="2"/>
        <v>Accessories&amp;Peripherals</v>
      </c>
      <c r="F25" s="1">
        <v>59.0</v>
      </c>
      <c r="G25" s="1">
        <v>199.0</v>
      </c>
      <c r="H25" s="6">
        <f t="shared" si="3"/>
        <v>0.7035175879</v>
      </c>
      <c r="I25" s="3">
        <f>IFERROR(__xludf.DUMMYFUNCTION("GOOGLEFINANCE(""CURRENCY:INRBRL"")*F25"),3.5931817214899997)</f>
        <v>3.593181721</v>
      </c>
      <c r="J25" s="1">
        <v>4.0</v>
      </c>
      <c r="K25" s="1">
        <v>9378.0</v>
      </c>
      <c r="L25" s="1" t="s">
        <v>117</v>
      </c>
      <c r="M25" s="7" t="s">
        <v>118</v>
      </c>
    </row>
    <row r="26">
      <c r="A26" s="1" t="s">
        <v>119</v>
      </c>
      <c r="B26" s="1" t="s">
        <v>120</v>
      </c>
      <c r="C26" s="1" t="s">
        <v>88</v>
      </c>
      <c r="D26" s="1" t="str">
        <f t="shared" si="1"/>
        <v>Electronics</v>
      </c>
      <c r="E26" s="1" t="str">
        <f t="shared" si="2"/>
        <v>HomeTheater,TV&amp;Video</v>
      </c>
      <c r="F26" s="5">
        <v>11499.0</v>
      </c>
      <c r="G26" s="5">
        <v>19999.0</v>
      </c>
      <c r="H26" s="6">
        <f t="shared" si="3"/>
        <v>0.4250212511</v>
      </c>
      <c r="I26" s="3">
        <f>IFERROR(__xludf.DUMMYFUNCTION("GOOGLEFINANCE(""CURRENCY:INRBRL"")*F26"),700.30502737989)</f>
        <v>700.3050274</v>
      </c>
      <c r="J26" s="1">
        <v>4.5</v>
      </c>
      <c r="K26" s="1">
        <v>4703.0</v>
      </c>
      <c r="L26" s="1" t="s">
        <v>121</v>
      </c>
      <c r="M26" s="7" t="s">
        <v>122</v>
      </c>
    </row>
    <row r="27">
      <c r="A27" s="1" t="s">
        <v>123</v>
      </c>
      <c r="B27" s="1" t="s">
        <v>124</v>
      </c>
      <c r="C27" s="1" t="s">
        <v>72</v>
      </c>
      <c r="D27" s="1" t="str">
        <f t="shared" si="1"/>
        <v>Electronics</v>
      </c>
      <c r="E27" s="1" t="str">
        <f t="shared" si="2"/>
        <v>HomeTheater,TV&amp;Video</v>
      </c>
      <c r="F27" s="1">
        <v>199.0</v>
      </c>
      <c r="G27" s="1">
        <v>699.0</v>
      </c>
      <c r="H27" s="6">
        <f t="shared" si="3"/>
        <v>0.7153075823</v>
      </c>
      <c r="I27" s="3">
        <f>IFERROR(__xludf.DUMMYFUNCTION("GOOGLEFINANCE(""CURRENCY:INRBRL"")*F27"),12.11937563689)</f>
        <v>12.11937564</v>
      </c>
      <c r="J27" s="1">
        <v>4.5</v>
      </c>
      <c r="K27" s="1">
        <v>12153.0</v>
      </c>
      <c r="L27" s="1" t="s">
        <v>125</v>
      </c>
      <c r="M27" s="7" t="s">
        <v>126</v>
      </c>
    </row>
    <row r="28">
      <c r="A28" s="1" t="s">
        <v>127</v>
      </c>
      <c r="B28" s="1" t="s">
        <v>128</v>
      </c>
      <c r="C28" s="1" t="s">
        <v>88</v>
      </c>
      <c r="D28" s="1" t="str">
        <f t="shared" si="1"/>
        <v>Electronics</v>
      </c>
      <c r="E28" s="1" t="str">
        <f t="shared" si="2"/>
        <v>HomeTheater,TV&amp;Video</v>
      </c>
      <c r="F28" s="5">
        <v>14999.0</v>
      </c>
      <c r="G28" s="5">
        <v>19999.0</v>
      </c>
      <c r="H28" s="6">
        <f t="shared" si="3"/>
        <v>0.2500125006</v>
      </c>
      <c r="I28" s="3">
        <f>IFERROR(__xludf.DUMMYFUNCTION("GOOGLEFINANCE(""CURRENCY:INRBRL"")*F28"),913.45987526489)</f>
        <v>913.4598753</v>
      </c>
      <c r="J28" s="1">
        <v>4.5</v>
      </c>
      <c r="K28" s="1">
        <v>34899.0</v>
      </c>
      <c r="L28" s="1" t="s">
        <v>129</v>
      </c>
      <c r="M28" s="7" t="s">
        <v>130</v>
      </c>
    </row>
    <row r="29">
      <c r="A29" s="1" t="s">
        <v>131</v>
      </c>
      <c r="B29" s="1" t="s">
        <v>132</v>
      </c>
      <c r="C29" s="1" t="s">
        <v>22</v>
      </c>
      <c r="D29" s="1" t="str">
        <f t="shared" si="1"/>
        <v>Computers&amp;Accessories</v>
      </c>
      <c r="E29" s="1" t="str">
        <f t="shared" si="2"/>
        <v>Accessories&amp;Peripherals</v>
      </c>
      <c r="F29" s="1">
        <v>299.0</v>
      </c>
      <c r="G29" s="1">
        <v>399.0</v>
      </c>
      <c r="H29" s="6">
        <f t="shared" si="3"/>
        <v>0.2506265664</v>
      </c>
      <c r="I29" s="3">
        <f>IFERROR(__xludf.DUMMYFUNCTION("GOOGLEFINANCE(""CURRENCY:INRBRL"")*F29"),18.209514147889998)</f>
        <v>18.20951415</v>
      </c>
      <c r="J29" s="1">
        <v>4.0</v>
      </c>
      <c r="K29" s="1">
        <v>2766.0</v>
      </c>
      <c r="L29" s="1" t="s">
        <v>133</v>
      </c>
      <c r="M29" s="7" t="s">
        <v>134</v>
      </c>
    </row>
    <row r="30">
      <c r="A30" s="1" t="s">
        <v>135</v>
      </c>
      <c r="B30" s="1" t="s">
        <v>136</v>
      </c>
      <c r="C30" s="1" t="s">
        <v>22</v>
      </c>
      <c r="D30" s="1" t="str">
        <f t="shared" si="1"/>
        <v>Computers&amp;Accessories</v>
      </c>
      <c r="E30" s="1" t="str">
        <f t="shared" si="2"/>
        <v>Accessories&amp;Peripherals</v>
      </c>
      <c r="F30" s="1">
        <v>970.0</v>
      </c>
      <c r="G30" s="5">
        <v>1999.0</v>
      </c>
      <c r="H30" s="6">
        <f t="shared" si="3"/>
        <v>0.5147573787</v>
      </c>
      <c r="I30" s="3">
        <f>IFERROR(__xludf.DUMMYFUNCTION("GOOGLEFINANCE(""CURRENCY:INRBRL"")*F30"),59.0743435567)</f>
        <v>59.07434356</v>
      </c>
      <c r="J30" s="1">
        <v>4.5</v>
      </c>
      <c r="K30" s="1">
        <v>184.0</v>
      </c>
      <c r="L30" s="1" t="s">
        <v>137</v>
      </c>
      <c r="M30" s="7" t="s">
        <v>138</v>
      </c>
    </row>
    <row r="31">
      <c r="A31" s="1" t="s">
        <v>139</v>
      </c>
      <c r="B31" s="1" t="s">
        <v>140</v>
      </c>
      <c r="C31" s="1" t="s">
        <v>22</v>
      </c>
      <c r="D31" s="1" t="str">
        <f t="shared" si="1"/>
        <v>Computers&amp;Accessories</v>
      </c>
      <c r="E31" s="1" t="str">
        <f t="shared" si="2"/>
        <v>Accessories&amp;Peripherals</v>
      </c>
      <c r="F31" s="1">
        <v>299.0</v>
      </c>
      <c r="G31" s="1">
        <v>999.0</v>
      </c>
      <c r="H31" s="6">
        <f t="shared" si="3"/>
        <v>0.7007007007</v>
      </c>
      <c r="I31" s="3">
        <f>IFERROR(__xludf.DUMMYFUNCTION("GOOGLEFINANCE(""CURRENCY:INRBRL"")*F31"),18.209514147889998)</f>
        <v>18.20951415</v>
      </c>
      <c r="J31" s="1">
        <v>4.5</v>
      </c>
      <c r="K31" s="1">
        <v>2085.0</v>
      </c>
      <c r="L31" s="1" t="s">
        <v>141</v>
      </c>
      <c r="M31" s="7" t="s">
        <v>142</v>
      </c>
    </row>
    <row r="32">
      <c r="A32" s="1" t="s">
        <v>143</v>
      </c>
      <c r="B32" s="1" t="s">
        <v>144</v>
      </c>
      <c r="C32" s="1" t="s">
        <v>22</v>
      </c>
      <c r="D32" s="1" t="str">
        <f t="shared" si="1"/>
        <v>Computers&amp;Accessories</v>
      </c>
      <c r="E32" s="1" t="str">
        <f t="shared" si="2"/>
        <v>Accessories&amp;Peripherals</v>
      </c>
      <c r="F32" s="1">
        <v>199.0</v>
      </c>
      <c r="G32" s="1">
        <v>750.0</v>
      </c>
      <c r="H32" s="6">
        <f t="shared" si="3"/>
        <v>0.7346666667</v>
      </c>
      <c r="I32" s="3">
        <f>IFERROR(__xludf.DUMMYFUNCTION("GOOGLEFINANCE(""CURRENCY:INRBRL"")*F32"),12.11937563689)</f>
        <v>12.11937564</v>
      </c>
      <c r="J32" s="1">
        <v>4.51</v>
      </c>
      <c r="K32" s="1">
        <v>74976.0</v>
      </c>
      <c r="L32" s="1" t="s">
        <v>145</v>
      </c>
      <c r="M32" s="7" t="s">
        <v>146</v>
      </c>
    </row>
    <row r="33">
      <c r="A33" s="1" t="s">
        <v>147</v>
      </c>
      <c r="B33" s="1" t="s">
        <v>148</v>
      </c>
      <c r="C33" s="1" t="s">
        <v>22</v>
      </c>
      <c r="D33" s="1" t="str">
        <f t="shared" si="1"/>
        <v>Computers&amp;Accessories</v>
      </c>
      <c r="E33" s="1" t="str">
        <f t="shared" si="2"/>
        <v>Accessories&amp;Peripherals</v>
      </c>
      <c r="F33" s="1">
        <v>179.0</v>
      </c>
      <c r="G33" s="1">
        <v>499.0</v>
      </c>
      <c r="H33" s="6">
        <f t="shared" si="3"/>
        <v>0.6412825651</v>
      </c>
      <c r="I33" s="3">
        <f>IFERROR(__xludf.DUMMYFUNCTION("GOOGLEFINANCE(""CURRENCY:INRBRL"")*F33"),10.90134793469)</f>
        <v>10.90134793</v>
      </c>
      <c r="J33" s="1">
        <v>4.0</v>
      </c>
      <c r="K33" s="1">
        <v>1934.0</v>
      </c>
      <c r="L33" s="1" t="s">
        <v>149</v>
      </c>
      <c r="M33" s="7" t="s">
        <v>150</v>
      </c>
    </row>
    <row r="34">
      <c r="A34" s="1" t="s">
        <v>151</v>
      </c>
      <c r="B34" s="1" t="s">
        <v>152</v>
      </c>
      <c r="C34" s="1" t="s">
        <v>22</v>
      </c>
      <c r="D34" s="1" t="str">
        <f t="shared" si="1"/>
        <v>Computers&amp;Accessories</v>
      </c>
      <c r="E34" s="1" t="str">
        <f t="shared" si="2"/>
        <v>Accessories&amp;Peripherals</v>
      </c>
      <c r="F34" s="1">
        <v>389.0</v>
      </c>
      <c r="G34" s="5">
        <v>1099.0</v>
      </c>
      <c r="H34" s="6">
        <f t="shared" si="3"/>
        <v>0.6460418562</v>
      </c>
      <c r="I34" s="3">
        <f>IFERROR(__xludf.DUMMYFUNCTION("GOOGLEFINANCE(""CURRENCY:INRBRL"")*F34"),23.69063880779)</f>
        <v>23.69063881</v>
      </c>
      <c r="J34" s="1">
        <v>4.5</v>
      </c>
      <c r="K34" s="1">
        <v>974.0</v>
      </c>
      <c r="L34" s="1" t="s">
        <v>153</v>
      </c>
      <c r="M34" s="7" t="s">
        <v>154</v>
      </c>
    </row>
    <row r="35">
      <c r="A35" s="1" t="s">
        <v>155</v>
      </c>
      <c r="B35" s="1" t="s">
        <v>156</v>
      </c>
      <c r="C35" s="1" t="s">
        <v>22</v>
      </c>
      <c r="D35" s="1" t="str">
        <f t="shared" si="1"/>
        <v>Computers&amp;Accessories</v>
      </c>
      <c r="E35" s="1" t="str">
        <f t="shared" si="2"/>
        <v>Accessories&amp;Peripherals</v>
      </c>
      <c r="F35" s="1">
        <v>599.0</v>
      </c>
      <c r="G35" s="1">
        <v>599.0</v>
      </c>
      <c r="H35" s="6">
        <f t="shared" si="3"/>
        <v>0</v>
      </c>
      <c r="I35" s="3">
        <f>IFERROR(__xludf.DUMMYFUNCTION("GOOGLEFINANCE(""CURRENCY:INRBRL"")*F35"),36.479929680889995)</f>
        <v>36.47992968</v>
      </c>
      <c r="J35" s="1">
        <v>4.5</v>
      </c>
      <c r="K35" s="1">
        <v>355.0</v>
      </c>
      <c r="L35" s="1" t="s">
        <v>157</v>
      </c>
      <c r="M35" s="7" t="s">
        <v>158</v>
      </c>
    </row>
    <row r="36">
      <c r="A36" s="1" t="s">
        <v>159</v>
      </c>
      <c r="B36" s="1" t="s">
        <v>160</v>
      </c>
      <c r="C36" s="1" t="s">
        <v>22</v>
      </c>
      <c r="D36" s="1" t="str">
        <f t="shared" si="1"/>
        <v>Computers&amp;Accessories</v>
      </c>
      <c r="E36" s="1" t="str">
        <f t="shared" si="2"/>
        <v>Accessories&amp;Peripherals</v>
      </c>
      <c r="F36" s="1">
        <v>199.0</v>
      </c>
      <c r="G36" s="1">
        <v>999.0</v>
      </c>
      <c r="H36" s="6">
        <f t="shared" si="3"/>
        <v>0.8008008008</v>
      </c>
      <c r="I36" s="3">
        <f>IFERROR(__xludf.DUMMYFUNCTION("GOOGLEFINANCE(""CURRENCY:INRBRL"")*F36"),12.11937563689)</f>
        <v>12.11937564</v>
      </c>
      <c r="J36" s="1">
        <v>4.52</v>
      </c>
      <c r="K36" s="1">
        <v>1075.0</v>
      </c>
      <c r="L36" s="1" t="s">
        <v>161</v>
      </c>
      <c r="M36" s="7" t="s">
        <v>162</v>
      </c>
    </row>
    <row r="37">
      <c r="A37" s="1" t="s">
        <v>163</v>
      </c>
      <c r="B37" s="1" t="s">
        <v>164</v>
      </c>
      <c r="C37" s="1" t="s">
        <v>22</v>
      </c>
      <c r="D37" s="1" t="str">
        <f t="shared" si="1"/>
        <v>Computers&amp;Accessories</v>
      </c>
      <c r="E37" s="1" t="str">
        <f t="shared" si="2"/>
        <v>Accessories&amp;Peripherals</v>
      </c>
      <c r="F37" s="1">
        <v>99.0</v>
      </c>
      <c r="G37" s="1">
        <v>999.0</v>
      </c>
      <c r="H37" s="6">
        <f t="shared" si="3"/>
        <v>0.9009009009</v>
      </c>
      <c r="I37" s="3">
        <f>IFERROR(__xludf.DUMMYFUNCTION("GOOGLEFINANCE(""CURRENCY:INRBRL"")*F37"),6.02923712589)</f>
        <v>6.029237126</v>
      </c>
      <c r="J37" s="1">
        <v>4.52</v>
      </c>
      <c r="K37" s="1">
        <v>24871.0</v>
      </c>
      <c r="L37" s="1" t="s">
        <v>165</v>
      </c>
      <c r="M37" s="7" t="s">
        <v>166</v>
      </c>
    </row>
    <row r="38">
      <c r="A38" s="1" t="s">
        <v>167</v>
      </c>
      <c r="B38" s="1" t="s">
        <v>168</v>
      </c>
      <c r="C38" s="1" t="s">
        <v>22</v>
      </c>
      <c r="D38" s="1" t="str">
        <f t="shared" si="1"/>
        <v>Computers&amp;Accessories</v>
      </c>
      <c r="E38" s="1" t="str">
        <f t="shared" si="2"/>
        <v>Accessories&amp;Peripherals</v>
      </c>
      <c r="F38" s="1">
        <v>899.0</v>
      </c>
      <c r="G38" s="5">
        <v>1900.0</v>
      </c>
      <c r="H38" s="6">
        <f t="shared" si="3"/>
        <v>0.5268421053</v>
      </c>
      <c r="I38" s="3">
        <f>IFERROR(__xludf.DUMMYFUNCTION("GOOGLEFINANCE(""CURRENCY:INRBRL"")*F38"),54.75034521389)</f>
        <v>54.75034521</v>
      </c>
      <c r="J38" s="1">
        <v>4.5</v>
      </c>
      <c r="K38" s="1">
        <v>13552.0</v>
      </c>
      <c r="L38" s="1" t="s">
        <v>169</v>
      </c>
      <c r="M38" s="7" t="s">
        <v>170</v>
      </c>
    </row>
    <row r="39">
      <c r="A39" s="1" t="s">
        <v>171</v>
      </c>
      <c r="B39" s="1" t="s">
        <v>172</v>
      </c>
      <c r="C39" s="1" t="s">
        <v>22</v>
      </c>
      <c r="D39" s="1" t="str">
        <f t="shared" si="1"/>
        <v>Computers&amp;Accessories</v>
      </c>
      <c r="E39" s="1" t="str">
        <f t="shared" si="2"/>
        <v>Accessories&amp;Peripherals</v>
      </c>
      <c r="F39" s="1">
        <v>199.0</v>
      </c>
      <c r="G39" s="1">
        <v>999.0</v>
      </c>
      <c r="H39" s="6">
        <f t="shared" si="3"/>
        <v>0.8008008008</v>
      </c>
      <c r="I39" s="3">
        <f>IFERROR(__xludf.DUMMYFUNCTION("GOOGLEFINANCE(""CURRENCY:INRBRL"")*F39"),12.11937563689)</f>
        <v>12.11937564</v>
      </c>
      <c r="J39" s="1">
        <v>4.0</v>
      </c>
      <c r="K39" s="1">
        <v>576.0</v>
      </c>
      <c r="L39" s="1" t="s">
        <v>173</v>
      </c>
      <c r="M39" s="7" t="s">
        <v>174</v>
      </c>
    </row>
    <row r="40">
      <c r="A40" s="1" t="s">
        <v>175</v>
      </c>
      <c r="B40" s="1" t="s">
        <v>176</v>
      </c>
      <c r="C40" s="1" t="s">
        <v>88</v>
      </c>
      <c r="D40" s="1" t="str">
        <f t="shared" si="1"/>
        <v>Electronics</v>
      </c>
      <c r="E40" s="1" t="str">
        <f t="shared" si="2"/>
        <v>HomeTheater,TV&amp;Video</v>
      </c>
      <c r="F40" s="5">
        <v>32999.0</v>
      </c>
      <c r="G40" s="5">
        <v>45999.0</v>
      </c>
      <c r="H40" s="6">
        <f t="shared" si="3"/>
        <v>0.2826148395</v>
      </c>
      <c r="I40" s="3">
        <f>IFERROR(__xludf.DUMMYFUNCTION("GOOGLEFINANCE(""CURRENCY:INRBRL"")*F40"),2009.68480724489)</f>
        <v>2009.684807</v>
      </c>
      <c r="J40" s="1">
        <v>4.5</v>
      </c>
      <c r="K40" s="1">
        <v>7298.0</v>
      </c>
      <c r="L40" s="1" t="s">
        <v>177</v>
      </c>
      <c r="M40" s="7" t="s">
        <v>178</v>
      </c>
    </row>
    <row r="41">
      <c r="A41" s="1" t="s">
        <v>179</v>
      </c>
      <c r="B41" s="1" t="s">
        <v>180</v>
      </c>
      <c r="C41" s="1" t="s">
        <v>22</v>
      </c>
      <c r="D41" s="1" t="str">
        <f t="shared" si="1"/>
        <v>Computers&amp;Accessories</v>
      </c>
      <c r="E41" s="1" t="str">
        <f t="shared" si="2"/>
        <v>Accessories&amp;Peripherals</v>
      </c>
      <c r="F41" s="1">
        <v>970.0</v>
      </c>
      <c r="G41" s="5">
        <v>1999.0</v>
      </c>
      <c r="H41" s="6">
        <f t="shared" si="3"/>
        <v>0.5147573787</v>
      </c>
      <c r="I41" s="3">
        <f>IFERROR(__xludf.DUMMYFUNCTION("GOOGLEFINANCE(""CURRENCY:INRBRL"")*F41"),59.0743435567)</f>
        <v>59.07434356</v>
      </c>
      <c r="J41" s="1">
        <v>4.5</v>
      </c>
      <c r="K41" s="1">
        <v>462.0</v>
      </c>
      <c r="L41" s="1" t="s">
        <v>181</v>
      </c>
      <c r="M41" s="7" t="s">
        <v>182</v>
      </c>
    </row>
    <row r="42">
      <c r="A42" s="1" t="s">
        <v>183</v>
      </c>
      <c r="B42" s="1" t="s">
        <v>184</v>
      </c>
      <c r="C42" s="1" t="s">
        <v>22</v>
      </c>
      <c r="D42" s="1" t="str">
        <f t="shared" si="1"/>
        <v>Computers&amp;Accessories</v>
      </c>
      <c r="E42" s="1" t="str">
        <f t="shared" si="2"/>
        <v>Accessories&amp;Peripherals</v>
      </c>
      <c r="F42" s="1">
        <v>209.0</v>
      </c>
      <c r="G42" s="1">
        <v>695.0</v>
      </c>
      <c r="H42" s="6">
        <f t="shared" si="3"/>
        <v>0.6992805755</v>
      </c>
      <c r="I42" s="3">
        <f>IFERROR(__xludf.DUMMYFUNCTION("GOOGLEFINANCE(""CURRENCY:INRBRL"")*F42"),12.72838948799)</f>
        <v>12.72838949</v>
      </c>
      <c r="J42" s="1">
        <v>4.51</v>
      </c>
      <c r="K42" s="1">
        <v>1070687.0</v>
      </c>
      <c r="L42" s="1" t="s">
        <v>185</v>
      </c>
      <c r="M42" s="7" t="s">
        <v>186</v>
      </c>
    </row>
    <row r="43">
      <c r="A43" s="1" t="s">
        <v>187</v>
      </c>
      <c r="B43" s="1" t="s">
        <v>188</v>
      </c>
      <c r="C43" s="1" t="s">
        <v>88</v>
      </c>
      <c r="D43" s="1" t="str">
        <f t="shared" si="1"/>
        <v>Electronics</v>
      </c>
      <c r="E43" s="1" t="str">
        <f t="shared" si="2"/>
        <v>HomeTheater,TV&amp;Video</v>
      </c>
      <c r="F43" s="5">
        <v>19999.0</v>
      </c>
      <c r="G43" s="5">
        <v>34999.0</v>
      </c>
      <c r="H43" s="6">
        <f t="shared" si="3"/>
        <v>0.4285836738</v>
      </c>
      <c r="I43" s="3">
        <f>IFERROR(__xludf.DUMMYFUNCTION("GOOGLEFINANCE(""CURRENCY:INRBRL"")*F43"),1217.96680081489)</f>
        <v>1217.966801</v>
      </c>
      <c r="J43" s="1">
        <v>4.5</v>
      </c>
      <c r="K43" s="1">
        <v>27151.0</v>
      </c>
      <c r="L43" s="1" t="s">
        <v>189</v>
      </c>
      <c r="M43" s="7" t="s">
        <v>190</v>
      </c>
    </row>
    <row r="44">
      <c r="A44" s="1" t="s">
        <v>191</v>
      </c>
      <c r="B44" s="1" t="s">
        <v>192</v>
      </c>
      <c r="C44" s="1" t="s">
        <v>22</v>
      </c>
      <c r="D44" s="1" t="str">
        <f t="shared" si="1"/>
        <v>Computers&amp;Accessories</v>
      </c>
      <c r="E44" s="1" t="str">
        <f t="shared" si="2"/>
        <v>Accessories&amp;Peripherals</v>
      </c>
      <c r="F44" s="1">
        <v>399.0</v>
      </c>
      <c r="G44" s="5">
        <v>1099.0</v>
      </c>
      <c r="H44" s="6">
        <f t="shared" si="3"/>
        <v>0.6369426752</v>
      </c>
      <c r="I44" s="3">
        <f>IFERROR(__xludf.DUMMYFUNCTION("GOOGLEFINANCE(""CURRENCY:INRBRL"")*F44"),24.29965265889)</f>
        <v>24.29965266</v>
      </c>
      <c r="J44" s="1">
        <v>4.5</v>
      </c>
      <c r="K44" s="1">
        <v>24269.0</v>
      </c>
      <c r="L44" s="1" t="s">
        <v>193</v>
      </c>
      <c r="M44" s="7" t="s">
        <v>194</v>
      </c>
    </row>
    <row r="45">
      <c r="A45" s="1" t="s">
        <v>195</v>
      </c>
      <c r="B45" s="1" t="s">
        <v>196</v>
      </c>
      <c r="C45" s="1" t="s">
        <v>55</v>
      </c>
      <c r="D45" s="1" t="str">
        <f t="shared" si="1"/>
        <v>Computers&amp;Accessories</v>
      </c>
      <c r="E45" s="1" t="str">
        <f t="shared" si="2"/>
        <v>NetworkingDevices</v>
      </c>
      <c r="F45" s="1">
        <v>999.0</v>
      </c>
      <c r="G45" s="5">
        <v>1599.0</v>
      </c>
      <c r="H45" s="6">
        <f t="shared" si="3"/>
        <v>0.3752345216</v>
      </c>
      <c r="I45" s="3">
        <f>IFERROR(__xludf.DUMMYFUNCTION("GOOGLEFINANCE(""CURRENCY:INRBRL"")*F45"),60.84048372489)</f>
        <v>60.84048372</v>
      </c>
      <c r="J45" s="1">
        <v>4.5</v>
      </c>
      <c r="K45" s="1">
        <v>12093.0</v>
      </c>
      <c r="L45" s="1" t="s">
        <v>197</v>
      </c>
      <c r="M45" s="7" t="s">
        <v>198</v>
      </c>
    </row>
    <row r="46">
      <c r="A46" s="1" t="s">
        <v>199</v>
      </c>
      <c r="B46" s="1" t="s">
        <v>200</v>
      </c>
      <c r="C46" s="1" t="s">
        <v>22</v>
      </c>
      <c r="D46" s="1" t="str">
        <f t="shared" si="1"/>
        <v>Computers&amp;Accessories</v>
      </c>
      <c r="E46" s="1" t="str">
        <f t="shared" si="2"/>
        <v>Accessories&amp;Peripherals</v>
      </c>
      <c r="F46" s="1">
        <v>59.0</v>
      </c>
      <c r="G46" s="1">
        <v>199.0</v>
      </c>
      <c r="H46" s="6">
        <f t="shared" si="3"/>
        <v>0.7035175879</v>
      </c>
      <c r="I46" s="3">
        <f>IFERROR(__xludf.DUMMYFUNCTION("GOOGLEFINANCE(""CURRENCY:INRBRL"")*F46"),3.5931817214899997)</f>
        <v>3.593181721</v>
      </c>
      <c r="J46" s="1">
        <v>4.0</v>
      </c>
      <c r="K46" s="1">
        <v>9378.0</v>
      </c>
      <c r="L46" s="1" t="s">
        <v>201</v>
      </c>
      <c r="M46" s="7" t="s">
        <v>202</v>
      </c>
    </row>
    <row r="47">
      <c r="A47" s="1" t="s">
        <v>203</v>
      </c>
      <c r="B47" s="1" t="s">
        <v>204</v>
      </c>
      <c r="C47" s="1" t="s">
        <v>22</v>
      </c>
      <c r="D47" s="1" t="str">
        <f t="shared" si="1"/>
        <v>Computers&amp;Accessories</v>
      </c>
      <c r="E47" s="1" t="str">
        <f t="shared" si="2"/>
        <v>Accessories&amp;Peripherals</v>
      </c>
      <c r="F47" s="1">
        <v>333.0</v>
      </c>
      <c r="G47" s="1">
        <v>999.0</v>
      </c>
      <c r="H47" s="6">
        <f t="shared" si="3"/>
        <v>0.6666666667</v>
      </c>
      <c r="I47" s="3">
        <f>IFERROR(__xludf.DUMMYFUNCTION("GOOGLEFINANCE(""CURRENCY:INRBRL"")*F47"),20.280161241629997)</f>
        <v>20.28016124</v>
      </c>
      <c r="J47" s="1">
        <v>4.5</v>
      </c>
      <c r="K47" s="1">
        <v>9792.0</v>
      </c>
      <c r="L47" s="1" t="s">
        <v>205</v>
      </c>
      <c r="M47" s="7" t="s">
        <v>206</v>
      </c>
    </row>
    <row r="48">
      <c r="A48" s="1" t="s">
        <v>207</v>
      </c>
      <c r="B48" s="1" t="s">
        <v>208</v>
      </c>
      <c r="C48" s="1" t="s">
        <v>55</v>
      </c>
      <c r="D48" s="1" t="str">
        <f t="shared" si="1"/>
        <v>Computers&amp;Accessories</v>
      </c>
      <c r="E48" s="1" t="str">
        <f t="shared" si="2"/>
        <v>NetworkingDevices</v>
      </c>
      <c r="F48" s="1">
        <v>507.0</v>
      </c>
      <c r="G48" s="5">
        <v>1208.0</v>
      </c>
      <c r="H48" s="6">
        <f t="shared" si="3"/>
        <v>0.5802980132</v>
      </c>
      <c r="I48" s="3">
        <f>IFERROR(__xludf.DUMMYFUNCTION("GOOGLEFINANCE(""CURRENCY:INRBRL"")*F48"),30.877002250769998)</f>
        <v>30.87700225</v>
      </c>
      <c r="J48" s="1">
        <v>4.49</v>
      </c>
      <c r="K48" s="1">
        <v>8131.0</v>
      </c>
      <c r="L48" s="1" t="s">
        <v>209</v>
      </c>
      <c r="M48" s="7" t="s">
        <v>210</v>
      </c>
    </row>
    <row r="49">
      <c r="A49" s="1" t="s">
        <v>211</v>
      </c>
      <c r="B49" s="1" t="s">
        <v>212</v>
      </c>
      <c r="C49" s="1" t="s">
        <v>72</v>
      </c>
      <c r="D49" s="1" t="str">
        <f t="shared" si="1"/>
        <v>Electronics</v>
      </c>
      <c r="E49" s="1" t="str">
        <f t="shared" si="2"/>
        <v>HomeTheater,TV&amp;Video</v>
      </c>
      <c r="F49" s="1">
        <v>309.0</v>
      </c>
      <c r="G49" s="1">
        <v>475.0</v>
      </c>
      <c r="H49" s="6">
        <f t="shared" si="3"/>
        <v>0.3494736842</v>
      </c>
      <c r="I49" s="3">
        <f>IFERROR(__xludf.DUMMYFUNCTION("GOOGLEFINANCE(""CURRENCY:INRBRL"")*F49"),18.81852799899)</f>
        <v>18.818528</v>
      </c>
      <c r="J49" s="1">
        <v>4.5</v>
      </c>
      <c r="K49" s="1">
        <v>426973.0</v>
      </c>
      <c r="L49" s="1" t="s">
        <v>213</v>
      </c>
      <c r="M49" s="7" t="s">
        <v>214</v>
      </c>
    </row>
    <row r="50">
      <c r="A50" s="1" t="s">
        <v>215</v>
      </c>
      <c r="B50" s="1" t="s">
        <v>216</v>
      </c>
      <c r="C50" s="1" t="s">
        <v>217</v>
      </c>
      <c r="D50" s="1" t="str">
        <f t="shared" si="1"/>
        <v>Electronics</v>
      </c>
      <c r="E50" s="1" t="str">
        <f t="shared" si="2"/>
        <v>HomeTheater,TV&amp;Video</v>
      </c>
      <c r="F50" s="1">
        <v>399.0</v>
      </c>
      <c r="G50" s="1">
        <v>999.0</v>
      </c>
      <c r="H50" s="6">
        <f t="shared" si="3"/>
        <v>0.6006006006</v>
      </c>
      <c r="I50" s="3">
        <f>IFERROR(__xludf.DUMMYFUNCTION("GOOGLEFINANCE(""CURRENCY:INRBRL"")*F50"),24.29965265889)</f>
        <v>24.29965266</v>
      </c>
      <c r="J50" s="1">
        <v>4.51</v>
      </c>
      <c r="K50" s="1">
        <v>493.0</v>
      </c>
      <c r="L50" s="1" t="s">
        <v>218</v>
      </c>
      <c r="M50" s="7" t="s">
        <v>219</v>
      </c>
    </row>
    <row r="51">
      <c r="A51" s="1" t="s">
        <v>220</v>
      </c>
      <c r="B51" s="1" t="s">
        <v>221</v>
      </c>
      <c r="C51" s="1" t="s">
        <v>22</v>
      </c>
      <c r="D51" s="1" t="str">
        <f t="shared" si="1"/>
        <v>Computers&amp;Accessories</v>
      </c>
      <c r="E51" s="1" t="str">
        <f t="shared" si="2"/>
        <v>Accessories&amp;Peripherals</v>
      </c>
      <c r="F51" s="1">
        <v>199.0</v>
      </c>
      <c r="G51" s="1">
        <v>395.0</v>
      </c>
      <c r="H51" s="6">
        <f t="shared" si="3"/>
        <v>0.4962025316</v>
      </c>
      <c r="I51" s="3">
        <f>IFERROR(__xludf.DUMMYFUNCTION("GOOGLEFINANCE(""CURRENCY:INRBRL"")*F51"),12.11937563689)</f>
        <v>12.11937564</v>
      </c>
      <c r="J51" s="1">
        <v>4.5</v>
      </c>
      <c r="K51" s="1">
        <v>92595.0</v>
      </c>
      <c r="L51" s="1" t="s">
        <v>222</v>
      </c>
      <c r="M51" s="7" t="s">
        <v>223</v>
      </c>
    </row>
    <row r="52">
      <c r="A52" s="1" t="s">
        <v>224</v>
      </c>
      <c r="B52" s="1" t="s">
        <v>225</v>
      </c>
      <c r="C52" s="1" t="s">
        <v>55</v>
      </c>
      <c r="D52" s="1" t="str">
        <f t="shared" si="1"/>
        <v>Computers&amp;Accessories</v>
      </c>
      <c r="E52" s="1" t="str">
        <f t="shared" si="2"/>
        <v>NetworkingDevices</v>
      </c>
      <c r="F52" s="5">
        <v>1199.0</v>
      </c>
      <c r="G52" s="5">
        <v>2199.0</v>
      </c>
      <c r="H52" s="6">
        <f t="shared" si="3"/>
        <v>0.4547521601</v>
      </c>
      <c r="I52" s="3">
        <f>IFERROR(__xludf.DUMMYFUNCTION("GOOGLEFINANCE(""CURRENCY:INRBRL"")*F52"),73.02076074688999)</f>
        <v>73.02076075</v>
      </c>
      <c r="J52" s="1">
        <v>4.5</v>
      </c>
      <c r="K52" s="1">
        <v>2478.0</v>
      </c>
      <c r="L52" s="1" t="s">
        <v>226</v>
      </c>
      <c r="M52" s="7" t="s">
        <v>227</v>
      </c>
    </row>
    <row r="53">
      <c r="A53" s="1" t="s">
        <v>228</v>
      </c>
      <c r="B53" s="1" t="s">
        <v>229</v>
      </c>
      <c r="C53" s="1" t="s">
        <v>22</v>
      </c>
      <c r="D53" s="1" t="str">
        <f t="shared" si="1"/>
        <v>Computers&amp;Accessories</v>
      </c>
      <c r="E53" s="1" t="str">
        <f t="shared" si="2"/>
        <v>Accessories&amp;Peripherals</v>
      </c>
      <c r="F53" s="1">
        <v>179.0</v>
      </c>
      <c r="G53" s="1">
        <v>500.0</v>
      </c>
      <c r="H53" s="6">
        <f t="shared" si="3"/>
        <v>0.642</v>
      </c>
      <c r="I53" s="3">
        <f>IFERROR(__xludf.DUMMYFUNCTION("GOOGLEFINANCE(""CURRENCY:INRBRL"")*F53"),10.90134793469)</f>
        <v>10.90134793</v>
      </c>
      <c r="J53" s="1">
        <v>4.5</v>
      </c>
      <c r="K53" s="1">
        <v>92595.0</v>
      </c>
      <c r="L53" s="1" t="s">
        <v>230</v>
      </c>
      <c r="M53" s="7" t="s">
        <v>231</v>
      </c>
    </row>
    <row r="54">
      <c r="A54" s="1" t="s">
        <v>232</v>
      </c>
      <c r="B54" s="1" t="s">
        <v>233</v>
      </c>
      <c r="C54" s="1" t="s">
        <v>22</v>
      </c>
      <c r="D54" s="1" t="str">
        <f t="shared" si="1"/>
        <v>Computers&amp;Accessories</v>
      </c>
      <c r="E54" s="1" t="str">
        <f t="shared" si="2"/>
        <v>Accessories&amp;Peripherals</v>
      </c>
      <c r="F54" s="1">
        <v>799.0</v>
      </c>
      <c r="G54" s="5">
        <v>2100.0</v>
      </c>
      <c r="H54" s="6">
        <f t="shared" si="3"/>
        <v>0.6195238095</v>
      </c>
      <c r="I54" s="3">
        <f>IFERROR(__xludf.DUMMYFUNCTION("GOOGLEFINANCE(""CURRENCY:INRBRL"")*F54"),48.66020670289)</f>
        <v>48.6602067</v>
      </c>
      <c r="J54" s="1">
        <v>4.5</v>
      </c>
      <c r="K54" s="1">
        <v>8188.0</v>
      </c>
      <c r="L54" s="1" t="s">
        <v>234</v>
      </c>
      <c r="M54" s="7" t="s">
        <v>235</v>
      </c>
    </row>
    <row r="55">
      <c r="A55" s="1" t="s">
        <v>236</v>
      </c>
      <c r="B55" s="1" t="s">
        <v>237</v>
      </c>
      <c r="C55" s="1" t="s">
        <v>238</v>
      </c>
      <c r="D55" s="1" t="str">
        <f t="shared" si="1"/>
        <v>Electronics</v>
      </c>
      <c r="E55" s="1" t="str">
        <f t="shared" si="2"/>
        <v>HomeTheater,TV&amp;Video</v>
      </c>
      <c r="F55" s="5">
        <v>6999.0</v>
      </c>
      <c r="G55" s="5">
        <v>12999.0</v>
      </c>
      <c r="H55" s="6">
        <f t="shared" si="3"/>
        <v>0.4615739672</v>
      </c>
      <c r="I55" s="3">
        <f>IFERROR(__xludf.DUMMYFUNCTION("GOOGLEFINANCE(""CURRENCY:INRBRL"")*F55"),426.24879438489)</f>
        <v>426.2487944</v>
      </c>
      <c r="J55" s="1">
        <v>4.5</v>
      </c>
      <c r="K55" s="1">
        <v>4003.0</v>
      </c>
      <c r="L55" s="1" t="s">
        <v>239</v>
      </c>
      <c r="M55" s="7" t="s">
        <v>240</v>
      </c>
    </row>
    <row r="56">
      <c r="A56" s="1" t="s">
        <v>241</v>
      </c>
      <c r="B56" s="1" t="s">
        <v>242</v>
      </c>
      <c r="C56" s="1" t="s">
        <v>22</v>
      </c>
      <c r="D56" s="1" t="str">
        <f t="shared" si="1"/>
        <v>Computers&amp;Accessories</v>
      </c>
      <c r="E56" s="1" t="str">
        <f t="shared" si="2"/>
        <v>Accessories&amp;Peripherals</v>
      </c>
      <c r="F56" s="1">
        <v>199.0</v>
      </c>
      <c r="G56" s="1">
        <v>349.0</v>
      </c>
      <c r="H56" s="6">
        <f t="shared" si="3"/>
        <v>0.4297994269</v>
      </c>
      <c r="I56" s="3">
        <f>IFERROR(__xludf.DUMMYFUNCTION("GOOGLEFINANCE(""CURRENCY:INRBRL"")*F56"),12.11937563689)</f>
        <v>12.11937564</v>
      </c>
      <c r="J56" s="1">
        <v>4.49</v>
      </c>
      <c r="K56" s="1">
        <v>314.0</v>
      </c>
      <c r="L56" s="1" t="s">
        <v>243</v>
      </c>
      <c r="M56" s="7" t="s">
        <v>244</v>
      </c>
    </row>
    <row r="57">
      <c r="A57" s="1" t="s">
        <v>245</v>
      </c>
      <c r="B57" s="1" t="s">
        <v>246</v>
      </c>
      <c r="C57" s="1" t="s">
        <v>217</v>
      </c>
      <c r="D57" s="1" t="str">
        <f t="shared" si="1"/>
        <v>Electronics</v>
      </c>
      <c r="E57" s="1" t="str">
        <f t="shared" si="2"/>
        <v>HomeTheater,TV&amp;Video</v>
      </c>
      <c r="F57" s="1">
        <v>230.0</v>
      </c>
      <c r="G57" s="1">
        <v>499.0</v>
      </c>
      <c r="H57" s="6">
        <f t="shared" si="3"/>
        <v>0.5390781563</v>
      </c>
      <c r="I57" s="3">
        <f>IFERROR(__xludf.DUMMYFUNCTION("GOOGLEFINANCE(""CURRENCY:INRBRL"")*F57"),14.0073185753)</f>
        <v>14.00731858</v>
      </c>
      <c r="J57" s="1">
        <v>4.51</v>
      </c>
      <c r="K57" s="1">
        <v>296.0</v>
      </c>
      <c r="L57" s="1" t="s">
        <v>247</v>
      </c>
      <c r="M57" s="7" t="s">
        <v>248</v>
      </c>
    </row>
    <row r="58">
      <c r="A58" s="1" t="s">
        <v>249</v>
      </c>
      <c r="B58" s="1" t="s">
        <v>250</v>
      </c>
      <c r="C58" s="1" t="s">
        <v>55</v>
      </c>
      <c r="D58" s="1" t="str">
        <f t="shared" si="1"/>
        <v>Computers&amp;Accessories</v>
      </c>
      <c r="E58" s="1" t="str">
        <f t="shared" si="2"/>
        <v>NetworkingDevices</v>
      </c>
      <c r="F58" s="1">
        <v>649.0</v>
      </c>
      <c r="G58" s="5">
        <v>1399.0</v>
      </c>
      <c r="H58" s="6">
        <f t="shared" si="3"/>
        <v>0.5360972123</v>
      </c>
      <c r="I58" s="3">
        <f>IFERROR(__xludf.DUMMYFUNCTION("GOOGLEFINANCE(""CURRENCY:INRBRL"")*F58"),39.52499893639)</f>
        <v>39.52499894</v>
      </c>
      <c r="J58" s="1">
        <v>4.5</v>
      </c>
      <c r="K58" s="1">
        <v>179691.0</v>
      </c>
      <c r="L58" s="1" t="s">
        <v>251</v>
      </c>
      <c r="M58" s="7" t="s">
        <v>252</v>
      </c>
    </row>
    <row r="59">
      <c r="A59" s="1" t="s">
        <v>253</v>
      </c>
      <c r="B59" s="1" t="s">
        <v>254</v>
      </c>
      <c r="C59" s="1" t="s">
        <v>88</v>
      </c>
      <c r="D59" s="1" t="str">
        <f t="shared" si="1"/>
        <v>Electronics</v>
      </c>
      <c r="E59" s="1" t="str">
        <f t="shared" si="2"/>
        <v>HomeTheater,TV&amp;Video</v>
      </c>
      <c r="F59" s="5">
        <v>15999.0</v>
      </c>
      <c r="G59" s="5">
        <v>21999.0</v>
      </c>
      <c r="H59" s="6">
        <f t="shared" si="3"/>
        <v>0.27273967</v>
      </c>
      <c r="I59" s="3">
        <f>IFERROR(__xludf.DUMMYFUNCTION("GOOGLEFINANCE(""CURRENCY:INRBRL"")*F59"),974.36126037489)</f>
        <v>974.3612604</v>
      </c>
      <c r="J59" s="1">
        <v>4.5</v>
      </c>
      <c r="K59" s="1">
        <v>34899.0</v>
      </c>
      <c r="L59" s="1" t="s">
        <v>255</v>
      </c>
      <c r="M59" s="7" t="s">
        <v>256</v>
      </c>
    </row>
    <row r="60">
      <c r="A60" s="1" t="s">
        <v>257</v>
      </c>
      <c r="B60" s="1" t="s">
        <v>258</v>
      </c>
      <c r="C60" s="1" t="s">
        <v>22</v>
      </c>
      <c r="D60" s="1" t="str">
        <f t="shared" si="1"/>
        <v>Computers&amp;Accessories</v>
      </c>
      <c r="E60" s="1" t="str">
        <f t="shared" si="2"/>
        <v>Accessories&amp;Peripherals</v>
      </c>
      <c r="F60" s="1">
        <v>348.0</v>
      </c>
      <c r="G60" s="5">
        <v>1499.0</v>
      </c>
      <c r="H60" s="6">
        <f t="shared" si="3"/>
        <v>0.7678452302</v>
      </c>
      <c r="I60" s="3">
        <f>IFERROR(__xludf.DUMMYFUNCTION("GOOGLEFINANCE(""CURRENCY:INRBRL"")*F60"),21.19368201828)</f>
        <v>21.19368202</v>
      </c>
      <c r="J60" s="1">
        <v>4.5</v>
      </c>
      <c r="K60" s="1">
        <v>656.0</v>
      </c>
      <c r="L60" s="1" t="s">
        <v>259</v>
      </c>
      <c r="M60" s="7" t="s">
        <v>260</v>
      </c>
    </row>
    <row r="61">
      <c r="A61" s="1" t="s">
        <v>261</v>
      </c>
      <c r="B61" s="1" t="s">
        <v>262</v>
      </c>
      <c r="C61" s="1" t="s">
        <v>22</v>
      </c>
      <c r="D61" s="1" t="str">
        <f t="shared" si="1"/>
        <v>Computers&amp;Accessories</v>
      </c>
      <c r="E61" s="1" t="str">
        <f t="shared" si="2"/>
        <v>Accessories&amp;Peripherals</v>
      </c>
      <c r="F61" s="1">
        <v>154.0</v>
      </c>
      <c r="G61" s="1">
        <v>349.0</v>
      </c>
      <c r="H61" s="6">
        <f t="shared" si="3"/>
        <v>0.558739255</v>
      </c>
      <c r="I61" s="3">
        <f>IFERROR(__xludf.DUMMYFUNCTION("GOOGLEFINANCE(""CURRENCY:INRBRL"")*F61"),9.37881330694)</f>
        <v>9.378813307</v>
      </c>
      <c r="J61" s="1">
        <v>4.5</v>
      </c>
      <c r="K61" s="1">
        <v>7064.0</v>
      </c>
      <c r="L61" s="1" t="s">
        <v>263</v>
      </c>
      <c r="M61" s="7" t="s">
        <v>264</v>
      </c>
    </row>
    <row r="62">
      <c r="A62" s="1" t="s">
        <v>265</v>
      </c>
      <c r="B62" s="1" t="s">
        <v>266</v>
      </c>
      <c r="C62" s="1" t="s">
        <v>217</v>
      </c>
      <c r="D62" s="1" t="str">
        <f t="shared" si="1"/>
        <v>Electronics</v>
      </c>
      <c r="E62" s="1" t="str">
        <f t="shared" si="2"/>
        <v>HomeTheater,TV&amp;Video</v>
      </c>
      <c r="F62" s="1">
        <v>179.0</v>
      </c>
      <c r="G62" s="1">
        <v>799.0</v>
      </c>
      <c r="H62" s="6">
        <f t="shared" si="3"/>
        <v>0.7759699625</v>
      </c>
      <c r="I62" s="3">
        <f>IFERROR(__xludf.DUMMYFUNCTION("GOOGLEFINANCE(""CURRENCY:INRBRL"")*F62"),10.90134793469)</f>
        <v>10.90134793</v>
      </c>
      <c r="J62" s="1">
        <v>4.51</v>
      </c>
      <c r="K62" s="1">
        <v>2201.0</v>
      </c>
      <c r="L62" s="1" t="s">
        <v>267</v>
      </c>
      <c r="M62" s="7" t="s">
        <v>268</v>
      </c>
    </row>
    <row r="63">
      <c r="A63" s="1" t="s">
        <v>269</v>
      </c>
      <c r="B63" s="1" t="s">
        <v>270</v>
      </c>
      <c r="C63" s="1" t="s">
        <v>88</v>
      </c>
      <c r="D63" s="1" t="str">
        <f t="shared" si="1"/>
        <v>Electronics</v>
      </c>
      <c r="E63" s="1" t="str">
        <f t="shared" si="2"/>
        <v>HomeTheater,TV&amp;Video</v>
      </c>
      <c r="F63" s="5">
        <v>32990.0</v>
      </c>
      <c r="G63" s="5">
        <v>47900.0</v>
      </c>
      <c r="H63" s="6">
        <f t="shared" si="3"/>
        <v>0.3112734864</v>
      </c>
      <c r="I63" s="3">
        <f>IFERROR(__xludf.DUMMYFUNCTION("GOOGLEFINANCE(""CURRENCY:INRBRL"")*F63"),2009.1366947789)</f>
        <v>2009.136695</v>
      </c>
      <c r="J63" s="1">
        <v>4.5</v>
      </c>
      <c r="K63" s="1">
        <v>7109.0</v>
      </c>
      <c r="L63" s="1" t="s">
        <v>271</v>
      </c>
      <c r="M63" s="7" t="s">
        <v>272</v>
      </c>
    </row>
    <row r="64">
      <c r="A64" s="1" t="s">
        <v>273</v>
      </c>
      <c r="B64" s="1" t="s">
        <v>274</v>
      </c>
      <c r="C64" s="1" t="s">
        <v>22</v>
      </c>
      <c r="D64" s="1" t="str">
        <f t="shared" si="1"/>
        <v>Computers&amp;Accessories</v>
      </c>
      <c r="E64" s="1" t="str">
        <f t="shared" si="2"/>
        <v>Accessories&amp;Peripherals</v>
      </c>
      <c r="F64" s="1">
        <v>139.0</v>
      </c>
      <c r="G64" s="1">
        <v>999.0</v>
      </c>
      <c r="H64" s="6">
        <f t="shared" si="3"/>
        <v>0.8608608609</v>
      </c>
      <c r="I64" s="3">
        <f>IFERROR(__xludf.DUMMYFUNCTION("GOOGLEFINANCE(""CURRENCY:INRBRL"")*F64"),8.46529253029)</f>
        <v>8.46529253</v>
      </c>
      <c r="J64" s="1">
        <v>4.0</v>
      </c>
      <c r="K64" s="1">
        <v>1313.0</v>
      </c>
      <c r="L64" s="1" t="s">
        <v>275</v>
      </c>
      <c r="M64" s="7" t="s">
        <v>276</v>
      </c>
    </row>
    <row r="65">
      <c r="A65" s="1" t="s">
        <v>277</v>
      </c>
      <c r="B65" s="1" t="s">
        <v>278</v>
      </c>
      <c r="C65" s="1" t="s">
        <v>22</v>
      </c>
      <c r="D65" s="1" t="str">
        <f t="shared" si="1"/>
        <v>Computers&amp;Accessories</v>
      </c>
      <c r="E65" s="1" t="str">
        <f t="shared" si="2"/>
        <v>Accessories&amp;Peripherals</v>
      </c>
      <c r="F65" s="1">
        <v>329.0</v>
      </c>
      <c r="G65" s="1">
        <v>845.0</v>
      </c>
      <c r="H65" s="6">
        <f t="shared" si="3"/>
        <v>0.6106508876</v>
      </c>
      <c r="I65" s="3">
        <f>IFERROR(__xludf.DUMMYFUNCTION("GOOGLEFINANCE(""CURRENCY:INRBRL"")*F65"),20.03655570119)</f>
        <v>20.0365557</v>
      </c>
      <c r="J65" s="1">
        <v>4.5</v>
      </c>
      <c r="K65" s="1">
        <v>29746.0</v>
      </c>
      <c r="L65" s="1" t="s">
        <v>279</v>
      </c>
      <c r="M65" s="7" t="s">
        <v>280</v>
      </c>
    </row>
    <row r="66">
      <c r="A66" s="1" t="s">
        <v>281</v>
      </c>
      <c r="B66" s="1" t="s">
        <v>282</v>
      </c>
      <c r="C66" s="1" t="s">
        <v>88</v>
      </c>
      <c r="D66" s="1" t="str">
        <f t="shared" si="1"/>
        <v>Electronics</v>
      </c>
      <c r="E66" s="1" t="str">
        <f t="shared" si="2"/>
        <v>HomeTheater,TV&amp;Video</v>
      </c>
      <c r="F66" s="5">
        <v>13999.0</v>
      </c>
      <c r="G66" s="5">
        <v>24999.0</v>
      </c>
      <c r="H66" s="6">
        <f t="shared" si="3"/>
        <v>0.4400176007</v>
      </c>
      <c r="I66" s="3">
        <f>IFERROR(__xludf.DUMMYFUNCTION("GOOGLEFINANCE(""CURRENCY:INRBRL"")*F66"),852.5584901548899)</f>
        <v>852.5584902</v>
      </c>
      <c r="J66" s="1">
        <v>4.5</v>
      </c>
      <c r="K66" s="1">
        <v>45238.0</v>
      </c>
      <c r="L66" s="1" t="s">
        <v>283</v>
      </c>
      <c r="M66" s="7" t="s">
        <v>284</v>
      </c>
    </row>
    <row r="67">
      <c r="A67" s="1" t="s">
        <v>285</v>
      </c>
      <c r="B67" s="1" t="s">
        <v>286</v>
      </c>
      <c r="C67" s="1" t="s">
        <v>72</v>
      </c>
      <c r="D67" s="1" t="str">
        <f t="shared" si="1"/>
        <v>Electronics</v>
      </c>
      <c r="E67" s="1" t="str">
        <f t="shared" si="2"/>
        <v>HomeTheater,TV&amp;Video</v>
      </c>
      <c r="F67" s="1">
        <v>309.0</v>
      </c>
      <c r="G67" s="5">
        <v>1400.0</v>
      </c>
      <c r="H67" s="6">
        <f t="shared" si="3"/>
        <v>0.7792857143</v>
      </c>
      <c r="I67" s="3">
        <f>IFERROR(__xludf.DUMMYFUNCTION("GOOGLEFINANCE(""CURRENCY:INRBRL"")*F67"),18.81852799899)</f>
        <v>18.818528</v>
      </c>
      <c r="J67" s="1">
        <v>4.5</v>
      </c>
      <c r="K67" s="1">
        <v>426973.0</v>
      </c>
      <c r="L67" s="1" t="s">
        <v>287</v>
      </c>
      <c r="M67" s="7" t="s">
        <v>288</v>
      </c>
    </row>
    <row r="68">
      <c r="A68" s="1" t="s">
        <v>289</v>
      </c>
      <c r="B68" s="1" t="s">
        <v>290</v>
      </c>
      <c r="C68" s="1" t="s">
        <v>22</v>
      </c>
      <c r="D68" s="1" t="str">
        <f t="shared" si="1"/>
        <v>Computers&amp;Accessories</v>
      </c>
      <c r="E68" s="1" t="str">
        <f t="shared" si="2"/>
        <v>Accessories&amp;Peripherals</v>
      </c>
      <c r="F68" s="1">
        <v>263.0</v>
      </c>
      <c r="G68" s="1">
        <v>699.0</v>
      </c>
      <c r="H68" s="6">
        <f t="shared" si="3"/>
        <v>0.6237482117</v>
      </c>
      <c r="I68" s="3">
        <f>IFERROR(__xludf.DUMMYFUNCTION("GOOGLEFINANCE(""CURRENCY:INRBRL"")*F68"),16.01706428393)</f>
        <v>16.01706428</v>
      </c>
      <c r="J68" s="1">
        <v>4.49</v>
      </c>
      <c r="K68" s="1">
        <v>450.0</v>
      </c>
      <c r="L68" s="1" t="s">
        <v>291</v>
      </c>
      <c r="M68" s="7" t="s">
        <v>292</v>
      </c>
    </row>
    <row r="69">
      <c r="A69" s="1" t="s">
        <v>293</v>
      </c>
      <c r="B69" s="1" t="s">
        <v>294</v>
      </c>
      <c r="C69" s="1" t="s">
        <v>238</v>
      </c>
      <c r="D69" s="1" t="str">
        <f t="shared" si="1"/>
        <v>Electronics</v>
      </c>
      <c r="E69" s="1" t="str">
        <f t="shared" si="2"/>
        <v>HomeTheater,TV&amp;Video</v>
      </c>
      <c r="F69" s="5">
        <v>7999.0</v>
      </c>
      <c r="G69" s="5">
        <v>14990.0</v>
      </c>
      <c r="H69" s="6">
        <f t="shared" si="3"/>
        <v>0.4663775851</v>
      </c>
      <c r="I69" s="3">
        <f>IFERROR(__xludf.DUMMYFUNCTION("GOOGLEFINANCE(""CURRENCY:INRBRL"")*F69"),487.15017949489)</f>
        <v>487.1501795</v>
      </c>
      <c r="J69" s="1">
        <v>4.5</v>
      </c>
      <c r="K69" s="1">
        <v>457.0</v>
      </c>
      <c r="L69" s="1" t="s">
        <v>295</v>
      </c>
      <c r="M69" s="7" t="s">
        <v>296</v>
      </c>
    </row>
    <row r="70">
      <c r="A70" s="1" t="s">
        <v>297</v>
      </c>
      <c r="B70" s="1" t="s">
        <v>298</v>
      </c>
      <c r="C70" s="1" t="s">
        <v>299</v>
      </c>
      <c r="D70" s="1" t="str">
        <f t="shared" si="1"/>
        <v>Electronics</v>
      </c>
      <c r="E70" s="1" t="str">
        <f t="shared" si="2"/>
        <v>HomeTheater,TV&amp;Video</v>
      </c>
      <c r="F70" s="5">
        <v>1599.0</v>
      </c>
      <c r="G70" s="5">
        <v>2999.0</v>
      </c>
      <c r="H70" s="6">
        <f t="shared" si="3"/>
        <v>0.4668222741</v>
      </c>
      <c r="I70" s="3">
        <f>IFERROR(__xludf.DUMMYFUNCTION("GOOGLEFINANCE(""CURRENCY:INRBRL"")*F70"),97.38131479089)</f>
        <v>97.38131479</v>
      </c>
      <c r="J70" s="1">
        <v>4.5</v>
      </c>
      <c r="K70" s="1">
        <v>2727.0</v>
      </c>
      <c r="L70" s="1" t="s">
        <v>300</v>
      </c>
      <c r="M70" s="7" t="s">
        <v>301</v>
      </c>
    </row>
    <row r="71">
      <c r="A71" s="1" t="s">
        <v>302</v>
      </c>
      <c r="B71" s="1" t="s">
        <v>303</v>
      </c>
      <c r="C71" s="1" t="s">
        <v>22</v>
      </c>
      <c r="D71" s="1" t="str">
        <f t="shared" si="1"/>
        <v>Computers&amp;Accessories</v>
      </c>
      <c r="E71" s="1" t="str">
        <f t="shared" si="2"/>
        <v>Accessories&amp;Peripherals</v>
      </c>
      <c r="F71" s="1">
        <v>219.0</v>
      </c>
      <c r="G71" s="1">
        <v>700.0</v>
      </c>
      <c r="H71" s="6">
        <f t="shared" si="3"/>
        <v>0.6871428571</v>
      </c>
      <c r="I71" s="3">
        <f>IFERROR(__xludf.DUMMYFUNCTION("GOOGLEFINANCE(""CURRENCY:INRBRL"")*F71"),13.337403339089999)</f>
        <v>13.33740334</v>
      </c>
      <c r="J71" s="1">
        <v>4.5</v>
      </c>
      <c r="K71" s="1">
        <v>20053.0</v>
      </c>
      <c r="L71" s="1" t="s">
        <v>304</v>
      </c>
      <c r="M71" s="7" t="s">
        <v>305</v>
      </c>
    </row>
    <row r="72">
      <c r="A72" s="1" t="s">
        <v>306</v>
      </c>
      <c r="B72" s="1" t="s">
        <v>307</v>
      </c>
      <c r="C72" s="1" t="s">
        <v>22</v>
      </c>
      <c r="D72" s="1" t="str">
        <f t="shared" si="1"/>
        <v>Computers&amp;Accessories</v>
      </c>
      <c r="E72" s="1" t="str">
        <f t="shared" si="2"/>
        <v>Accessories&amp;Peripherals</v>
      </c>
      <c r="F72" s="1">
        <v>349.0</v>
      </c>
      <c r="G72" s="1">
        <v>899.0</v>
      </c>
      <c r="H72" s="6">
        <f t="shared" si="3"/>
        <v>0.6117908788</v>
      </c>
      <c r="I72" s="3">
        <f>IFERROR(__xludf.DUMMYFUNCTION("GOOGLEFINANCE(""CURRENCY:INRBRL"")*F72"),21.25458340339)</f>
        <v>21.2545834</v>
      </c>
      <c r="J72" s="1">
        <v>4.51</v>
      </c>
      <c r="K72" s="1">
        <v>149.0</v>
      </c>
      <c r="L72" s="1" t="s">
        <v>308</v>
      </c>
      <c r="M72" s="7" t="s">
        <v>309</v>
      </c>
    </row>
    <row r="73">
      <c r="A73" s="1" t="s">
        <v>310</v>
      </c>
      <c r="B73" s="1" t="s">
        <v>311</v>
      </c>
      <c r="C73" s="1" t="s">
        <v>22</v>
      </c>
      <c r="D73" s="1" t="str">
        <f t="shared" si="1"/>
        <v>Computers&amp;Accessories</v>
      </c>
      <c r="E73" s="1" t="str">
        <f t="shared" si="2"/>
        <v>Accessories&amp;Peripherals</v>
      </c>
      <c r="F73" s="1">
        <v>349.0</v>
      </c>
      <c r="G73" s="1">
        <v>599.0</v>
      </c>
      <c r="H73" s="6">
        <f t="shared" si="3"/>
        <v>0.4173622705</v>
      </c>
      <c r="I73" s="3">
        <f>IFERROR(__xludf.DUMMYFUNCTION("GOOGLEFINANCE(""CURRENCY:INRBRL"")*F73"),21.25458340339)</f>
        <v>21.2545834</v>
      </c>
      <c r="J73" s="1">
        <v>4.49</v>
      </c>
      <c r="K73" s="1">
        <v>210.0</v>
      </c>
      <c r="L73" s="1" t="s">
        <v>312</v>
      </c>
      <c r="M73" s="7" t="s">
        <v>313</v>
      </c>
    </row>
    <row r="74">
      <c r="A74" s="1" t="s">
        <v>314</v>
      </c>
      <c r="B74" s="1" t="s">
        <v>315</v>
      </c>
      <c r="C74" s="1" t="s">
        <v>88</v>
      </c>
      <c r="D74" s="1" t="str">
        <f t="shared" si="1"/>
        <v>Electronics</v>
      </c>
      <c r="E74" s="1" t="str">
        <f t="shared" si="2"/>
        <v>HomeTheater,TV&amp;Video</v>
      </c>
      <c r="F74" s="5">
        <v>26999.0</v>
      </c>
      <c r="G74" s="5">
        <v>42999.0</v>
      </c>
      <c r="H74" s="6">
        <f t="shared" si="3"/>
        <v>0.3721016768</v>
      </c>
      <c r="I74" s="3">
        <f>IFERROR(__xludf.DUMMYFUNCTION("GOOGLEFINANCE(""CURRENCY:INRBRL"")*F74"),1644.2764965848899)</f>
        <v>1644.276497</v>
      </c>
      <c r="J74" s="1">
        <v>4.5</v>
      </c>
      <c r="K74" s="1">
        <v>45238.0</v>
      </c>
      <c r="L74" s="1" t="s">
        <v>316</v>
      </c>
      <c r="M74" s="7" t="s">
        <v>317</v>
      </c>
    </row>
    <row r="75">
      <c r="A75" s="1" t="s">
        <v>318</v>
      </c>
      <c r="B75" s="1" t="s">
        <v>319</v>
      </c>
      <c r="C75" s="1" t="s">
        <v>22</v>
      </c>
      <c r="D75" s="1" t="str">
        <f t="shared" si="1"/>
        <v>Computers&amp;Accessories</v>
      </c>
      <c r="E75" s="1" t="str">
        <f t="shared" si="2"/>
        <v>Accessories&amp;Peripherals</v>
      </c>
      <c r="F75" s="1">
        <v>115.0</v>
      </c>
      <c r="G75" s="1">
        <v>499.0</v>
      </c>
      <c r="H75" s="6">
        <f t="shared" si="3"/>
        <v>0.7695390782</v>
      </c>
      <c r="I75" s="3">
        <f>IFERROR(__xludf.DUMMYFUNCTION("GOOGLEFINANCE(""CURRENCY:INRBRL"")*F75"),7.00365928765)</f>
        <v>7.003659288</v>
      </c>
      <c r="J75" s="1">
        <v>4.0</v>
      </c>
      <c r="K75" s="1">
        <v>7732.0</v>
      </c>
      <c r="L75" s="1" t="s">
        <v>320</v>
      </c>
      <c r="M75" s="7" t="s">
        <v>321</v>
      </c>
    </row>
    <row r="76">
      <c r="A76" s="1" t="s">
        <v>322</v>
      </c>
      <c r="B76" s="1" t="s">
        <v>323</v>
      </c>
      <c r="C76" s="1" t="s">
        <v>22</v>
      </c>
      <c r="D76" s="1" t="str">
        <f t="shared" si="1"/>
        <v>Computers&amp;Accessories</v>
      </c>
      <c r="E76" s="1" t="str">
        <f t="shared" si="2"/>
        <v>Accessories&amp;Peripherals</v>
      </c>
      <c r="F76" s="1">
        <v>399.0</v>
      </c>
      <c r="G76" s="1">
        <v>999.0</v>
      </c>
      <c r="H76" s="6">
        <f t="shared" si="3"/>
        <v>0.6006006006</v>
      </c>
      <c r="I76" s="3">
        <f>IFERROR(__xludf.DUMMYFUNCTION("GOOGLEFINANCE(""CURRENCY:INRBRL"")*F76"),24.29965265889)</f>
        <v>24.29965266</v>
      </c>
      <c r="J76" s="1">
        <v>4.49</v>
      </c>
      <c r="K76" s="1">
        <v>178.0</v>
      </c>
      <c r="L76" s="1" t="s">
        <v>324</v>
      </c>
      <c r="M76" s="7" t="s">
        <v>325</v>
      </c>
    </row>
    <row r="77">
      <c r="A77" s="1" t="s">
        <v>326</v>
      </c>
      <c r="B77" s="1" t="s">
        <v>327</v>
      </c>
      <c r="C77" s="1" t="s">
        <v>22</v>
      </c>
      <c r="D77" s="1" t="str">
        <f t="shared" si="1"/>
        <v>Computers&amp;Accessories</v>
      </c>
      <c r="E77" s="1" t="str">
        <f t="shared" si="2"/>
        <v>Accessories&amp;Peripherals</v>
      </c>
      <c r="F77" s="1">
        <v>199.0</v>
      </c>
      <c r="G77" s="1">
        <v>499.0</v>
      </c>
      <c r="H77" s="6">
        <f t="shared" si="3"/>
        <v>0.6012024048</v>
      </c>
      <c r="I77" s="3">
        <f>IFERROR(__xludf.DUMMYFUNCTION("GOOGLEFINANCE(""CURRENCY:INRBRL"")*F77"),12.11937563689)</f>
        <v>12.11937564</v>
      </c>
      <c r="J77" s="1">
        <v>4.49</v>
      </c>
      <c r="K77" s="1">
        <v>602.0</v>
      </c>
      <c r="L77" s="1" t="s">
        <v>328</v>
      </c>
      <c r="M77" s="7" t="s">
        <v>329</v>
      </c>
    </row>
    <row r="78">
      <c r="A78" s="1" t="s">
        <v>330</v>
      </c>
      <c r="B78" s="1" t="s">
        <v>331</v>
      </c>
      <c r="C78" s="1" t="s">
        <v>22</v>
      </c>
      <c r="D78" s="1" t="str">
        <f t="shared" si="1"/>
        <v>Computers&amp;Accessories</v>
      </c>
      <c r="E78" s="1" t="str">
        <f t="shared" si="2"/>
        <v>Accessories&amp;Peripherals</v>
      </c>
      <c r="F78" s="1">
        <v>179.0</v>
      </c>
      <c r="G78" s="1">
        <v>399.0</v>
      </c>
      <c r="H78" s="6">
        <f t="shared" si="3"/>
        <v>0.5513784461</v>
      </c>
      <c r="I78" s="3">
        <f>IFERROR(__xludf.DUMMYFUNCTION("GOOGLEFINANCE(""CURRENCY:INRBRL"")*F78"),10.90134793469)</f>
        <v>10.90134793</v>
      </c>
      <c r="J78" s="1">
        <v>4.0</v>
      </c>
      <c r="K78" s="1">
        <v>1423.0</v>
      </c>
      <c r="L78" s="1" t="s">
        <v>332</v>
      </c>
      <c r="M78" s="7" t="s">
        <v>333</v>
      </c>
    </row>
    <row r="79">
      <c r="A79" s="1" t="s">
        <v>334</v>
      </c>
      <c r="B79" s="1" t="s">
        <v>335</v>
      </c>
      <c r="C79" s="1" t="s">
        <v>88</v>
      </c>
      <c r="D79" s="1" t="str">
        <f t="shared" si="1"/>
        <v>Electronics</v>
      </c>
      <c r="E79" s="1" t="str">
        <f t="shared" si="2"/>
        <v>HomeTheater,TV&amp;Video</v>
      </c>
      <c r="F79" s="5">
        <v>10901.0</v>
      </c>
      <c r="G79" s="5">
        <v>30990.0</v>
      </c>
      <c r="H79" s="6">
        <f t="shared" si="3"/>
        <v>0.6482413682</v>
      </c>
      <c r="I79" s="3">
        <f>IFERROR(__xludf.DUMMYFUNCTION("GOOGLEFINANCE(""CURRENCY:INRBRL"")*F79"),663.8859990841099)</f>
        <v>663.8859991</v>
      </c>
      <c r="J79" s="1">
        <v>4.49</v>
      </c>
      <c r="K79" s="1">
        <v>398.0</v>
      </c>
      <c r="L79" s="1" t="s">
        <v>336</v>
      </c>
      <c r="M79" s="7" t="s">
        <v>337</v>
      </c>
    </row>
    <row r="80">
      <c r="A80" s="1" t="s">
        <v>338</v>
      </c>
      <c r="B80" s="1" t="s">
        <v>339</v>
      </c>
      <c r="C80" s="1" t="s">
        <v>22</v>
      </c>
      <c r="D80" s="1" t="str">
        <f t="shared" si="1"/>
        <v>Computers&amp;Accessories</v>
      </c>
      <c r="E80" s="1" t="str">
        <f t="shared" si="2"/>
        <v>Accessories&amp;Peripherals</v>
      </c>
      <c r="F80" s="1">
        <v>209.0</v>
      </c>
      <c r="G80" s="1">
        <v>499.0</v>
      </c>
      <c r="H80" s="6">
        <f t="shared" si="3"/>
        <v>0.5811623246</v>
      </c>
      <c r="I80" s="3">
        <f>IFERROR(__xludf.DUMMYFUNCTION("GOOGLEFINANCE(""CURRENCY:INRBRL"")*F80"),12.72838948799)</f>
        <v>12.72838949</v>
      </c>
      <c r="J80" s="1">
        <v>4.52</v>
      </c>
      <c r="K80" s="1">
        <v>536.0</v>
      </c>
      <c r="L80" s="1" t="s">
        <v>340</v>
      </c>
      <c r="M80" s="7" t="s">
        <v>341</v>
      </c>
    </row>
    <row r="81">
      <c r="A81" s="1" t="s">
        <v>342</v>
      </c>
      <c r="B81" s="1" t="s">
        <v>343</v>
      </c>
      <c r="C81" s="1" t="s">
        <v>217</v>
      </c>
      <c r="D81" s="1" t="str">
        <f t="shared" si="1"/>
        <v>Electronics</v>
      </c>
      <c r="E81" s="1" t="str">
        <f t="shared" si="2"/>
        <v>HomeTheater,TV&amp;Video</v>
      </c>
      <c r="F81" s="5">
        <v>1434.0</v>
      </c>
      <c r="G81" s="5">
        <v>3999.0</v>
      </c>
      <c r="H81" s="6">
        <f t="shared" si="3"/>
        <v>0.6414103526</v>
      </c>
      <c r="I81" s="3">
        <f>IFERROR(__xludf.DUMMYFUNCTION("GOOGLEFINANCE(""CURRENCY:INRBRL"")*F81"),87.33258624774)</f>
        <v>87.33258625</v>
      </c>
      <c r="J81" s="1">
        <v>4.0</v>
      </c>
      <c r="K81" s="1">
        <v>32.0</v>
      </c>
      <c r="L81" s="1" t="s">
        <v>344</v>
      </c>
      <c r="M81" s="7" t="s">
        <v>345</v>
      </c>
    </row>
    <row r="82">
      <c r="A82" s="1" t="s">
        <v>346</v>
      </c>
      <c r="B82" s="1" t="s">
        <v>347</v>
      </c>
      <c r="C82" s="1" t="s">
        <v>22</v>
      </c>
      <c r="D82" s="1" t="str">
        <f t="shared" si="1"/>
        <v>Computers&amp;Accessories</v>
      </c>
      <c r="E82" s="1" t="str">
        <f t="shared" si="2"/>
        <v>Accessories&amp;Peripherals</v>
      </c>
      <c r="F82" s="1">
        <v>399.0</v>
      </c>
      <c r="G82" s="5">
        <v>1099.0</v>
      </c>
      <c r="H82" s="6">
        <f t="shared" si="3"/>
        <v>0.6369426752</v>
      </c>
      <c r="I82" s="3">
        <f>IFERROR(__xludf.DUMMYFUNCTION("GOOGLEFINANCE(""CURRENCY:INRBRL"")*F82"),24.29965265889)</f>
        <v>24.29965266</v>
      </c>
      <c r="J82" s="1">
        <v>4.5</v>
      </c>
      <c r="K82" s="1">
        <v>24269.0</v>
      </c>
      <c r="L82" s="1" t="s">
        <v>348</v>
      </c>
      <c r="M82" s="7" t="s">
        <v>349</v>
      </c>
    </row>
    <row r="83">
      <c r="A83" s="1" t="s">
        <v>350</v>
      </c>
      <c r="B83" s="1" t="s">
        <v>351</v>
      </c>
      <c r="C83" s="1" t="s">
        <v>22</v>
      </c>
      <c r="D83" s="1" t="str">
        <f t="shared" si="1"/>
        <v>Computers&amp;Accessories</v>
      </c>
      <c r="E83" s="1" t="str">
        <f t="shared" si="2"/>
        <v>Accessories&amp;Peripherals</v>
      </c>
      <c r="F83" s="1">
        <v>139.0</v>
      </c>
      <c r="G83" s="1">
        <v>249.0</v>
      </c>
      <c r="H83" s="6">
        <f t="shared" si="3"/>
        <v>0.4417670683</v>
      </c>
      <c r="I83" s="3">
        <f>IFERROR(__xludf.DUMMYFUNCTION("GOOGLEFINANCE(""CURRENCY:INRBRL"")*F83"),8.46529253029)</f>
        <v>8.46529253</v>
      </c>
      <c r="J83" s="1">
        <v>4.0</v>
      </c>
      <c r="K83" s="1">
        <v>9378.0</v>
      </c>
      <c r="L83" s="1" t="s">
        <v>352</v>
      </c>
      <c r="M83" s="7" t="s">
        <v>353</v>
      </c>
    </row>
    <row r="84">
      <c r="A84" s="1" t="s">
        <v>354</v>
      </c>
      <c r="B84" s="1" t="s">
        <v>355</v>
      </c>
      <c r="C84" s="1" t="s">
        <v>88</v>
      </c>
      <c r="D84" s="1" t="str">
        <f t="shared" si="1"/>
        <v>Electronics</v>
      </c>
      <c r="E84" s="1" t="str">
        <f t="shared" si="2"/>
        <v>HomeTheater,TV&amp;Video</v>
      </c>
      <c r="F84" s="5">
        <v>7299.0</v>
      </c>
      <c r="G84" s="5">
        <v>19125.0</v>
      </c>
      <c r="H84" s="6">
        <f t="shared" si="3"/>
        <v>0.6183529412</v>
      </c>
      <c r="I84" s="3">
        <f>IFERROR(__xludf.DUMMYFUNCTION("GOOGLEFINANCE(""CURRENCY:INRBRL"")*F84"),444.51920991789)</f>
        <v>444.5192099</v>
      </c>
      <c r="J84" s="1">
        <v>4.5</v>
      </c>
      <c r="K84" s="1">
        <v>902.0</v>
      </c>
      <c r="L84" s="1" t="s">
        <v>356</v>
      </c>
      <c r="M84" s="7" t="s">
        <v>357</v>
      </c>
    </row>
    <row r="85">
      <c r="A85" s="1" t="s">
        <v>358</v>
      </c>
      <c r="B85" s="1" t="s">
        <v>359</v>
      </c>
      <c r="C85" s="1" t="s">
        <v>22</v>
      </c>
      <c r="D85" s="1" t="str">
        <f t="shared" si="1"/>
        <v>Computers&amp;Accessories</v>
      </c>
      <c r="E85" s="1" t="str">
        <f t="shared" si="2"/>
        <v>Accessories&amp;Peripherals</v>
      </c>
      <c r="F85" s="1">
        <v>299.0</v>
      </c>
      <c r="G85" s="1">
        <v>799.0</v>
      </c>
      <c r="H85" s="6">
        <f t="shared" si="3"/>
        <v>0.6257822278</v>
      </c>
      <c r="I85" s="3">
        <f>IFERROR(__xludf.DUMMYFUNCTION("GOOGLEFINANCE(""CURRENCY:INRBRL"")*F85"),18.209514147889998)</f>
        <v>18.20951415</v>
      </c>
      <c r="J85" s="1">
        <v>4.5</v>
      </c>
      <c r="K85" s="1">
        <v>28791.0</v>
      </c>
      <c r="L85" s="1" t="s">
        <v>360</v>
      </c>
      <c r="M85" s="7" t="s">
        <v>361</v>
      </c>
    </row>
    <row r="86">
      <c r="A86" s="1" t="s">
        <v>362</v>
      </c>
      <c r="B86" s="1" t="s">
        <v>363</v>
      </c>
      <c r="C86" s="1" t="s">
        <v>22</v>
      </c>
      <c r="D86" s="1" t="str">
        <f t="shared" si="1"/>
        <v>Computers&amp;Accessories</v>
      </c>
      <c r="E86" s="1" t="str">
        <f t="shared" si="2"/>
        <v>Accessories&amp;Peripherals</v>
      </c>
      <c r="F86" s="1">
        <v>325.0</v>
      </c>
      <c r="G86" s="5">
        <v>1299.0</v>
      </c>
      <c r="H86" s="6">
        <f t="shared" si="3"/>
        <v>0.7498075443</v>
      </c>
      <c r="I86" s="3">
        <f>IFERROR(__xludf.DUMMYFUNCTION("GOOGLEFINANCE(""CURRENCY:INRBRL"")*F86"),19.79295016075)</f>
        <v>19.79295016</v>
      </c>
      <c r="J86" s="1">
        <v>4.5</v>
      </c>
      <c r="K86" s="1">
        <v>10576.0</v>
      </c>
      <c r="L86" s="1" t="s">
        <v>364</v>
      </c>
      <c r="M86" s="7" t="s">
        <v>365</v>
      </c>
    </row>
    <row r="87">
      <c r="A87" s="1" t="s">
        <v>366</v>
      </c>
      <c r="B87" s="1" t="s">
        <v>367</v>
      </c>
      <c r="C87" s="1" t="s">
        <v>88</v>
      </c>
      <c r="D87" s="1" t="str">
        <f t="shared" si="1"/>
        <v>Electronics</v>
      </c>
      <c r="E87" s="1" t="str">
        <f t="shared" si="2"/>
        <v>HomeTheater,TV&amp;Video</v>
      </c>
      <c r="F87" s="5">
        <v>29999.0</v>
      </c>
      <c r="G87" s="5">
        <v>39999.0</v>
      </c>
      <c r="H87" s="6">
        <f t="shared" si="3"/>
        <v>0.2500062502</v>
      </c>
      <c r="I87" s="3">
        <f>IFERROR(__xludf.DUMMYFUNCTION("GOOGLEFINANCE(""CURRENCY:INRBRL"")*F87"),1826.98065191489)</f>
        <v>1826.980652</v>
      </c>
      <c r="J87" s="1">
        <v>4.5</v>
      </c>
      <c r="K87" s="1">
        <v>7298.0</v>
      </c>
      <c r="L87" s="1" t="s">
        <v>368</v>
      </c>
      <c r="M87" s="7" t="s">
        <v>369</v>
      </c>
    </row>
    <row r="88">
      <c r="A88" s="1" t="s">
        <v>370</v>
      </c>
      <c r="B88" s="1" t="s">
        <v>371</v>
      </c>
      <c r="C88" s="1" t="s">
        <v>88</v>
      </c>
      <c r="D88" s="1" t="str">
        <f t="shared" si="1"/>
        <v>Electronics</v>
      </c>
      <c r="E88" s="1" t="str">
        <f t="shared" si="2"/>
        <v>HomeTheater,TV&amp;Video</v>
      </c>
      <c r="F88" s="5">
        <v>27999.0</v>
      </c>
      <c r="G88" s="5">
        <v>40990.0</v>
      </c>
      <c r="H88" s="6">
        <f t="shared" si="3"/>
        <v>0.3169309588</v>
      </c>
      <c r="I88" s="3">
        <f>IFERROR(__xludf.DUMMYFUNCTION("GOOGLEFINANCE(""CURRENCY:INRBRL"")*F88"),1705.17788169489)</f>
        <v>1705.177882</v>
      </c>
      <c r="J88" s="1">
        <v>4.5</v>
      </c>
      <c r="K88" s="1">
        <v>4703.0</v>
      </c>
      <c r="L88" s="1" t="s">
        <v>372</v>
      </c>
      <c r="M88" s="7" t="s">
        <v>373</v>
      </c>
    </row>
    <row r="89">
      <c r="A89" s="1" t="s">
        <v>374</v>
      </c>
      <c r="B89" s="1" t="s">
        <v>375</v>
      </c>
      <c r="C89" s="1" t="s">
        <v>88</v>
      </c>
      <c r="D89" s="1" t="str">
        <f t="shared" si="1"/>
        <v>Electronics</v>
      </c>
      <c r="E89" s="1" t="str">
        <f t="shared" si="2"/>
        <v>HomeTheater,TV&amp;Video</v>
      </c>
      <c r="F89" s="5">
        <v>30990.0</v>
      </c>
      <c r="G89" s="5">
        <v>52990.0</v>
      </c>
      <c r="H89" s="6">
        <f t="shared" si="3"/>
        <v>0.4151726741</v>
      </c>
      <c r="I89" s="3">
        <f>IFERROR(__xludf.DUMMYFUNCTION("GOOGLEFINANCE(""CURRENCY:INRBRL"")*F89"),1887.3339245589)</f>
        <v>1887.333925</v>
      </c>
      <c r="J89" s="1">
        <v>4.5</v>
      </c>
      <c r="K89" s="1">
        <v>7109.0</v>
      </c>
      <c r="L89" s="1" t="s">
        <v>376</v>
      </c>
      <c r="M89" s="7" t="s">
        <v>377</v>
      </c>
    </row>
    <row r="90">
      <c r="A90" s="1" t="s">
        <v>378</v>
      </c>
      <c r="B90" s="1" t="s">
        <v>379</v>
      </c>
      <c r="C90" s="1" t="s">
        <v>22</v>
      </c>
      <c r="D90" s="1" t="str">
        <f t="shared" si="1"/>
        <v>Computers&amp;Accessories</v>
      </c>
      <c r="E90" s="1" t="str">
        <f t="shared" si="2"/>
        <v>Accessories&amp;Peripherals</v>
      </c>
      <c r="F90" s="1">
        <v>199.0</v>
      </c>
      <c r="G90" s="1">
        <v>999.0</v>
      </c>
      <c r="H90" s="6">
        <f t="shared" si="3"/>
        <v>0.8008008008</v>
      </c>
      <c r="I90" s="3">
        <f>IFERROR(__xludf.DUMMYFUNCTION("GOOGLEFINANCE(""CURRENCY:INRBRL"")*F90"),12.11937563689)</f>
        <v>12.11937564</v>
      </c>
      <c r="J90" s="1">
        <v>4.51</v>
      </c>
      <c r="K90" s="1">
        <v>127.0</v>
      </c>
      <c r="L90" s="1" t="s">
        <v>380</v>
      </c>
      <c r="M90" s="7" t="s">
        <v>381</v>
      </c>
    </row>
    <row r="91">
      <c r="A91" s="1" t="s">
        <v>382</v>
      </c>
      <c r="B91" s="1" t="s">
        <v>383</v>
      </c>
      <c r="C91" s="1" t="s">
        <v>22</v>
      </c>
      <c r="D91" s="1" t="str">
        <f t="shared" si="1"/>
        <v>Computers&amp;Accessories</v>
      </c>
      <c r="E91" s="1" t="str">
        <f t="shared" si="2"/>
        <v>Accessories&amp;Peripherals</v>
      </c>
      <c r="F91" s="1">
        <v>649.0</v>
      </c>
      <c r="G91" s="5">
        <v>1999.0</v>
      </c>
      <c r="H91" s="6">
        <f t="shared" si="3"/>
        <v>0.6753376688</v>
      </c>
      <c r="I91" s="3">
        <f>IFERROR(__xludf.DUMMYFUNCTION("GOOGLEFINANCE(""CURRENCY:INRBRL"")*F91"),39.52499893639)</f>
        <v>39.52499894</v>
      </c>
      <c r="J91" s="1">
        <v>4.5</v>
      </c>
      <c r="K91" s="1">
        <v>24269.0</v>
      </c>
      <c r="L91" s="1" t="s">
        <v>193</v>
      </c>
      <c r="M91" s="7" t="s">
        <v>384</v>
      </c>
    </row>
    <row r="92">
      <c r="A92" s="1" t="s">
        <v>385</v>
      </c>
      <c r="B92" s="1" t="s">
        <v>386</v>
      </c>
      <c r="C92" s="1" t="s">
        <v>55</v>
      </c>
      <c r="D92" s="1" t="str">
        <f t="shared" si="1"/>
        <v>Computers&amp;Accessories</v>
      </c>
      <c r="E92" s="1" t="str">
        <f t="shared" si="2"/>
        <v>NetworkingDevices</v>
      </c>
      <c r="F92" s="1">
        <v>269.0</v>
      </c>
      <c r="G92" s="1">
        <v>800.0</v>
      </c>
      <c r="H92" s="6">
        <f t="shared" si="3"/>
        <v>0.66375</v>
      </c>
      <c r="I92" s="3">
        <f>IFERROR(__xludf.DUMMYFUNCTION("GOOGLEFINANCE(""CURRENCY:INRBRL"")*F92"),16.38247259459)</f>
        <v>16.38247259</v>
      </c>
      <c r="J92" s="1">
        <v>4.51</v>
      </c>
      <c r="K92" s="1">
        <v>10134.0</v>
      </c>
      <c r="L92" s="1" t="s">
        <v>387</v>
      </c>
      <c r="M92" s="7" t="s">
        <v>388</v>
      </c>
    </row>
    <row r="93">
      <c r="A93" s="1" t="s">
        <v>389</v>
      </c>
      <c r="B93" s="1" t="s">
        <v>390</v>
      </c>
      <c r="C93" s="1" t="s">
        <v>88</v>
      </c>
      <c r="D93" s="1" t="str">
        <f t="shared" si="1"/>
        <v>Electronics</v>
      </c>
      <c r="E93" s="1" t="str">
        <f t="shared" si="2"/>
        <v>HomeTheater,TV&amp;Video</v>
      </c>
      <c r="F93" s="5">
        <v>24999.0</v>
      </c>
      <c r="G93" s="5">
        <v>31999.0</v>
      </c>
      <c r="H93" s="6">
        <f t="shared" si="3"/>
        <v>0.2187568362</v>
      </c>
      <c r="I93" s="3">
        <f>IFERROR(__xludf.DUMMYFUNCTION("GOOGLEFINANCE(""CURRENCY:INRBRL"")*F93"),1522.47372636489)</f>
        <v>1522.473726</v>
      </c>
      <c r="J93" s="1">
        <v>4.5</v>
      </c>
      <c r="K93" s="1">
        <v>34899.0</v>
      </c>
      <c r="L93" s="1" t="s">
        <v>391</v>
      </c>
      <c r="M93" s="7" t="s">
        <v>392</v>
      </c>
    </row>
    <row r="94">
      <c r="A94" s="1" t="s">
        <v>393</v>
      </c>
      <c r="B94" s="1" t="s">
        <v>394</v>
      </c>
      <c r="C94" s="1" t="s">
        <v>22</v>
      </c>
      <c r="D94" s="1" t="str">
        <f t="shared" si="1"/>
        <v>Computers&amp;Accessories</v>
      </c>
      <c r="E94" s="1" t="str">
        <f t="shared" si="2"/>
        <v>Accessories&amp;Peripherals</v>
      </c>
      <c r="F94" s="1">
        <v>299.0</v>
      </c>
      <c r="G94" s="1">
        <v>699.0</v>
      </c>
      <c r="H94" s="6">
        <f t="shared" si="3"/>
        <v>0.5722460658</v>
      </c>
      <c r="I94" s="3">
        <f>IFERROR(__xludf.DUMMYFUNCTION("GOOGLEFINANCE(""CURRENCY:INRBRL"")*F94"),18.209514147889998)</f>
        <v>18.20951415</v>
      </c>
      <c r="J94" s="1">
        <v>4.5</v>
      </c>
      <c r="K94" s="1">
        <v>94363.0</v>
      </c>
      <c r="L94" s="1" t="s">
        <v>35</v>
      </c>
      <c r="M94" s="7" t="s">
        <v>395</v>
      </c>
    </row>
    <row r="95">
      <c r="A95" s="1" t="s">
        <v>396</v>
      </c>
      <c r="B95" s="1" t="s">
        <v>397</v>
      </c>
      <c r="C95" s="1" t="s">
        <v>22</v>
      </c>
      <c r="D95" s="1" t="str">
        <f t="shared" si="1"/>
        <v>Computers&amp;Accessories</v>
      </c>
      <c r="E95" s="1" t="str">
        <f t="shared" si="2"/>
        <v>Accessories&amp;Peripherals</v>
      </c>
      <c r="F95" s="1">
        <v>199.0</v>
      </c>
      <c r="G95" s="1">
        <v>999.0</v>
      </c>
      <c r="H95" s="6">
        <f t="shared" si="3"/>
        <v>0.8008008008</v>
      </c>
      <c r="I95" s="3">
        <f>IFERROR(__xludf.DUMMYFUNCTION("GOOGLEFINANCE(""CURRENCY:INRBRL"")*F95"),12.11937563689)</f>
        <v>12.11937564</v>
      </c>
      <c r="J95" s="1">
        <v>4.49</v>
      </c>
      <c r="K95" s="1">
        <v>425.0</v>
      </c>
      <c r="L95" s="1" t="s">
        <v>398</v>
      </c>
      <c r="M95" s="7" t="s">
        <v>399</v>
      </c>
    </row>
    <row r="96">
      <c r="A96" s="1" t="s">
        <v>400</v>
      </c>
      <c r="B96" s="1" t="s">
        <v>401</v>
      </c>
      <c r="C96" s="1" t="s">
        <v>88</v>
      </c>
      <c r="D96" s="1" t="str">
        <f t="shared" si="1"/>
        <v>Electronics</v>
      </c>
      <c r="E96" s="1" t="str">
        <f t="shared" si="2"/>
        <v>HomeTheater,TV&amp;Video</v>
      </c>
      <c r="F96" s="5">
        <v>18990.0</v>
      </c>
      <c r="G96" s="5">
        <v>40990.0</v>
      </c>
      <c r="H96" s="6">
        <f t="shared" si="3"/>
        <v>0.5367162723</v>
      </c>
      <c r="I96" s="3">
        <f>IFERROR(__xludf.DUMMYFUNCTION("GOOGLEFINANCE(""CURRENCY:INRBRL"")*F96"),1156.5173032389)</f>
        <v>1156.517303</v>
      </c>
      <c r="J96" s="1">
        <v>4.5</v>
      </c>
      <c r="K96" s="1">
        <v>6659.0</v>
      </c>
      <c r="L96" s="1" t="s">
        <v>402</v>
      </c>
      <c r="M96" s="7" t="s">
        <v>403</v>
      </c>
    </row>
    <row r="97">
      <c r="A97" s="1" t="s">
        <v>404</v>
      </c>
      <c r="B97" s="1" t="s">
        <v>405</v>
      </c>
      <c r="C97" s="1" t="s">
        <v>55</v>
      </c>
      <c r="D97" s="1" t="str">
        <f t="shared" si="1"/>
        <v>Computers&amp;Accessories</v>
      </c>
      <c r="E97" s="1" t="str">
        <f t="shared" si="2"/>
        <v>NetworkingDevices</v>
      </c>
      <c r="F97" s="1">
        <v>290.0</v>
      </c>
      <c r="G97" s="1">
        <v>349.0</v>
      </c>
      <c r="H97" s="6">
        <f t="shared" si="3"/>
        <v>0.1690544413</v>
      </c>
      <c r="I97" s="3">
        <f>IFERROR(__xludf.DUMMYFUNCTION("GOOGLEFINANCE(""CURRENCY:INRBRL"")*F97"),17.6614016819)</f>
        <v>17.66140168</v>
      </c>
      <c r="J97" s="1">
        <v>4.51</v>
      </c>
      <c r="K97" s="1">
        <v>1977.0</v>
      </c>
      <c r="L97" s="1" t="s">
        <v>406</v>
      </c>
      <c r="M97" s="7" t="s">
        <v>407</v>
      </c>
    </row>
    <row r="98">
      <c r="A98" s="1" t="s">
        <v>408</v>
      </c>
      <c r="B98" s="1" t="s">
        <v>409</v>
      </c>
      <c r="C98" s="1" t="s">
        <v>217</v>
      </c>
      <c r="D98" s="1" t="str">
        <f t="shared" si="1"/>
        <v>Electronics</v>
      </c>
      <c r="E98" s="1" t="str">
        <f t="shared" si="2"/>
        <v>HomeTheater,TV&amp;Video</v>
      </c>
      <c r="F98" s="1">
        <v>249.0</v>
      </c>
      <c r="G98" s="1">
        <v>799.0</v>
      </c>
      <c r="H98" s="6">
        <f t="shared" si="3"/>
        <v>0.6883604506</v>
      </c>
      <c r="I98" s="3">
        <f>IFERROR(__xludf.DUMMYFUNCTION("GOOGLEFINANCE(""CURRENCY:INRBRL"")*F98"),15.16444489239)</f>
        <v>15.16444489</v>
      </c>
      <c r="J98" s="1">
        <v>4.51</v>
      </c>
      <c r="K98" s="1">
        <v>1079.0</v>
      </c>
      <c r="L98" s="1" t="s">
        <v>410</v>
      </c>
      <c r="M98" s="7" t="s">
        <v>411</v>
      </c>
    </row>
    <row r="99">
      <c r="A99" s="1" t="s">
        <v>412</v>
      </c>
      <c r="B99" s="1" t="s">
        <v>413</v>
      </c>
      <c r="C99" s="1" t="s">
        <v>22</v>
      </c>
      <c r="D99" s="1" t="str">
        <f t="shared" si="1"/>
        <v>Computers&amp;Accessories</v>
      </c>
      <c r="E99" s="1" t="str">
        <f t="shared" si="2"/>
        <v>Accessories&amp;Peripherals</v>
      </c>
      <c r="F99" s="1">
        <v>345.0</v>
      </c>
      <c r="G99" s="1">
        <v>999.0</v>
      </c>
      <c r="H99" s="6">
        <f t="shared" si="3"/>
        <v>0.6546546547</v>
      </c>
      <c r="I99" s="3">
        <f>IFERROR(__xludf.DUMMYFUNCTION("GOOGLEFINANCE(""CURRENCY:INRBRL"")*F99"),21.01097786295)</f>
        <v>21.01097786</v>
      </c>
      <c r="J99" s="1">
        <v>4.51</v>
      </c>
      <c r="K99" s="1">
        <v>1097.0</v>
      </c>
      <c r="L99" s="1" t="s">
        <v>414</v>
      </c>
      <c r="M99" s="7" t="s">
        <v>415</v>
      </c>
    </row>
    <row r="100">
      <c r="A100" s="1" t="s">
        <v>416</v>
      </c>
      <c r="B100" s="1" t="s">
        <v>417</v>
      </c>
      <c r="C100" s="1" t="s">
        <v>55</v>
      </c>
      <c r="D100" s="1" t="str">
        <f t="shared" si="1"/>
        <v>Computers&amp;Accessories</v>
      </c>
      <c r="E100" s="1" t="str">
        <f t="shared" si="2"/>
        <v>NetworkingDevices</v>
      </c>
      <c r="F100" s="5">
        <v>1099.0</v>
      </c>
      <c r="G100" s="5">
        <v>1899.0</v>
      </c>
      <c r="H100" s="6">
        <f t="shared" si="3"/>
        <v>0.4212743549</v>
      </c>
      <c r="I100" s="3">
        <f>IFERROR(__xludf.DUMMYFUNCTION("GOOGLEFINANCE(""CURRENCY:INRBRL"")*F100"),66.93062223589)</f>
        <v>66.93062224</v>
      </c>
      <c r="J100" s="1">
        <v>4.51</v>
      </c>
      <c r="K100" s="1">
        <v>2242.0</v>
      </c>
      <c r="L100" s="1" t="s">
        <v>418</v>
      </c>
      <c r="M100" s="7" t="s">
        <v>419</v>
      </c>
    </row>
    <row r="101">
      <c r="A101" s="1" t="s">
        <v>420</v>
      </c>
      <c r="B101" s="1" t="s">
        <v>421</v>
      </c>
      <c r="C101" s="1" t="s">
        <v>22</v>
      </c>
      <c r="D101" s="1" t="str">
        <f t="shared" si="1"/>
        <v>Computers&amp;Accessories</v>
      </c>
      <c r="E101" s="1" t="str">
        <f t="shared" si="2"/>
        <v>Accessories&amp;Peripherals</v>
      </c>
      <c r="F101" s="1">
        <v>719.0</v>
      </c>
      <c r="G101" s="5">
        <v>1499.0</v>
      </c>
      <c r="H101" s="6">
        <f t="shared" si="3"/>
        <v>0.5203468979</v>
      </c>
      <c r="I101" s="3">
        <f>IFERROR(__xludf.DUMMYFUNCTION("GOOGLEFINANCE(""CURRENCY:INRBRL"")*F101"),43.78809589409)</f>
        <v>43.78809589</v>
      </c>
      <c r="J101" s="1">
        <v>4.49</v>
      </c>
      <c r="K101" s="1">
        <v>1045.0</v>
      </c>
      <c r="L101" s="1" t="s">
        <v>422</v>
      </c>
      <c r="M101" s="7" t="s">
        <v>423</v>
      </c>
    </row>
    <row r="102">
      <c r="A102" s="1" t="s">
        <v>424</v>
      </c>
      <c r="B102" s="1" t="s">
        <v>425</v>
      </c>
      <c r="C102" s="1" t="s">
        <v>217</v>
      </c>
      <c r="D102" s="1" t="str">
        <f t="shared" si="1"/>
        <v>Electronics</v>
      </c>
      <c r="E102" s="1" t="str">
        <f t="shared" si="2"/>
        <v>HomeTheater,TV&amp;Video</v>
      </c>
      <c r="F102" s="1">
        <v>349.0</v>
      </c>
      <c r="G102" s="5">
        <v>1499.0</v>
      </c>
      <c r="H102" s="6">
        <f t="shared" si="3"/>
        <v>0.7671781187</v>
      </c>
      <c r="I102" s="3">
        <f>IFERROR(__xludf.DUMMYFUNCTION("GOOGLEFINANCE(""CURRENCY:INRBRL"")*F102"),21.25458340339)</f>
        <v>21.2545834</v>
      </c>
      <c r="J102" s="1">
        <v>4.5</v>
      </c>
      <c r="K102" s="1">
        <v>4145.0</v>
      </c>
      <c r="L102" s="1" t="s">
        <v>426</v>
      </c>
      <c r="M102" s="7" t="s">
        <v>427</v>
      </c>
    </row>
    <row r="103">
      <c r="A103" s="1" t="s">
        <v>428</v>
      </c>
      <c r="B103" s="1" t="s">
        <v>429</v>
      </c>
      <c r="C103" s="1" t="s">
        <v>22</v>
      </c>
      <c r="D103" s="1" t="str">
        <f t="shared" si="1"/>
        <v>Computers&amp;Accessories</v>
      </c>
      <c r="E103" s="1" t="str">
        <f t="shared" si="2"/>
        <v>Accessories&amp;Peripherals</v>
      </c>
      <c r="F103" s="1">
        <v>849.0</v>
      </c>
      <c r="G103" s="5">
        <v>1809.0</v>
      </c>
      <c r="H103" s="6">
        <f t="shared" si="3"/>
        <v>0.5306799337</v>
      </c>
      <c r="I103" s="3">
        <f>IFERROR(__xludf.DUMMYFUNCTION("GOOGLEFINANCE(""CURRENCY:INRBRL"")*F103"),51.70527595839)</f>
        <v>51.70527596</v>
      </c>
      <c r="J103" s="1">
        <v>4.5</v>
      </c>
      <c r="K103" s="1">
        <v>6547.0</v>
      </c>
      <c r="L103" s="1" t="s">
        <v>234</v>
      </c>
      <c r="M103" s="7" t="s">
        <v>430</v>
      </c>
    </row>
    <row r="104">
      <c r="A104" s="1" t="s">
        <v>431</v>
      </c>
      <c r="B104" s="1" t="s">
        <v>432</v>
      </c>
      <c r="C104" s="1" t="s">
        <v>217</v>
      </c>
      <c r="D104" s="1" t="str">
        <f t="shared" si="1"/>
        <v>Electronics</v>
      </c>
      <c r="E104" s="1" t="str">
        <f t="shared" si="2"/>
        <v>HomeTheater,TV&amp;Video</v>
      </c>
      <c r="F104" s="1">
        <v>299.0</v>
      </c>
      <c r="G104" s="1">
        <v>899.0</v>
      </c>
      <c r="H104" s="6">
        <f t="shared" si="3"/>
        <v>0.6674082314</v>
      </c>
      <c r="I104" s="3">
        <f>IFERROR(__xludf.DUMMYFUNCTION("GOOGLEFINANCE(""CURRENCY:INRBRL"")*F104"),18.209514147889998)</f>
        <v>18.20951415</v>
      </c>
      <c r="J104" s="1">
        <v>4.0</v>
      </c>
      <c r="K104" s="1">
        <v>1588.0</v>
      </c>
      <c r="L104" s="1" t="s">
        <v>433</v>
      </c>
      <c r="M104" s="7" t="s">
        <v>434</v>
      </c>
    </row>
    <row r="105">
      <c r="A105" s="1" t="s">
        <v>435</v>
      </c>
      <c r="B105" s="1" t="s">
        <v>436</v>
      </c>
      <c r="C105" s="1" t="s">
        <v>88</v>
      </c>
      <c r="D105" s="1" t="str">
        <f t="shared" si="1"/>
        <v>Electronics</v>
      </c>
      <c r="E105" s="1" t="str">
        <f t="shared" si="2"/>
        <v>HomeTheater,TV&amp;Video</v>
      </c>
      <c r="F105" s="5">
        <v>21999.0</v>
      </c>
      <c r="G105" s="5">
        <v>29999.0</v>
      </c>
      <c r="H105" s="6">
        <f t="shared" si="3"/>
        <v>0.2666755559</v>
      </c>
      <c r="I105" s="3">
        <f>IFERROR(__xludf.DUMMYFUNCTION("GOOGLEFINANCE(""CURRENCY:INRBRL"")*F105"),1339.7695710348899)</f>
        <v>1339.769571</v>
      </c>
      <c r="J105" s="1">
        <v>4.5</v>
      </c>
      <c r="K105" s="1">
        <v>3284.0</v>
      </c>
      <c r="L105" s="1" t="s">
        <v>437</v>
      </c>
      <c r="M105" s="7" t="s">
        <v>438</v>
      </c>
    </row>
    <row r="106">
      <c r="A106" s="1" t="s">
        <v>439</v>
      </c>
      <c r="B106" s="1" t="s">
        <v>440</v>
      </c>
      <c r="C106" s="1" t="s">
        <v>22</v>
      </c>
      <c r="D106" s="1" t="str">
        <f t="shared" si="1"/>
        <v>Computers&amp;Accessories</v>
      </c>
      <c r="E106" s="1" t="str">
        <f t="shared" si="2"/>
        <v>Accessories&amp;Peripherals</v>
      </c>
      <c r="F106" s="1">
        <v>349.0</v>
      </c>
      <c r="G106" s="1">
        <v>999.0</v>
      </c>
      <c r="H106" s="6">
        <f t="shared" si="3"/>
        <v>0.6506506507</v>
      </c>
      <c r="I106" s="3">
        <f>IFERROR(__xludf.DUMMYFUNCTION("GOOGLEFINANCE(""CURRENCY:INRBRL"")*F106"),21.25458340339)</f>
        <v>21.2545834</v>
      </c>
      <c r="J106" s="1">
        <v>4.5</v>
      </c>
      <c r="K106" s="1">
        <v>1312.0</v>
      </c>
      <c r="L106" s="1" t="s">
        <v>441</v>
      </c>
      <c r="M106" s="7" t="s">
        <v>442</v>
      </c>
    </row>
    <row r="107">
      <c r="A107" s="1" t="s">
        <v>443</v>
      </c>
      <c r="B107" s="1" t="s">
        <v>444</v>
      </c>
      <c r="C107" s="1" t="s">
        <v>22</v>
      </c>
      <c r="D107" s="1" t="str">
        <f t="shared" si="1"/>
        <v>Computers&amp;Accessories</v>
      </c>
      <c r="E107" s="1" t="str">
        <f t="shared" si="2"/>
        <v>Accessories&amp;Peripherals</v>
      </c>
      <c r="F107" s="1">
        <v>399.0</v>
      </c>
      <c r="G107" s="1">
        <v>999.0</v>
      </c>
      <c r="H107" s="6">
        <f t="shared" si="3"/>
        <v>0.6006006006</v>
      </c>
      <c r="I107" s="3">
        <f>IFERROR(__xludf.DUMMYFUNCTION("GOOGLEFINANCE(""CURRENCY:INRBRL"")*F107"),24.29965265889)</f>
        <v>24.29965266</v>
      </c>
      <c r="J107" s="1">
        <v>4.5</v>
      </c>
      <c r="K107" s="1">
        <v>2806.0</v>
      </c>
      <c r="L107" s="1" t="s">
        <v>445</v>
      </c>
      <c r="M107" s="7" t="s">
        <v>446</v>
      </c>
    </row>
    <row r="108">
      <c r="A108" s="1" t="s">
        <v>447</v>
      </c>
      <c r="B108" s="1" t="s">
        <v>448</v>
      </c>
      <c r="C108" s="1" t="s">
        <v>22</v>
      </c>
      <c r="D108" s="1" t="str">
        <f t="shared" si="1"/>
        <v>Computers&amp;Accessories</v>
      </c>
      <c r="E108" s="1" t="str">
        <f t="shared" si="2"/>
        <v>Accessories&amp;Peripherals</v>
      </c>
      <c r="F108" s="1">
        <v>449.0</v>
      </c>
      <c r="G108" s="5">
        <v>1299.0</v>
      </c>
      <c r="H108" s="6">
        <f t="shared" si="3"/>
        <v>0.6543494996</v>
      </c>
      <c r="I108" s="3">
        <f>IFERROR(__xludf.DUMMYFUNCTION("GOOGLEFINANCE(""CURRENCY:INRBRL"")*F108"),27.34472191439)</f>
        <v>27.34472191</v>
      </c>
      <c r="J108" s="1">
        <v>4.5</v>
      </c>
      <c r="K108" s="1">
        <v>24269.0</v>
      </c>
      <c r="L108" s="1" t="s">
        <v>449</v>
      </c>
      <c r="M108" s="7" t="s">
        <v>450</v>
      </c>
    </row>
    <row r="109">
      <c r="A109" s="1" t="s">
        <v>451</v>
      </c>
      <c r="B109" s="1" t="s">
        <v>452</v>
      </c>
      <c r="C109" s="1" t="s">
        <v>22</v>
      </c>
      <c r="D109" s="1" t="str">
        <f t="shared" si="1"/>
        <v>Computers&amp;Accessories</v>
      </c>
      <c r="E109" s="1" t="str">
        <f t="shared" si="2"/>
        <v>Accessories&amp;Peripherals</v>
      </c>
      <c r="F109" s="1">
        <v>299.0</v>
      </c>
      <c r="G109" s="1">
        <v>999.0</v>
      </c>
      <c r="H109" s="6">
        <f t="shared" si="3"/>
        <v>0.7007007007</v>
      </c>
      <c r="I109" s="3">
        <f>IFERROR(__xludf.DUMMYFUNCTION("GOOGLEFINANCE(""CURRENCY:INRBRL"")*F109"),18.209514147889998)</f>
        <v>18.20951415</v>
      </c>
      <c r="J109" s="1">
        <v>4.5</v>
      </c>
      <c r="K109" s="1">
        <v>766.0</v>
      </c>
      <c r="L109" s="1" t="s">
        <v>453</v>
      </c>
      <c r="M109" s="7" t="s">
        <v>454</v>
      </c>
    </row>
    <row r="110">
      <c r="A110" s="1" t="s">
        <v>455</v>
      </c>
      <c r="B110" s="1" t="s">
        <v>456</v>
      </c>
      <c r="C110" s="1" t="s">
        <v>88</v>
      </c>
      <c r="D110" s="1" t="str">
        <f t="shared" si="1"/>
        <v>Electronics</v>
      </c>
      <c r="E110" s="1" t="str">
        <f t="shared" si="2"/>
        <v>HomeTheater,TV&amp;Video</v>
      </c>
      <c r="F110" s="5">
        <v>37999.0</v>
      </c>
      <c r="G110" s="5">
        <v>64999.0</v>
      </c>
      <c r="H110" s="6">
        <f t="shared" si="3"/>
        <v>0.415391006</v>
      </c>
      <c r="I110" s="3">
        <f>IFERROR(__xludf.DUMMYFUNCTION("GOOGLEFINANCE(""CURRENCY:INRBRL"")*F110"),2314.19173279489)</f>
        <v>2314.191733</v>
      </c>
      <c r="J110" s="1">
        <v>4.5</v>
      </c>
      <c r="K110" s="1">
        <v>3587.0</v>
      </c>
      <c r="L110" s="1" t="s">
        <v>457</v>
      </c>
      <c r="M110" s="7" t="s">
        <v>458</v>
      </c>
    </row>
    <row r="111">
      <c r="A111" s="1" t="s">
        <v>459</v>
      </c>
      <c r="B111" s="1" t="s">
        <v>460</v>
      </c>
      <c r="C111" s="1" t="s">
        <v>22</v>
      </c>
      <c r="D111" s="1" t="str">
        <f t="shared" si="1"/>
        <v>Computers&amp;Accessories</v>
      </c>
      <c r="E111" s="1" t="str">
        <f t="shared" si="2"/>
        <v>Accessories&amp;Peripherals</v>
      </c>
      <c r="F111" s="1">
        <v>99.0</v>
      </c>
      <c r="G111" s="1">
        <v>800.0</v>
      </c>
      <c r="H111" s="6">
        <f t="shared" si="3"/>
        <v>0.87625</v>
      </c>
      <c r="I111" s="3">
        <f>IFERROR(__xludf.DUMMYFUNCTION("GOOGLEFINANCE(""CURRENCY:INRBRL"")*F111"),6.02923712589)</f>
        <v>6.029237126</v>
      </c>
      <c r="J111" s="1">
        <v>4.52</v>
      </c>
      <c r="K111" s="1">
        <v>24871.0</v>
      </c>
      <c r="L111" s="1" t="s">
        <v>461</v>
      </c>
      <c r="M111" s="7" t="s">
        <v>462</v>
      </c>
    </row>
    <row r="112">
      <c r="A112" s="1" t="s">
        <v>463</v>
      </c>
      <c r="B112" s="1" t="s">
        <v>464</v>
      </c>
      <c r="C112" s="1" t="s">
        <v>238</v>
      </c>
      <c r="D112" s="1" t="str">
        <f t="shared" si="1"/>
        <v>Electronics</v>
      </c>
      <c r="E112" s="1" t="str">
        <f t="shared" si="2"/>
        <v>HomeTheater,TV&amp;Video</v>
      </c>
      <c r="F112" s="5">
        <v>7389.0</v>
      </c>
      <c r="G112" s="5">
        <v>19999.0</v>
      </c>
      <c r="H112" s="6">
        <f t="shared" si="3"/>
        <v>0.6305315266</v>
      </c>
      <c r="I112" s="3">
        <f>IFERROR(__xludf.DUMMYFUNCTION("GOOGLEFINANCE(""CURRENCY:INRBRL"")*F112"),450.00033457779)</f>
        <v>450.0003346</v>
      </c>
      <c r="J112" s="1">
        <v>4.49</v>
      </c>
      <c r="K112" s="1">
        <v>2581.0</v>
      </c>
      <c r="L112" s="1" t="s">
        <v>465</v>
      </c>
      <c r="M112" s="7" t="s">
        <v>466</v>
      </c>
    </row>
    <row r="113">
      <c r="A113" s="1" t="s">
        <v>467</v>
      </c>
      <c r="B113" s="1" t="s">
        <v>468</v>
      </c>
      <c r="C113" s="1" t="s">
        <v>22</v>
      </c>
      <c r="D113" s="1" t="str">
        <f t="shared" si="1"/>
        <v>Computers&amp;Accessories</v>
      </c>
      <c r="E113" s="1" t="str">
        <f t="shared" si="2"/>
        <v>Accessories&amp;Peripherals</v>
      </c>
      <c r="F113" s="1">
        <v>273.1</v>
      </c>
      <c r="G113" s="1">
        <v>999.0</v>
      </c>
      <c r="H113" s="6">
        <f t="shared" si="3"/>
        <v>0.7266266266</v>
      </c>
      <c r="I113" s="3">
        <f>IFERROR(__xludf.DUMMYFUNCTION("GOOGLEFINANCE(""CURRENCY:INRBRL"")*F113"),16.632168273541)</f>
        <v>16.63216827</v>
      </c>
      <c r="J113" s="1">
        <v>4.5</v>
      </c>
      <c r="K113" s="1">
        <v>2085.0</v>
      </c>
      <c r="L113" s="1" t="s">
        <v>469</v>
      </c>
      <c r="M113" s="7" t="s">
        <v>470</v>
      </c>
    </row>
    <row r="114">
      <c r="A114" s="1" t="s">
        <v>471</v>
      </c>
      <c r="B114" s="1" t="s">
        <v>472</v>
      </c>
      <c r="C114" s="1" t="s">
        <v>88</v>
      </c>
      <c r="D114" s="1" t="str">
        <f t="shared" si="1"/>
        <v>Electronics</v>
      </c>
      <c r="E114" s="1" t="str">
        <f t="shared" si="2"/>
        <v>HomeTheater,TV&amp;Video</v>
      </c>
      <c r="F114" s="5">
        <v>15989.0</v>
      </c>
      <c r="G114" s="5">
        <v>23989.0</v>
      </c>
      <c r="H114" s="6">
        <f t="shared" si="3"/>
        <v>0.3334861812</v>
      </c>
      <c r="I114" s="3">
        <f>IFERROR(__xludf.DUMMYFUNCTION("GOOGLEFINANCE(""CURRENCY:INRBRL"")*F114"),973.75224652379)</f>
        <v>973.7522465</v>
      </c>
      <c r="J114" s="1">
        <v>4.5</v>
      </c>
      <c r="K114" s="1">
        <v>1035.0</v>
      </c>
      <c r="L114" s="1" t="s">
        <v>473</v>
      </c>
      <c r="M114" s="7" t="s">
        <v>474</v>
      </c>
    </row>
    <row r="115">
      <c r="A115" s="1" t="s">
        <v>475</v>
      </c>
      <c r="B115" s="1" t="s">
        <v>476</v>
      </c>
      <c r="C115" s="1" t="s">
        <v>22</v>
      </c>
      <c r="D115" s="1" t="str">
        <f t="shared" si="1"/>
        <v>Computers&amp;Accessories</v>
      </c>
      <c r="E115" s="1" t="str">
        <f t="shared" si="2"/>
        <v>Accessories&amp;Peripherals</v>
      </c>
      <c r="F115" s="1">
        <v>399.0</v>
      </c>
      <c r="G115" s="1">
        <v>999.0</v>
      </c>
      <c r="H115" s="6">
        <f t="shared" si="3"/>
        <v>0.6006006006</v>
      </c>
      <c r="I115" s="3">
        <f>IFERROR(__xludf.DUMMYFUNCTION("GOOGLEFINANCE(""CURRENCY:INRBRL"")*F115"),24.29965265889)</f>
        <v>24.29965266</v>
      </c>
      <c r="J115" s="1">
        <v>4.49</v>
      </c>
      <c r="K115" s="1">
        <v>178.0</v>
      </c>
      <c r="L115" s="1" t="s">
        <v>477</v>
      </c>
      <c r="M115" s="7" t="s">
        <v>478</v>
      </c>
    </row>
    <row r="116">
      <c r="A116" s="1" t="s">
        <v>479</v>
      </c>
      <c r="B116" s="1" t="s">
        <v>480</v>
      </c>
      <c r="C116" s="1" t="s">
        <v>217</v>
      </c>
      <c r="D116" s="1" t="str">
        <f t="shared" si="1"/>
        <v>Electronics</v>
      </c>
      <c r="E116" s="1" t="str">
        <f t="shared" si="2"/>
        <v>HomeTheater,TV&amp;Video</v>
      </c>
      <c r="F116" s="1">
        <v>399.0</v>
      </c>
      <c r="G116" s="5">
        <v>1999.0</v>
      </c>
      <c r="H116" s="6">
        <f t="shared" si="3"/>
        <v>0.8004002001</v>
      </c>
      <c r="I116" s="3">
        <f>IFERROR(__xludf.DUMMYFUNCTION("GOOGLEFINANCE(""CURRENCY:INRBRL"")*F116"),24.29965265889)</f>
        <v>24.29965266</v>
      </c>
      <c r="J116" s="1">
        <v>4.51</v>
      </c>
      <c r="K116" s="1">
        <v>505.0</v>
      </c>
      <c r="L116" s="1" t="s">
        <v>481</v>
      </c>
      <c r="M116" s="7" t="s">
        <v>482</v>
      </c>
    </row>
    <row r="117">
      <c r="A117" s="1" t="s">
        <v>483</v>
      </c>
      <c r="B117" s="1" t="s">
        <v>484</v>
      </c>
      <c r="C117" s="1" t="s">
        <v>22</v>
      </c>
      <c r="D117" s="1" t="str">
        <f t="shared" si="1"/>
        <v>Computers&amp;Accessories</v>
      </c>
      <c r="E117" s="1" t="str">
        <f t="shared" si="2"/>
        <v>Accessories&amp;Peripherals</v>
      </c>
      <c r="F117" s="1">
        <v>210.0</v>
      </c>
      <c r="G117" s="1">
        <v>399.0</v>
      </c>
      <c r="H117" s="6">
        <f t="shared" si="3"/>
        <v>0.4736842105</v>
      </c>
      <c r="I117" s="3">
        <f>IFERROR(__xludf.DUMMYFUNCTION("GOOGLEFINANCE(""CURRENCY:INRBRL"")*F117"),12.789290873099999)</f>
        <v>12.78929087</v>
      </c>
      <c r="J117" s="1">
        <v>4.49</v>
      </c>
      <c r="K117" s="1">
        <v>1717.0</v>
      </c>
      <c r="L117" s="1" t="s">
        <v>485</v>
      </c>
      <c r="M117" s="7" t="s">
        <v>486</v>
      </c>
    </row>
    <row r="118">
      <c r="A118" s="1" t="s">
        <v>487</v>
      </c>
      <c r="B118" s="1" t="s">
        <v>488</v>
      </c>
      <c r="C118" s="1" t="s">
        <v>217</v>
      </c>
      <c r="D118" s="1" t="str">
        <f t="shared" si="1"/>
        <v>Electronics</v>
      </c>
      <c r="E118" s="1" t="str">
        <f t="shared" si="2"/>
        <v>HomeTheater,TV&amp;Video</v>
      </c>
      <c r="F118" s="5">
        <v>1299.0</v>
      </c>
      <c r="G118" s="5">
        <v>1999.0</v>
      </c>
      <c r="H118" s="6">
        <f t="shared" si="3"/>
        <v>0.3501750875</v>
      </c>
      <c r="I118" s="3">
        <f>IFERROR(__xludf.DUMMYFUNCTION("GOOGLEFINANCE(""CURRENCY:INRBRL"")*F118"),79.11089925789)</f>
        <v>79.11089926</v>
      </c>
      <c r="J118" s="1">
        <v>4.51</v>
      </c>
      <c r="K118" s="1">
        <v>590.0</v>
      </c>
      <c r="L118" s="1" t="s">
        <v>489</v>
      </c>
      <c r="M118" s="7" t="s">
        <v>490</v>
      </c>
    </row>
    <row r="119">
      <c r="A119" s="1" t="s">
        <v>491</v>
      </c>
      <c r="B119" s="1" t="s">
        <v>492</v>
      </c>
      <c r="C119" s="1" t="s">
        <v>22</v>
      </c>
      <c r="D119" s="1" t="str">
        <f t="shared" si="1"/>
        <v>Computers&amp;Accessories</v>
      </c>
      <c r="E119" s="1" t="str">
        <f t="shared" si="2"/>
        <v>Accessories&amp;Peripherals</v>
      </c>
      <c r="F119" s="1">
        <v>347.0</v>
      </c>
      <c r="G119" s="1">
        <v>999.0</v>
      </c>
      <c r="H119" s="6">
        <f t="shared" si="3"/>
        <v>0.6526526527</v>
      </c>
      <c r="I119" s="3">
        <f>IFERROR(__xludf.DUMMYFUNCTION("GOOGLEFINANCE(""CURRENCY:INRBRL"")*F119"),21.13278063317)</f>
        <v>21.13278063</v>
      </c>
      <c r="J119" s="1">
        <v>4.5</v>
      </c>
      <c r="K119" s="1">
        <v>1121.0</v>
      </c>
      <c r="L119" s="1" t="s">
        <v>493</v>
      </c>
      <c r="M119" s="7" t="s">
        <v>494</v>
      </c>
    </row>
    <row r="120">
      <c r="A120" s="1" t="s">
        <v>495</v>
      </c>
      <c r="B120" s="1" t="s">
        <v>496</v>
      </c>
      <c r="C120" s="1" t="s">
        <v>22</v>
      </c>
      <c r="D120" s="1" t="str">
        <f t="shared" si="1"/>
        <v>Computers&amp;Accessories</v>
      </c>
      <c r="E120" s="1" t="str">
        <f t="shared" si="2"/>
        <v>Accessories&amp;Peripherals</v>
      </c>
      <c r="F120" s="1">
        <v>149.0</v>
      </c>
      <c r="G120" s="1">
        <v>999.0</v>
      </c>
      <c r="H120" s="6">
        <f t="shared" si="3"/>
        <v>0.8508508509</v>
      </c>
      <c r="I120" s="3">
        <f>IFERROR(__xludf.DUMMYFUNCTION("GOOGLEFINANCE(""CURRENCY:INRBRL"")*F120"),9.07430638139)</f>
        <v>9.074306381</v>
      </c>
      <c r="J120" s="1">
        <v>4.0</v>
      </c>
      <c r="K120" s="1">
        <v>1313.0</v>
      </c>
      <c r="L120" s="1" t="s">
        <v>497</v>
      </c>
      <c r="M120" s="7" t="s">
        <v>498</v>
      </c>
    </row>
    <row r="121">
      <c r="A121" s="1" t="s">
        <v>499</v>
      </c>
      <c r="B121" s="1" t="s">
        <v>500</v>
      </c>
      <c r="C121" s="1" t="s">
        <v>22</v>
      </c>
      <c r="D121" s="1" t="str">
        <f t="shared" si="1"/>
        <v>Computers&amp;Accessories</v>
      </c>
      <c r="E121" s="1" t="str">
        <f t="shared" si="2"/>
        <v>Accessories&amp;Peripherals</v>
      </c>
      <c r="F121" s="1">
        <v>228.0</v>
      </c>
      <c r="G121" s="1">
        <v>899.0</v>
      </c>
      <c r="H121" s="6">
        <f t="shared" si="3"/>
        <v>0.7463848721</v>
      </c>
      <c r="I121" s="3">
        <f>IFERROR(__xludf.DUMMYFUNCTION("GOOGLEFINANCE(""CURRENCY:INRBRL"")*F121"),13.885515805079999)</f>
        <v>13.88551581</v>
      </c>
      <c r="J121" s="1">
        <v>4.51</v>
      </c>
      <c r="K121" s="1">
        <v>132.0</v>
      </c>
      <c r="L121" s="1" t="s">
        <v>501</v>
      </c>
      <c r="M121" s="7" t="s">
        <v>502</v>
      </c>
    </row>
    <row r="122">
      <c r="A122" s="1" t="s">
        <v>503</v>
      </c>
      <c r="B122" s="1" t="s">
        <v>504</v>
      </c>
      <c r="C122" s="1" t="s">
        <v>22</v>
      </c>
      <c r="D122" s="1" t="str">
        <f t="shared" si="1"/>
        <v>Computers&amp;Accessories</v>
      </c>
      <c r="E122" s="1" t="str">
        <f t="shared" si="2"/>
        <v>Accessories&amp;Peripherals</v>
      </c>
      <c r="F122" s="5">
        <v>1599.0</v>
      </c>
      <c r="G122" s="5">
        <v>1999.0</v>
      </c>
      <c r="H122" s="6">
        <f t="shared" si="3"/>
        <v>0.20010005</v>
      </c>
      <c r="I122" s="3">
        <f>IFERROR(__xludf.DUMMYFUNCTION("GOOGLEFINANCE(""CURRENCY:INRBRL"")*F122"),97.38131479089)</f>
        <v>97.38131479</v>
      </c>
      <c r="J122" s="1">
        <v>4.5</v>
      </c>
      <c r="K122" s="1">
        <v>1951.0</v>
      </c>
      <c r="L122" s="1" t="s">
        <v>505</v>
      </c>
      <c r="M122" s="7" t="s">
        <v>506</v>
      </c>
    </row>
    <row r="123">
      <c r="A123" s="1" t="s">
        <v>507</v>
      </c>
      <c r="B123" s="1" t="s">
        <v>508</v>
      </c>
      <c r="C123" s="1" t="s">
        <v>217</v>
      </c>
      <c r="D123" s="1" t="str">
        <f t="shared" si="1"/>
        <v>Electronics</v>
      </c>
      <c r="E123" s="1" t="str">
        <f t="shared" si="2"/>
        <v>HomeTheater,TV&amp;Video</v>
      </c>
      <c r="F123" s="5">
        <v>1499.0</v>
      </c>
      <c r="G123" s="5">
        <v>3999.0</v>
      </c>
      <c r="H123" s="6">
        <f t="shared" si="3"/>
        <v>0.6251562891</v>
      </c>
      <c r="I123" s="3">
        <f>IFERROR(__xludf.DUMMYFUNCTION("GOOGLEFINANCE(""CURRENCY:INRBRL"")*F123"),91.29117627989)</f>
        <v>91.29117628</v>
      </c>
      <c r="J123" s="1">
        <v>4.51</v>
      </c>
      <c r="K123" s="1">
        <v>37.0</v>
      </c>
      <c r="L123" s="1" t="s">
        <v>509</v>
      </c>
      <c r="M123" s="7" t="s">
        <v>510</v>
      </c>
    </row>
    <row r="124">
      <c r="A124" s="1" t="s">
        <v>511</v>
      </c>
      <c r="B124" s="1" t="s">
        <v>512</v>
      </c>
      <c r="C124" s="1" t="s">
        <v>88</v>
      </c>
      <c r="D124" s="1" t="str">
        <f t="shared" si="1"/>
        <v>Electronics</v>
      </c>
      <c r="E124" s="1" t="str">
        <f t="shared" si="2"/>
        <v>HomeTheater,TV&amp;Video</v>
      </c>
      <c r="F124" s="5">
        <v>8499.0</v>
      </c>
      <c r="G124" s="5">
        <v>15999.0</v>
      </c>
      <c r="H124" s="6">
        <f t="shared" si="3"/>
        <v>0.4687792987</v>
      </c>
      <c r="I124" s="3">
        <f>IFERROR(__xludf.DUMMYFUNCTION("GOOGLEFINANCE(""CURRENCY:INRBRL"")*F124"),517.60087204989)</f>
        <v>517.600872</v>
      </c>
      <c r="J124" s="1">
        <v>4.5</v>
      </c>
      <c r="K124" s="1">
        <v>592.0</v>
      </c>
      <c r="L124" s="1" t="s">
        <v>513</v>
      </c>
      <c r="M124" s="7" t="s">
        <v>514</v>
      </c>
    </row>
    <row r="125">
      <c r="A125" s="1" t="s">
        <v>515</v>
      </c>
      <c r="B125" s="1" t="s">
        <v>516</v>
      </c>
      <c r="C125" s="1" t="s">
        <v>88</v>
      </c>
      <c r="D125" s="1" t="str">
        <f t="shared" si="1"/>
        <v>Electronics</v>
      </c>
      <c r="E125" s="1" t="str">
        <f t="shared" si="2"/>
        <v>HomeTheater,TV&amp;Video</v>
      </c>
      <c r="F125" s="5">
        <v>20989.0</v>
      </c>
      <c r="G125" s="5">
        <v>44989.0</v>
      </c>
      <c r="H125" s="6">
        <f t="shared" si="3"/>
        <v>0.5334637356</v>
      </c>
      <c r="I125" s="3">
        <f>IFERROR(__xludf.DUMMYFUNCTION("GOOGLEFINANCE(""CURRENCY:INRBRL"")*F125"),1278.2591720737898)</f>
        <v>1278.259172</v>
      </c>
      <c r="J125" s="1">
        <v>4.49</v>
      </c>
      <c r="K125" s="1">
        <v>1259.0</v>
      </c>
      <c r="L125" s="1" t="s">
        <v>517</v>
      </c>
      <c r="M125" s="7" t="s">
        <v>518</v>
      </c>
    </row>
    <row r="126">
      <c r="A126" s="1" t="s">
        <v>519</v>
      </c>
      <c r="B126" s="1" t="s">
        <v>520</v>
      </c>
      <c r="C126" s="1" t="s">
        <v>88</v>
      </c>
      <c r="D126" s="1" t="str">
        <f t="shared" si="1"/>
        <v>Electronics</v>
      </c>
      <c r="E126" s="1" t="str">
        <f t="shared" si="2"/>
        <v>HomeTheater,TV&amp;Video</v>
      </c>
      <c r="F126" s="5">
        <v>32999.0</v>
      </c>
      <c r="G126" s="5">
        <v>44999.0</v>
      </c>
      <c r="H126" s="6">
        <f t="shared" si="3"/>
        <v>0.2666725927</v>
      </c>
      <c r="I126" s="3">
        <f>IFERROR(__xludf.DUMMYFUNCTION("GOOGLEFINANCE(""CURRENCY:INRBRL"")*F126"),2009.68480724489)</f>
        <v>2009.684807</v>
      </c>
      <c r="J126" s="1">
        <v>4.5</v>
      </c>
      <c r="K126" s="1">
        <v>45238.0</v>
      </c>
      <c r="L126" s="1" t="s">
        <v>521</v>
      </c>
      <c r="M126" s="7" t="s">
        <v>522</v>
      </c>
    </row>
    <row r="127">
      <c r="A127" s="1" t="s">
        <v>523</v>
      </c>
      <c r="B127" s="1" t="s">
        <v>524</v>
      </c>
      <c r="C127" s="1" t="s">
        <v>72</v>
      </c>
      <c r="D127" s="1" t="str">
        <f t="shared" si="1"/>
        <v>Electronics</v>
      </c>
      <c r="E127" s="1" t="str">
        <f t="shared" si="2"/>
        <v>HomeTheater,TV&amp;Video</v>
      </c>
      <c r="F127" s="1">
        <v>799.0</v>
      </c>
      <c r="G127" s="5">
        <v>1700.0</v>
      </c>
      <c r="H127" s="6">
        <f t="shared" si="3"/>
        <v>0.53</v>
      </c>
      <c r="I127" s="3">
        <f>IFERROR(__xludf.DUMMYFUNCTION("GOOGLEFINANCE(""CURRENCY:INRBRL"")*F127"),48.66020670289)</f>
        <v>48.6602067</v>
      </c>
      <c r="J127" s="1">
        <v>4.49</v>
      </c>
      <c r="K127" s="1">
        <v>28638.0</v>
      </c>
      <c r="L127" s="1" t="s">
        <v>525</v>
      </c>
      <c r="M127" s="7" t="s">
        <v>526</v>
      </c>
    </row>
    <row r="128">
      <c r="A128" s="1" t="s">
        <v>527</v>
      </c>
      <c r="B128" s="1" t="s">
        <v>528</v>
      </c>
      <c r="C128" s="1" t="s">
        <v>72</v>
      </c>
      <c r="D128" s="1" t="str">
        <f t="shared" si="1"/>
        <v>Electronics</v>
      </c>
      <c r="E128" s="1" t="str">
        <f t="shared" si="2"/>
        <v>HomeTheater,TV&amp;Video</v>
      </c>
      <c r="F128" s="1">
        <v>229.0</v>
      </c>
      <c r="G128" s="1">
        <v>595.0</v>
      </c>
      <c r="H128" s="6">
        <f t="shared" si="3"/>
        <v>0.6151260504</v>
      </c>
      <c r="I128" s="3">
        <f>IFERROR(__xludf.DUMMYFUNCTION("GOOGLEFINANCE(""CURRENCY:INRBRL"")*F128"),13.94641719019)</f>
        <v>13.94641719</v>
      </c>
      <c r="J128" s="1">
        <v>4.5</v>
      </c>
      <c r="K128" s="1">
        <v>12835.0</v>
      </c>
      <c r="L128" s="1" t="s">
        <v>529</v>
      </c>
      <c r="M128" s="7" t="s">
        <v>530</v>
      </c>
    </row>
    <row r="129">
      <c r="A129" s="1" t="s">
        <v>531</v>
      </c>
      <c r="B129" s="1" t="s">
        <v>532</v>
      </c>
      <c r="C129" s="1" t="s">
        <v>88</v>
      </c>
      <c r="D129" s="1" t="str">
        <f t="shared" si="1"/>
        <v>Electronics</v>
      </c>
      <c r="E129" s="1" t="str">
        <f t="shared" si="2"/>
        <v>HomeTheater,TV&amp;Video</v>
      </c>
      <c r="F129" s="5">
        <v>9999.0</v>
      </c>
      <c r="G129" s="5">
        <v>27990.0</v>
      </c>
      <c r="H129" s="6">
        <f t="shared" si="3"/>
        <v>0.6427652733</v>
      </c>
      <c r="I129" s="3">
        <f>IFERROR(__xludf.DUMMYFUNCTION("GOOGLEFINANCE(""CURRENCY:INRBRL"")*F129"),608.95294971489)</f>
        <v>608.9529497</v>
      </c>
      <c r="J129" s="1">
        <v>4.5</v>
      </c>
      <c r="K129" s="1">
        <v>1269.0</v>
      </c>
      <c r="L129" s="1" t="s">
        <v>533</v>
      </c>
      <c r="M129" s="7" t="s">
        <v>534</v>
      </c>
    </row>
    <row r="130">
      <c r="A130" s="1" t="s">
        <v>535</v>
      </c>
      <c r="B130" s="1" t="s">
        <v>536</v>
      </c>
      <c r="C130" s="1" t="s">
        <v>217</v>
      </c>
      <c r="D130" s="1" t="str">
        <f t="shared" si="1"/>
        <v>Electronics</v>
      </c>
      <c r="E130" s="1" t="str">
        <f t="shared" si="2"/>
        <v>HomeTheater,TV&amp;Video</v>
      </c>
      <c r="F130" s="1">
        <v>349.0</v>
      </c>
      <c r="G130" s="1">
        <v>599.0</v>
      </c>
      <c r="H130" s="6">
        <f t="shared" si="3"/>
        <v>0.4173622705</v>
      </c>
      <c r="I130" s="3">
        <f>IFERROR(__xludf.DUMMYFUNCTION("GOOGLEFINANCE(""CURRENCY:INRBRL"")*F130"),21.25458340339)</f>
        <v>21.2545834</v>
      </c>
      <c r="J130" s="1">
        <v>4.5</v>
      </c>
      <c r="K130" s="1">
        <v>284.0</v>
      </c>
      <c r="L130" s="1" t="s">
        <v>537</v>
      </c>
      <c r="M130" s="7" t="s">
        <v>538</v>
      </c>
    </row>
    <row r="131">
      <c r="A131" s="1" t="s">
        <v>539</v>
      </c>
      <c r="B131" s="1" t="s">
        <v>540</v>
      </c>
      <c r="C131" s="1" t="s">
        <v>541</v>
      </c>
      <c r="D131" s="1" t="str">
        <f t="shared" si="1"/>
        <v>Electronics</v>
      </c>
      <c r="E131" s="1" t="str">
        <f t="shared" si="2"/>
        <v>HomeTheater,TV&amp;Video</v>
      </c>
      <c r="F131" s="1">
        <v>489.0</v>
      </c>
      <c r="G131" s="5">
        <v>1200.0</v>
      </c>
      <c r="H131" s="6">
        <f t="shared" si="3"/>
        <v>0.5925</v>
      </c>
      <c r="I131" s="3">
        <f>IFERROR(__xludf.DUMMYFUNCTION("GOOGLEFINANCE(""CURRENCY:INRBRL"")*F131"),29.780777318789998)</f>
        <v>29.78077732</v>
      </c>
      <c r="J131" s="1">
        <v>4.5</v>
      </c>
      <c r="K131" s="1">
        <v>69538.0</v>
      </c>
      <c r="L131" s="1" t="s">
        <v>542</v>
      </c>
      <c r="M131" s="7" t="s">
        <v>543</v>
      </c>
    </row>
    <row r="132">
      <c r="A132" s="1" t="s">
        <v>544</v>
      </c>
      <c r="B132" s="1" t="s">
        <v>545</v>
      </c>
      <c r="C132" s="1" t="s">
        <v>88</v>
      </c>
      <c r="D132" s="1" t="str">
        <f t="shared" si="1"/>
        <v>Electronics</v>
      </c>
      <c r="E132" s="1" t="str">
        <f t="shared" si="2"/>
        <v>HomeTheater,TV&amp;Video</v>
      </c>
      <c r="F132" s="5">
        <v>23999.0</v>
      </c>
      <c r="G132" s="5">
        <v>34990.0</v>
      </c>
      <c r="H132" s="6">
        <f t="shared" si="3"/>
        <v>0.3141183195</v>
      </c>
      <c r="I132" s="3">
        <f>IFERROR(__xludf.DUMMYFUNCTION("GOOGLEFINANCE(""CURRENCY:INRBRL"")*F132"),1461.57234125489)</f>
        <v>1461.572341</v>
      </c>
      <c r="J132" s="1">
        <v>4.5</v>
      </c>
      <c r="K132" s="1">
        <v>4703.0</v>
      </c>
      <c r="L132" s="1" t="s">
        <v>372</v>
      </c>
      <c r="M132" s="7" t="s">
        <v>546</v>
      </c>
    </row>
    <row r="133">
      <c r="A133" s="1" t="s">
        <v>547</v>
      </c>
      <c r="B133" s="1" t="s">
        <v>548</v>
      </c>
      <c r="C133" s="1" t="s">
        <v>22</v>
      </c>
      <c r="D133" s="1" t="str">
        <f t="shared" si="1"/>
        <v>Computers&amp;Accessories</v>
      </c>
      <c r="E133" s="1" t="str">
        <f t="shared" si="2"/>
        <v>Accessories&amp;Peripherals</v>
      </c>
      <c r="F133" s="1">
        <v>399.0</v>
      </c>
      <c r="G133" s="1">
        <v>999.0</v>
      </c>
      <c r="H133" s="6">
        <f t="shared" si="3"/>
        <v>0.6006006006</v>
      </c>
      <c r="I133" s="3">
        <f>IFERROR(__xludf.DUMMYFUNCTION("GOOGLEFINANCE(""CURRENCY:INRBRL"")*F133"),24.29965265889)</f>
        <v>24.29965266</v>
      </c>
      <c r="J133" s="1">
        <v>4.5</v>
      </c>
      <c r="K133" s="1">
        <v>2806.0</v>
      </c>
      <c r="L133" s="1" t="s">
        <v>549</v>
      </c>
      <c r="M133" s="7" t="s">
        <v>550</v>
      </c>
    </row>
    <row r="134">
      <c r="A134" s="1" t="s">
        <v>551</v>
      </c>
      <c r="B134" s="1" t="s">
        <v>552</v>
      </c>
      <c r="C134" s="1" t="s">
        <v>553</v>
      </c>
      <c r="D134" s="1" t="str">
        <f t="shared" si="1"/>
        <v>Electronics</v>
      </c>
      <c r="E134" s="1" t="str">
        <f t="shared" si="2"/>
        <v>HomeAudio</v>
      </c>
      <c r="F134" s="1">
        <v>349.0</v>
      </c>
      <c r="G134" s="5">
        <v>1299.0</v>
      </c>
      <c r="H134" s="6">
        <f t="shared" si="3"/>
        <v>0.7313317937</v>
      </c>
      <c r="I134" s="3">
        <f>IFERROR(__xludf.DUMMYFUNCTION("GOOGLEFINANCE(""CURRENCY:INRBRL"")*F134"),21.25458340339)</f>
        <v>21.2545834</v>
      </c>
      <c r="J134" s="1">
        <v>4.0</v>
      </c>
      <c r="K134" s="1">
        <v>3295.0</v>
      </c>
      <c r="L134" s="1" t="s">
        <v>554</v>
      </c>
      <c r="M134" s="7" t="s">
        <v>555</v>
      </c>
    </row>
    <row r="135">
      <c r="A135" s="1" t="s">
        <v>556</v>
      </c>
      <c r="B135" s="1" t="s">
        <v>557</v>
      </c>
      <c r="C135" s="1" t="s">
        <v>22</v>
      </c>
      <c r="D135" s="1" t="str">
        <f t="shared" si="1"/>
        <v>Computers&amp;Accessories</v>
      </c>
      <c r="E135" s="1" t="str">
        <f t="shared" si="2"/>
        <v>Accessories&amp;Peripherals</v>
      </c>
      <c r="F135" s="1">
        <v>179.0</v>
      </c>
      <c r="G135" s="1">
        <v>299.0</v>
      </c>
      <c r="H135" s="6">
        <f t="shared" si="3"/>
        <v>0.4013377926</v>
      </c>
      <c r="I135" s="3">
        <f>IFERROR(__xludf.DUMMYFUNCTION("GOOGLEFINANCE(""CURRENCY:INRBRL"")*F135"),10.90134793469)</f>
        <v>10.90134793</v>
      </c>
      <c r="J135" s="1">
        <v>4.52</v>
      </c>
      <c r="K135" s="1">
        <v>81.0</v>
      </c>
      <c r="L135" s="1" t="s">
        <v>558</v>
      </c>
      <c r="M135" s="7" t="s">
        <v>559</v>
      </c>
    </row>
    <row r="136">
      <c r="A136" s="1" t="s">
        <v>560</v>
      </c>
      <c r="B136" s="1" t="s">
        <v>561</v>
      </c>
      <c r="C136" s="1" t="s">
        <v>22</v>
      </c>
      <c r="D136" s="1" t="str">
        <f t="shared" si="1"/>
        <v>Computers&amp;Accessories</v>
      </c>
      <c r="E136" s="1" t="str">
        <f t="shared" si="2"/>
        <v>Accessories&amp;Peripherals</v>
      </c>
      <c r="F136" s="1">
        <v>689.0</v>
      </c>
      <c r="G136" s="5">
        <v>1499.0</v>
      </c>
      <c r="H136" s="6">
        <f t="shared" si="3"/>
        <v>0.5403602402</v>
      </c>
      <c r="I136" s="3">
        <f>IFERROR(__xludf.DUMMYFUNCTION("GOOGLEFINANCE(""CURRENCY:INRBRL"")*F136"),41.96105434079)</f>
        <v>41.96105434</v>
      </c>
      <c r="J136" s="1">
        <v>4.5</v>
      </c>
      <c r="K136" s="1">
        <v>42301.0</v>
      </c>
      <c r="L136" s="1" t="s">
        <v>562</v>
      </c>
      <c r="M136" s="7" t="s">
        <v>563</v>
      </c>
    </row>
    <row r="137">
      <c r="A137" s="1" t="s">
        <v>564</v>
      </c>
      <c r="B137" s="1" t="s">
        <v>565</v>
      </c>
      <c r="C137" s="1" t="s">
        <v>88</v>
      </c>
      <c r="D137" s="1" t="str">
        <f t="shared" si="1"/>
        <v>Electronics</v>
      </c>
      <c r="E137" s="1" t="str">
        <f t="shared" si="2"/>
        <v>HomeTheater,TV&amp;Video</v>
      </c>
      <c r="F137" s="5">
        <v>30990.0</v>
      </c>
      <c r="G137" s="5">
        <v>49990.0</v>
      </c>
      <c r="H137" s="6">
        <f t="shared" si="3"/>
        <v>0.3800760152</v>
      </c>
      <c r="I137" s="3">
        <f>IFERROR(__xludf.DUMMYFUNCTION("GOOGLEFINANCE(""CURRENCY:INRBRL"")*F137"),1887.3339245589)</f>
        <v>1887.333925</v>
      </c>
      <c r="J137" s="1">
        <v>4.5</v>
      </c>
      <c r="K137" s="1">
        <v>1376.0</v>
      </c>
      <c r="L137" s="1" t="s">
        <v>566</v>
      </c>
      <c r="M137" s="7" t="s">
        <v>567</v>
      </c>
    </row>
    <row r="138">
      <c r="A138" s="1" t="s">
        <v>568</v>
      </c>
      <c r="B138" s="1" t="s">
        <v>569</v>
      </c>
      <c r="C138" s="1" t="s">
        <v>22</v>
      </c>
      <c r="D138" s="1" t="str">
        <f t="shared" si="1"/>
        <v>Computers&amp;Accessories</v>
      </c>
      <c r="E138" s="1" t="str">
        <f t="shared" si="2"/>
        <v>Accessories&amp;Peripherals</v>
      </c>
      <c r="F138" s="1">
        <v>249.0</v>
      </c>
      <c r="G138" s="1">
        <v>931.0</v>
      </c>
      <c r="H138" s="6">
        <f t="shared" si="3"/>
        <v>0.7325456498</v>
      </c>
      <c r="I138" s="3">
        <f>IFERROR(__xludf.DUMMYFUNCTION("GOOGLEFINANCE(""CURRENCY:INRBRL"")*F138"),15.16444489239)</f>
        <v>15.16444489</v>
      </c>
      <c r="J138" s="1">
        <v>4.52</v>
      </c>
      <c r="K138" s="1">
        <v>1075.0</v>
      </c>
      <c r="L138" s="1" t="s">
        <v>570</v>
      </c>
      <c r="M138" s="7" t="s">
        <v>571</v>
      </c>
    </row>
    <row r="139">
      <c r="A139" s="1" t="s">
        <v>572</v>
      </c>
      <c r="B139" s="1" t="s">
        <v>573</v>
      </c>
      <c r="C139" s="1" t="s">
        <v>72</v>
      </c>
      <c r="D139" s="1" t="str">
        <f t="shared" si="1"/>
        <v>Electronics</v>
      </c>
      <c r="E139" s="1" t="str">
        <f t="shared" si="2"/>
        <v>HomeTheater,TV&amp;Video</v>
      </c>
      <c r="F139" s="1">
        <v>999.0</v>
      </c>
      <c r="G139" s="5">
        <v>2399.0</v>
      </c>
      <c r="H139" s="6">
        <f t="shared" si="3"/>
        <v>0.5835764902</v>
      </c>
      <c r="I139" s="3">
        <f>IFERROR(__xludf.DUMMYFUNCTION("GOOGLEFINANCE(""CURRENCY:INRBRL"")*F139"),60.84048372489)</f>
        <v>60.84048372</v>
      </c>
      <c r="J139" s="1">
        <v>4.51</v>
      </c>
      <c r="K139" s="1">
        <v>3664.0</v>
      </c>
      <c r="L139" s="1" t="s">
        <v>574</v>
      </c>
      <c r="M139" s="7" t="s">
        <v>575</v>
      </c>
    </row>
    <row r="140">
      <c r="A140" s="1" t="s">
        <v>576</v>
      </c>
      <c r="B140" s="1" t="s">
        <v>577</v>
      </c>
      <c r="C140" s="1" t="s">
        <v>217</v>
      </c>
      <c r="D140" s="1" t="str">
        <f t="shared" si="1"/>
        <v>Electronics</v>
      </c>
      <c r="E140" s="1" t="str">
        <f t="shared" si="2"/>
        <v>HomeTheater,TV&amp;Video</v>
      </c>
      <c r="F140" s="1">
        <v>399.0</v>
      </c>
      <c r="G140" s="1">
        <v>399.0</v>
      </c>
      <c r="H140" s="6">
        <f t="shared" si="3"/>
        <v>0</v>
      </c>
      <c r="I140" s="3">
        <f>IFERROR(__xludf.DUMMYFUNCTION("GOOGLEFINANCE(""CURRENCY:INRBRL"")*F140"),24.29965265889)</f>
        <v>24.29965266</v>
      </c>
      <c r="J140" s="1">
        <v>4.52</v>
      </c>
      <c r="K140" s="1">
        <v>1951.0</v>
      </c>
      <c r="L140" s="1" t="s">
        <v>578</v>
      </c>
      <c r="M140" s="7" t="s">
        <v>579</v>
      </c>
    </row>
    <row r="141">
      <c r="A141" s="1" t="s">
        <v>580</v>
      </c>
      <c r="B141" s="1" t="s">
        <v>581</v>
      </c>
      <c r="C141" s="1" t="s">
        <v>22</v>
      </c>
      <c r="D141" s="1" t="str">
        <f t="shared" si="1"/>
        <v>Computers&amp;Accessories</v>
      </c>
      <c r="E141" s="1" t="str">
        <f t="shared" si="2"/>
        <v>Accessories&amp;Peripherals</v>
      </c>
      <c r="F141" s="1">
        <v>349.0</v>
      </c>
      <c r="G141" s="1">
        <v>699.0</v>
      </c>
      <c r="H141" s="6">
        <f t="shared" si="3"/>
        <v>0.5007153076</v>
      </c>
      <c r="I141" s="3">
        <f>IFERROR(__xludf.DUMMYFUNCTION("GOOGLEFINANCE(""CURRENCY:INRBRL"")*F141"),21.25458340339)</f>
        <v>21.2545834</v>
      </c>
      <c r="J141" s="1">
        <v>4.5</v>
      </c>
      <c r="K141" s="1">
        <v>2085.0</v>
      </c>
      <c r="L141" s="1" t="s">
        <v>582</v>
      </c>
      <c r="M141" s="7" t="s">
        <v>583</v>
      </c>
    </row>
    <row r="142">
      <c r="A142" s="1" t="s">
        <v>584</v>
      </c>
      <c r="B142" s="1" t="s">
        <v>585</v>
      </c>
      <c r="C142" s="1" t="s">
        <v>22</v>
      </c>
      <c r="D142" s="1" t="str">
        <f t="shared" si="1"/>
        <v>Computers&amp;Accessories</v>
      </c>
      <c r="E142" s="1" t="str">
        <f t="shared" si="2"/>
        <v>Accessories&amp;Peripherals</v>
      </c>
      <c r="F142" s="1">
        <v>399.0</v>
      </c>
      <c r="G142" s="5">
        <v>1099.0</v>
      </c>
      <c r="H142" s="6">
        <f t="shared" si="3"/>
        <v>0.6369426752</v>
      </c>
      <c r="I142" s="3">
        <f>IFERROR(__xludf.DUMMYFUNCTION("GOOGLEFINANCE(""CURRENCY:INRBRL"")*F142"),24.29965265889)</f>
        <v>24.29965266</v>
      </c>
      <c r="J142" s="1">
        <v>4.49</v>
      </c>
      <c r="K142" s="1">
        <v>2685.0</v>
      </c>
      <c r="L142" s="1" t="s">
        <v>586</v>
      </c>
      <c r="M142" s="7" t="s">
        <v>587</v>
      </c>
    </row>
    <row r="143">
      <c r="A143" s="1" t="s">
        <v>588</v>
      </c>
      <c r="B143" s="1" t="s">
        <v>589</v>
      </c>
      <c r="C143" s="1" t="s">
        <v>55</v>
      </c>
      <c r="D143" s="1" t="str">
        <f t="shared" si="1"/>
        <v>Computers&amp;Accessories</v>
      </c>
      <c r="E143" s="1" t="str">
        <f t="shared" si="2"/>
        <v>NetworkingDevices</v>
      </c>
      <c r="F143" s="5">
        <v>1699.0</v>
      </c>
      <c r="G143" s="5">
        <v>2999.0</v>
      </c>
      <c r="H143" s="6">
        <f t="shared" si="3"/>
        <v>0.4334778259</v>
      </c>
      <c r="I143" s="3">
        <f>IFERROR(__xludf.DUMMYFUNCTION("GOOGLEFINANCE(""CURRENCY:INRBRL"")*F143"),103.47145330189)</f>
        <v>103.4714533</v>
      </c>
      <c r="J143" s="1">
        <v>4.5</v>
      </c>
      <c r="K143" s="1">
        <v>2478.0</v>
      </c>
      <c r="L143" s="1" t="s">
        <v>590</v>
      </c>
      <c r="M143" s="7" t="s">
        <v>591</v>
      </c>
    </row>
    <row r="144">
      <c r="A144" s="1" t="s">
        <v>592</v>
      </c>
      <c r="B144" s="1" t="s">
        <v>593</v>
      </c>
      <c r="C144" s="1" t="s">
        <v>217</v>
      </c>
      <c r="D144" s="1" t="str">
        <f t="shared" si="1"/>
        <v>Electronics</v>
      </c>
      <c r="E144" s="1" t="str">
        <f t="shared" si="2"/>
        <v>HomeTheater,TV&amp;Video</v>
      </c>
      <c r="F144" s="1">
        <v>655.0</v>
      </c>
      <c r="G144" s="5">
        <v>1099.0</v>
      </c>
      <c r="H144" s="6">
        <f t="shared" si="3"/>
        <v>0.4040036397</v>
      </c>
      <c r="I144" s="3">
        <f>IFERROR(__xludf.DUMMYFUNCTION("GOOGLEFINANCE(""CURRENCY:INRBRL"")*F144"),39.89040724705)</f>
        <v>39.89040725</v>
      </c>
      <c r="J144" s="1">
        <v>4.5</v>
      </c>
      <c r="K144" s="1">
        <v>285.0</v>
      </c>
      <c r="L144" s="1" t="s">
        <v>594</v>
      </c>
      <c r="M144" s="7" t="s">
        <v>595</v>
      </c>
    </row>
    <row r="145">
      <c r="A145" s="1" t="s">
        <v>596</v>
      </c>
      <c r="B145" s="1" t="s">
        <v>597</v>
      </c>
      <c r="C145" s="1" t="s">
        <v>55</v>
      </c>
      <c r="D145" s="1" t="str">
        <f t="shared" si="1"/>
        <v>Computers&amp;Accessories</v>
      </c>
      <c r="E145" s="1" t="str">
        <f t="shared" si="2"/>
        <v>NetworkingDevices</v>
      </c>
      <c r="F145" s="1">
        <v>749.0</v>
      </c>
      <c r="G145" s="5">
        <v>1339.0</v>
      </c>
      <c r="H145" s="6">
        <f t="shared" si="3"/>
        <v>0.4406273338</v>
      </c>
      <c r="I145" s="3">
        <f>IFERROR(__xludf.DUMMYFUNCTION("GOOGLEFINANCE(""CURRENCY:INRBRL"")*F145"),45.61513744739)</f>
        <v>45.61513745</v>
      </c>
      <c r="J145" s="1">
        <v>4.5</v>
      </c>
      <c r="K145" s="1">
        <v>179692.0</v>
      </c>
      <c r="L145" s="1" t="s">
        <v>598</v>
      </c>
      <c r="M145" s="7" t="s">
        <v>599</v>
      </c>
    </row>
    <row r="146">
      <c r="A146" s="1" t="s">
        <v>600</v>
      </c>
      <c r="B146" s="1" t="s">
        <v>601</v>
      </c>
      <c r="C146" s="1" t="s">
        <v>88</v>
      </c>
      <c r="D146" s="1" t="str">
        <f t="shared" si="1"/>
        <v>Electronics</v>
      </c>
      <c r="E146" s="1" t="str">
        <f t="shared" si="2"/>
        <v>HomeTheater,TV&amp;Video</v>
      </c>
      <c r="F146" s="5">
        <v>9999.0</v>
      </c>
      <c r="G146" s="5">
        <v>12999.0</v>
      </c>
      <c r="H146" s="6">
        <f t="shared" si="3"/>
        <v>0.2307869836</v>
      </c>
      <c r="I146" s="3">
        <f>IFERROR(__xludf.DUMMYFUNCTION("GOOGLEFINANCE(""CURRENCY:INRBRL"")*F146"),608.95294971489)</f>
        <v>608.9529497</v>
      </c>
      <c r="J146" s="1">
        <v>4.5</v>
      </c>
      <c r="K146" s="1">
        <v>6088.0</v>
      </c>
      <c r="L146" s="1" t="s">
        <v>602</v>
      </c>
      <c r="M146" s="7" t="s">
        <v>603</v>
      </c>
    </row>
    <row r="147">
      <c r="A147" s="1" t="s">
        <v>604</v>
      </c>
      <c r="B147" s="1" t="s">
        <v>605</v>
      </c>
      <c r="C147" s="1" t="s">
        <v>217</v>
      </c>
      <c r="D147" s="1" t="str">
        <f t="shared" si="1"/>
        <v>Electronics</v>
      </c>
      <c r="E147" s="1" t="str">
        <f t="shared" si="2"/>
        <v>HomeTheater,TV&amp;Video</v>
      </c>
      <c r="F147" s="1">
        <v>195.0</v>
      </c>
      <c r="G147" s="1">
        <v>499.0</v>
      </c>
      <c r="H147" s="6">
        <f t="shared" si="3"/>
        <v>0.6092184369</v>
      </c>
      <c r="I147" s="3">
        <f>IFERROR(__xludf.DUMMYFUNCTION("GOOGLEFINANCE(""CURRENCY:INRBRL"")*F147"),11.87577009645)</f>
        <v>11.8757701</v>
      </c>
      <c r="J147" s="1">
        <v>4.51</v>
      </c>
      <c r="K147" s="1">
        <v>1383.0</v>
      </c>
      <c r="L147" s="1" t="s">
        <v>606</v>
      </c>
      <c r="M147" s="7" t="s">
        <v>607</v>
      </c>
    </row>
    <row r="148">
      <c r="A148" s="1" t="s">
        <v>608</v>
      </c>
      <c r="B148" s="1" t="s">
        <v>609</v>
      </c>
      <c r="C148" s="1" t="s">
        <v>22</v>
      </c>
      <c r="D148" s="1" t="str">
        <f t="shared" si="1"/>
        <v>Computers&amp;Accessories</v>
      </c>
      <c r="E148" s="1" t="str">
        <f t="shared" si="2"/>
        <v>Accessories&amp;Peripherals</v>
      </c>
      <c r="F148" s="1">
        <v>999.0</v>
      </c>
      <c r="G148" s="5">
        <v>2100.0</v>
      </c>
      <c r="H148" s="6">
        <f t="shared" si="3"/>
        <v>0.5242857143</v>
      </c>
      <c r="I148" s="3">
        <f>IFERROR(__xludf.DUMMYFUNCTION("GOOGLEFINANCE(""CURRENCY:INRBRL"")*F148"),60.84048372489)</f>
        <v>60.84048372</v>
      </c>
      <c r="J148" s="1">
        <v>4.51</v>
      </c>
      <c r="K148" s="1">
        <v>5492.0</v>
      </c>
      <c r="L148" s="1" t="s">
        <v>234</v>
      </c>
      <c r="M148" s="7" t="s">
        <v>610</v>
      </c>
    </row>
    <row r="149">
      <c r="A149" s="1" t="s">
        <v>611</v>
      </c>
      <c r="B149" s="1" t="s">
        <v>612</v>
      </c>
      <c r="C149" s="1" t="s">
        <v>22</v>
      </c>
      <c r="D149" s="1" t="str">
        <f t="shared" si="1"/>
        <v>Computers&amp;Accessories</v>
      </c>
      <c r="E149" s="1" t="str">
        <f t="shared" si="2"/>
        <v>Accessories&amp;Peripherals</v>
      </c>
      <c r="F149" s="1">
        <v>499.0</v>
      </c>
      <c r="G149" s="1">
        <v>899.0</v>
      </c>
      <c r="H149" s="6">
        <f t="shared" si="3"/>
        <v>0.4449388209</v>
      </c>
      <c r="I149" s="3">
        <f>IFERROR(__xludf.DUMMYFUNCTION("GOOGLEFINANCE(""CURRENCY:INRBRL"")*F149"),30.38979116989)</f>
        <v>30.38979117</v>
      </c>
      <c r="J149" s="1">
        <v>4.5</v>
      </c>
      <c r="K149" s="1">
        <v>919.0</v>
      </c>
      <c r="L149" s="1" t="s">
        <v>613</v>
      </c>
      <c r="M149" s="7" t="s">
        <v>614</v>
      </c>
    </row>
    <row r="150">
      <c r="A150" s="1" t="s">
        <v>615</v>
      </c>
      <c r="B150" s="1" t="s">
        <v>616</v>
      </c>
      <c r="C150" s="1" t="s">
        <v>617</v>
      </c>
      <c r="D150" s="1" t="str">
        <f t="shared" si="1"/>
        <v>Electronics</v>
      </c>
      <c r="E150" s="1" t="str">
        <f t="shared" si="2"/>
        <v>HomeTheater,TV&amp;Video</v>
      </c>
      <c r="F150" s="1">
        <v>416.0</v>
      </c>
      <c r="G150" s="1">
        <v>599.0</v>
      </c>
      <c r="H150" s="6">
        <f t="shared" si="3"/>
        <v>0.305509182</v>
      </c>
      <c r="I150" s="3">
        <f>IFERROR(__xludf.DUMMYFUNCTION("GOOGLEFINANCE(""CURRENCY:INRBRL"")*F150"),25.33497620576)</f>
        <v>25.33497621</v>
      </c>
      <c r="J150" s="1">
        <v>4.5</v>
      </c>
      <c r="K150" s="1">
        <v>30023.0</v>
      </c>
      <c r="L150" s="1" t="s">
        <v>618</v>
      </c>
      <c r="M150" s="7" t="s">
        <v>619</v>
      </c>
    </row>
    <row r="151">
      <c r="A151" s="1" t="s">
        <v>620</v>
      </c>
      <c r="B151" s="1" t="s">
        <v>621</v>
      </c>
      <c r="C151" s="1" t="s">
        <v>22</v>
      </c>
      <c r="D151" s="1" t="str">
        <f t="shared" si="1"/>
        <v>Computers&amp;Accessories</v>
      </c>
      <c r="E151" s="1" t="str">
        <f t="shared" si="2"/>
        <v>Accessories&amp;Peripherals</v>
      </c>
      <c r="F151" s="1">
        <v>368.0</v>
      </c>
      <c r="G151" s="1">
        <v>699.0</v>
      </c>
      <c r="H151" s="6">
        <f t="shared" si="3"/>
        <v>0.4735336195</v>
      </c>
      <c r="I151" s="3">
        <f>IFERROR(__xludf.DUMMYFUNCTION("GOOGLEFINANCE(""CURRENCY:INRBRL"")*F151"),22.411709720479998)</f>
        <v>22.41170972</v>
      </c>
      <c r="J151" s="1">
        <v>4.5</v>
      </c>
      <c r="K151" s="1">
        <v>387.0</v>
      </c>
      <c r="L151" s="1" t="s">
        <v>622</v>
      </c>
      <c r="M151" s="7" t="s">
        <v>623</v>
      </c>
    </row>
    <row r="152">
      <c r="A152" s="1" t="s">
        <v>624</v>
      </c>
      <c r="B152" s="1" t="s">
        <v>625</v>
      </c>
      <c r="C152" s="1" t="s">
        <v>88</v>
      </c>
      <c r="D152" s="1" t="str">
        <f t="shared" si="1"/>
        <v>Electronics</v>
      </c>
      <c r="E152" s="1" t="str">
        <f t="shared" si="2"/>
        <v>HomeTheater,TV&amp;Video</v>
      </c>
      <c r="F152" s="5">
        <v>29990.0</v>
      </c>
      <c r="G152" s="5">
        <v>65000.0</v>
      </c>
      <c r="H152" s="6">
        <f t="shared" si="3"/>
        <v>0.5386153846</v>
      </c>
      <c r="I152" s="3">
        <f>IFERROR(__xludf.DUMMYFUNCTION("GOOGLEFINANCE(""CURRENCY:INRBRL"")*F152"),1826.4325394489)</f>
        <v>1826.432539</v>
      </c>
      <c r="J152" s="1">
        <v>4.49</v>
      </c>
      <c r="K152" s="1">
        <v>211.0</v>
      </c>
      <c r="L152" s="1" t="s">
        <v>626</v>
      </c>
      <c r="M152" s="7" t="s">
        <v>627</v>
      </c>
    </row>
    <row r="153">
      <c r="A153" s="1" t="s">
        <v>628</v>
      </c>
      <c r="B153" s="1" t="s">
        <v>629</v>
      </c>
      <c r="C153" s="1" t="s">
        <v>22</v>
      </c>
      <c r="D153" s="1" t="str">
        <f t="shared" si="1"/>
        <v>Computers&amp;Accessories</v>
      </c>
      <c r="E153" s="1" t="str">
        <f t="shared" si="2"/>
        <v>Accessories&amp;Peripherals</v>
      </c>
      <c r="F153" s="1">
        <v>339.0</v>
      </c>
      <c r="G153" s="5">
        <v>1099.0</v>
      </c>
      <c r="H153" s="6">
        <f t="shared" si="3"/>
        <v>0.6915377616</v>
      </c>
      <c r="I153" s="3">
        <f>IFERROR(__xludf.DUMMYFUNCTION("GOOGLEFINANCE(""CURRENCY:INRBRL"")*F153"),20.64556955229)</f>
        <v>20.64556955</v>
      </c>
      <c r="J153" s="1">
        <v>4.5</v>
      </c>
      <c r="K153" s="1">
        <v>974.0</v>
      </c>
      <c r="L153" s="1" t="s">
        <v>630</v>
      </c>
      <c r="M153" s="7" t="s">
        <v>631</v>
      </c>
    </row>
    <row r="154">
      <c r="A154" s="1" t="s">
        <v>632</v>
      </c>
      <c r="B154" s="1" t="s">
        <v>633</v>
      </c>
      <c r="C154" s="1" t="s">
        <v>88</v>
      </c>
      <c r="D154" s="1" t="str">
        <f t="shared" si="1"/>
        <v>Electronics</v>
      </c>
      <c r="E154" s="1" t="str">
        <f t="shared" si="2"/>
        <v>HomeTheater,TV&amp;Video</v>
      </c>
      <c r="F154" s="5">
        <v>15490.0</v>
      </c>
      <c r="G154" s="5">
        <v>20900.0</v>
      </c>
      <c r="H154" s="6">
        <f t="shared" si="3"/>
        <v>0.2588516746</v>
      </c>
      <c r="I154" s="3">
        <f>IFERROR(__xludf.DUMMYFUNCTION("GOOGLEFINANCE(""CURRENCY:INRBRL"")*F154"),943.3624553538999)</f>
        <v>943.3624554</v>
      </c>
      <c r="J154" s="1">
        <v>4.5</v>
      </c>
      <c r="K154" s="1">
        <v>16299.0</v>
      </c>
      <c r="L154" s="1" t="s">
        <v>634</v>
      </c>
      <c r="M154" s="7" t="s">
        <v>635</v>
      </c>
    </row>
    <row r="155">
      <c r="A155" s="1" t="s">
        <v>636</v>
      </c>
      <c r="B155" s="1" t="s">
        <v>637</v>
      </c>
      <c r="C155" s="1" t="s">
        <v>22</v>
      </c>
      <c r="D155" s="1" t="str">
        <f t="shared" si="1"/>
        <v>Computers&amp;Accessories</v>
      </c>
      <c r="E155" s="1" t="str">
        <f t="shared" si="2"/>
        <v>Accessories&amp;Peripherals</v>
      </c>
      <c r="F155" s="1">
        <v>499.0</v>
      </c>
      <c r="G155" s="5">
        <v>1299.0</v>
      </c>
      <c r="H155" s="6">
        <f t="shared" si="3"/>
        <v>0.6158583526</v>
      </c>
      <c r="I155" s="3">
        <f>IFERROR(__xludf.DUMMYFUNCTION("GOOGLEFINANCE(""CURRENCY:INRBRL"")*F155"),30.38979116989)</f>
        <v>30.38979117</v>
      </c>
      <c r="J155" s="1">
        <v>4.5</v>
      </c>
      <c r="K155" s="1">
        <v>30411.0</v>
      </c>
      <c r="L155" s="1" t="s">
        <v>638</v>
      </c>
      <c r="M155" s="7" t="s">
        <v>639</v>
      </c>
    </row>
    <row r="156">
      <c r="A156" s="1" t="s">
        <v>640</v>
      </c>
      <c r="B156" s="1" t="s">
        <v>641</v>
      </c>
      <c r="C156" s="1" t="s">
        <v>55</v>
      </c>
      <c r="D156" s="1" t="str">
        <f t="shared" si="1"/>
        <v>Computers&amp;Accessories</v>
      </c>
      <c r="E156" s="1" t="str">
        <f t="shared" si="2"/>
        <v>NetworkingDevices</v>
      </c>
      <c r="F156" s="1">
        <v>249.0</v>
      </c>
      <c r="G156" s="1">
        <v>399.0</v>
      </c>
      <c r="H156" s="6">
        <f t="shared" si="3"/>
        <v>0.3759398496</v>
      </c>
      <c r="I156" s="3">
        <f>IFERROR(__xludf.DUMMYFUNCTION("GOOGLEFINANCE(""CURRENCY:INRBRL"")*F156"),15.16444489239)</f>
        <v>15.16444489</v>
      </c>
      <c r="J156" s="1">
        <v>4.5</v>
      </c>
      <c r="K156" s="1">
        <v>4642.0</v>
      </c>
      <c r="L156" s="1" t="s">
        <v>642</v>
      </c>
      <c r="M156" s="7" t="s">
        <v>643</v>
      </c>
    </row>
    <row r="157">
      <c r="A157" s="1" t="s">
        <v>644</v>
      </c>
      <c r="B157" s="1" t="s">
        <v>645</v>
      </c>
      <c r="C157" s="1" t="s">
        <v>217</v>
      </c>
      <c r="D157" s="1" t="str">
        <f t="shared" si="1"/>
        <v>Electronics</v>
      </c>
      <c r="E157" s="1" t="str">
        <f t="shared" si="2"/>
        <v>HomeTheater,TV&amp;Video</v>
      </c>
      <c r="F157" s="1">
        <v>399.0</v>
      </c>
      <c r="G157" s="1">
        <v>799.0</v>
      </c>
      <c r="H157" s="6">
        <f t="shared" si="3"/>
        <v>0.5006257822</v>
      </c>
      <c r="I157" s="3">
        <f>IFERROR(__xludf.DUMMYFUNCTION("GOOGLEFINANCE(""CURRENCY:INRBRL"")*F157"),24.29965265889)</f>
        <v>24.29965266</v>
      </c>
      <c r="J157" s="1">
        <v>4.5</v>
      </c>
      <c r="K157" s="1">
        <v>12.0</v>
      </c>
      <c r="L157" s="1" t="s">
        <v>646</v>
      </c>
      <c r="M157" s="7" t="s">
        <v>647</v>
      </c>
    </row>
    <row r="158">
      <c r="A158" s="1" t="s">
        <v>648</v>
      </c>
      <c r="B158" s="1" t="s">
        <v>649</v>
      </c>
      <c r="C158" s="1" t="s">
        <v>22</v>
      </c>
      <c r="D158" s="1" t="str">
        <f t="shared" si="1"/>
        <v>Computers&amp;Accessories</v>
      </c>
      <c r="E158" s="1" t="str">
        <f t="shared" si="2"/>
        <v>Accessories&amp;Peripherals</v>
      </c>
      <c r="F158" s="5">
        <v>1499.0</v>
      </c>
      <c r="G158" s="5">
        <v>1999.0</v>
      </c>
      <c r="H158" s="6">
        <f t="shared" si="3"/>
        <v>0.2501250625</v>
      </c>
      <c r="I158" s="3">
        <f>IFERROR(__xludf.DUMMYFUNCTION("GOOGLEFINANCE(""CURRENCY:INRBRL"")*F158"),91.29117627989)</f>
        <v>91.29117628</v>
      </c>
      <c r="J158" s="1">
        <v>4.5</v>
      </c>
      <c r="K158" s="1">
        <v>1951.0</v>
      </c>
      <c r="L158" s="1" t="s">
        <v>650</v>
      </c>
      <c r="M158" s="7" t="s">
        <v>651</v>
      </c>
    </row>
    <row r="159">
      <c r="A159" s="1" t="s">
        <v>652</v>
      </c>
      <c r="B159" s="1" t="s">
        <v>653</v>
      </c>
      <c r="C159" s="1" t="s">
        <v>654</v>
      </c>
      <c r="D159" s="1" t="str">
        <f t="shared" si="1"/>
        <v>Electronics</v>
      </c>
      <c r="E159" s="1" t="str">
        <f t="shared" si="2"/>
        <v>HomeTheater,TV&amp;Video</v>
      </c>
      <c r="F159" s="5">
        <v>9490.0</v>
      </c>
      <c r="G159" s="5">
        <v>15990.0</v>
      </c>
      <c r="H159" s="6">
        <f t="shared" si="3"/>
        <v>0.406504065</v>
      </c>
      <c r="I159" s="3">
        <f>IFERROR(__xludf.DUMMYFUNCTION("GOOGLEFINANCE(""CURRENCY:INRBRL"")*F159"),577.9541446938999)</f>
        <v>577.9541447</v>
      </c>
      <c r="J159" s="1">
        <v>4.52</v>
      </c>
      <c r="K159" s="1">
        <v>1048.0</v>
      </c>
      <c r="L159" s="1" t="s">
        <v>655</v>
      </c>
      <c r="M159" s="7" t="s">
        <v>656</v>
      </c>
    </row>
    <row r="160">
      <c r="A160" s="1" t="s">
        <v>657</v>
      </c>
      <c r="B160" s="1" t="s">
        <v>658</v>
      </c>
      <c r="C160" s="1" t="s">
        <v>72</v>
      </c>
      <c r="D160" s="1" t="str">
        <f t="shared" si="1"/>
        <v>Electronics</v>
      </c>
      <c r="E160" s="1" t="str">
        <f t="shared" si="2"/>
        <v>HomeTheater,TV&amp;Video</v>
      </c>
      <c r="F160" s="1">
        <v>637.0</v>
      </c>
      <c r="G160" s="5">
        <v>1499.0</v>
      </c>
      <c r="H160" s="6">
        <f t="shared" si="3"/>
        <v>0.5750500334</v>
      </c>
      <c r="I160" s="3">
        <f>IFERROR(__xludf.DUMMYFUNCTION("GOOGLEFINANCE(""CURRENCY:INRBRL"")*F160"),38.794182315069996)</f>
        <v>38.79418232</v>
      </c>
      <c r="J160" s="1">
        <v>4.49</v>
      </c>
      <c r="K160" s="1">
        <v>24.0</v>
      </c>
      <c r="L160" s="1" t="s">
        <v>659</v>
      </c>
      <c r="M160" s="7" t="s">
        <v>660</v>
      </c>
    </row>
    <row r="161">
      <c r="A161" s="1" t="s">
        <v>661</v>
      </c>
      <c r="B161" s="1" t="s">
        <v>662</v>
      </c>
      <c r="C161" s="1" t="s">
        <v>217</v>
      </c>
      <c r="D161" s="1" t="str">
        <f t="shared" si="1"/>
        <v>Electronics</v>
      </c>
      <c r="E161" s="1" t="str">
        <f t="shared" si="2"/>
        <v>HomeTheater,TV&amp;Video</v>
      </c>
      <c r="F161" s="1">
        <v>399.0</v>
      </c>
      <c r="G161" s="1">
        <v>899.0</v>
      </c>
      <c r="H161" s="6">
        <f t="shared" si="3"/>
        <v>0.5561735261</v>
      </c>
      <c r="I161" s="3">
        <f>IFERROR(__xludf.DUMMYFUNCTION("GOOGLEFINANCE(""CURRENCY:INRBRL"")*F161"),24.29965265889)</f>
        <v>24.29965266</v>
      </c>
      <c r="J161" s="1">
        <v>4.52</v>
      </c>
      <c r="K161" s="1">
        <v>254.0</v>
      </c>
      <c r="L161" s="1" t="s">
        <v>663</v>
      </c>
      <c r="M161" s="7" t="s">
        <v>664</v>
      </c>
    </row>
    <row r="162">
      <c r="A162" s="1" t="s">
        <v>665</v>
      </c>
      <c r="B162" s="1" t="s">
        <v>666</v>
      </c>
      <c r="C162" s="1" t="s">
        <v>617</v>
      </c>
      <c r="D162" s="1" t="str">
        <f t="shared" si="1"/>
        <v>Electronics</v>
      </c>
      <c r="E162" s="1" t="str">
        <f t="shared" si="2"/>
        <v>HomeTheater,TV&amp;Video</v>
      </c>
      <c r="F162" s="5">
        <v>1089.0</v>
      </c>
      <c r="G162" s="5">
        <v>1600.0</v>
      </c>
      <c r="H162" s="6">
        <f t="shared" si="3"/>
        <v>0.319375</v>
      </c>
      <c r="I162" s="3">
        <f>IFERROR(__xludf.DUMMYFUNCTION("GOOGLEFINANCE(""CURRENCY:INRBRL"")*F162"),66.32160838479)</f>
        <v>66.32160838</v>
      </c>
      <c r="J162" s="1">
        <v>4.0</v>
      </c>
      <c r="K162" s="1">
        <v>3565.0</v>
      </c>
      <c r="L162" s="1" t="s">
        <v>667</v>
      </c>
      <c r="M162" s="7" t="s">
        <v>668</v>
      </c>
    </row>
    <row r="163">
      <c r="A163" s="1" t="s">
        <v>669</v>
      </c>
      <c r="B163" s="1" t="s">
        <v>670</v>
      </c>
      <c r="C163" s="1" t="s">
        <v>22</v>
      </c>
      <c r="D163" s="1" t="str">
        <f t="shared" si="1"/>
        <v>Computers&amp;Accessories</v>
      </c>
      <c r="E163" s="1" t="str">
        <f t="shared" si="2"/>
        <v>Accessories&amp;Peripherals</v>
      </c>
      <c r="F163" s="1">
        <v>339.0</v>
      </c>
      <c r="G163" s="1">
        <v>999.0</v>
      </c>
      <c r="H163" s="6">
        <f t="shared" si="3"/>
        <v>0.6606606607</v>
      </c>
      <c r="I163" s="3">
        <f>IFERROR(__xludf.DUMMYFUNCTION("GOOGLEFINANCE(""CURRENCY:INRBRL"")*F163"),20.64556955229)</f>
        <v>20.64556955</v>
      </c>
      <c r="J163" s="1">
        <v>4.5</v>
      </c>
      <c r="K163" s="1">
        <v>6255.0</v>
      </c>
      <c r="L163" s="1" t="s">
        <v>671</v>
      </c>
      <c r="M163" s="7" t="s">
        <v>672</v>
      </c>
    </row>
    <row r="164">
      <c r="A164" s="1" t="s">
        <v>673</v>
      </c>
      <c r="B164" s="1" t="s">
        <v>674</v>
      </c>
      <c r="C164" s="1" t="s">
        <v>22</v>
      </c>
      <c r="D164" s="1" t="str">
        <f t="shared" si="1"/>
        <v>Computers&amp;Accessories</v>
      </c>
      <c r="E164" s="1" t="str">
        <f t="shared" si="2"/>
        <v>Accessories&amp;Peripherals</v>
      </c>
      <c r="F164" s="1">
        <v>149.0</v>
      </c>
      <c r="G164" s="1">
        <v>499.0</v>
      </c>
      <c r="H164" s="6">
        <f t="shared" si="3"/>
        <v>0.7014028056</v>
      </c>
      <c r="I164" s="3">
        <f>IFERROR(__xludf.DUMMYFUNCTION("GOOGLEFINANCE(""CURRENCY:INRBRL"")*F164"),9.07430638139)</f>
        <v>9.074306381</v>
      </c>
      <c r="J164" s="1">
        <v>4.0</v>
      </c>
      <c r="K164" s="1">
        <v>7732.0</v>
      </c>
      <c r="L164" s="1" t="s">
        <v>675</v>
      </c>
      <c r="M164" s="7" t="s">
        <v>676</v>
      </c>
    </row>
    <row r="165">
      <c r="A165" s="1" t="s">
        <v>677</v>
      </c>
      <c r="B165" s="1" t="s">
        <v>678</v>
      </c>
      <c r="C165" s="1" t="s">
        <v>22</v>
      </c>
      <c r="D165" s="1" t="str">
        <f t="shared" si="1"/>
        <v>Computers&amp;Accessories</v>
      </c>
      <c r="E165" s="1" t="str">
        <f t="shared" si="2"/>
        <v>Accessories&amp;Peripherals</v>
      </c>
      <c r="F165" s="1">
        <v>149.0</v>
      </c>
      <c r="G165" s="1">
        <v>399.0</v>
      </c>
      <c r="H165" s="6">
        <f t="shared" si="3"/>
        <v>0.626566416</v>
      </c>
      <c r="I165" s="3">
        <f>IFERROR(__xludf.DUMMYFUNCTION("GOOGLEFINANCE(""CURRENCY:INRBRL"")*F165"),9.07430638139)</f>
        <v>9.074306381</v>
      </c>
      <c r="J165" s="1">
        <v>4.52</v>
      </c>
      <c r="K165" s="1">
        <v>57.0</v>
      </c>
      <c r="L165" s="1" t="s">
        <v>679</v>
      </c>
      <c r="M165" s="7" t="s">
        <v>680</v>
      </c>
    </row>
    <row r="166">
      <c r="A166" s="1" t="s">
        <v>681</v>
      </c>
      <c r="B166" s="1" t="s">
        <v>682</v>
      </c>
      <c r="C166" s="1" t="s">
        <v>22</v>
      </c>
      <c r="D166" s="1" t="str">
        <f t="shared" si="1"/>
        <v>Computers&amp;Accessories</v>
      </c>
      <c r="E166" s="1" t="str">
        <f t="shared" si="2"/>
        <v>Accessories&amp;Peripherals</v>
      </c>
      <c r="F166" s="1">
        <v>599.0</v>
      </c>
      <c r="G166" s="1">
        <v>849.0</v>
      </c>
      <c r="H166" s="6">
        <f t="shared" si="3"/>
        <v>0.2944640754</v>
      </c>
      <c r="I166" s="3">
        <f>IFERROR(__xludf.DUMMYFUNCTION("GOOGLEFINANCE(""CURRENCY:INRBRL"")*F166"),36.479929680889995)</f>
        <v>36.47992968</v>
      </c>
      <c r="J166" s="1">
        <v>4.51</v>
      </c>
      <c r="K166" s="1">
        <v>577.0</v>
      </c>
      <c r="L166" s="1" t="s">
        <v>683</v>
      </c>
      <c r="M166" s="7" t="s">
        <v>684</v>
      </c>
    </row>
    <row r="167">
      <c r="A167" s="1" t="s">
        <v>685</v>
      </c>
      <c r="B167" s="1" t="s">
        <v>686</v>
      </c>
      <c r="C167" s="1" t="s">
        <v>217</v>
      </c>
      <c r="D167" s="1" t="str">
        <f t="shared" si="1"/>
        <v>Electronics</v>
      </c>
      <c r="E167" s="1" t="str">
        <f t="shared" si="2"/>
        <v>HomeTheater,TV&amp;Video</v>
      </c>
      <c r="F167" s="1">
        <v>299.0</v>
      </c>
      <c r="G167" s="5">
        <v>1199.0</v>
      </c>
      <c r="H167" s="6">
        <f t="shared" si="3"/>
        <v>0.7506255213</v>
      </c>
      <c r="I167" s="3">
        <f>IFERROR(__xludf.DUMMYFUNCTION("GOOGLEFINANCE(""CURRENCY:INRBRL"")*F167"),18.209514147889998)</f>
        <v>18.20951415</v>
      </c>
      <c r="J167" s="1">
        <v>4.52</v>
      </c>
      <c r="K167" s="1">
        <v>1193.0</v>
      </c>
      <c r="L167" s="1" t="s">
        <v>687</v>
      </c>
      <c r="M167" s="7" t="s">
        <v>688</v>
      </c>
    </row>
    <row r="168">
      <c r="A168" s="1" t="s">
        <v>689</v>
      </c>
      <c r="B168" s="1" t="s">
        <v>690</v>
      </c>
      <c r="C168" s="1" t="s">
        <v>22</v>
      </c>
      <c r="D168" s="1" t="str">
        <f t="shared" si="1"/>
        <v>Computers&amp;Accessories</v>
      </c>
      <c r="E168" s="1" t="str">
        <f t="shared" si="2"/>
        <v>Accessories&amp;Peripherals</v>
      </c>
      <c r="F168" s="1">
        <v>399.0</v>
      </c>
      <c r="G168" s="5">
        <v>1299.0</v>
      </c>
      <c r="H168" s="6">
        <f t="shared" si="3"/>
        <v>0.6928406467</v>
      </c>
      <c r="I168" s="3">
        <f>IFERROR(__xludf.DUMMYFUNCTION("GOOGLEFINANCE(""CURRENCY:INRBRL"")*F168"),24.29965265889)</f>
        <v>24.29965266</v>
      </c>
      <c r="J168" s="1">
        <v>4.5</v>
      </c>
      <c r="K168" s="1">
        <v>1312.0</v>
      </c>
      <c r="L168" s="1" t="s">
        <v>691</v>
      </c>
      <c r="M168" s="7" t="s">
        <v>692</v>
      </c>
    </row>
    <row r="169">
      <c r="A169" s="1" t="s">
        <v>693</v>
      </c>
      <c r="B169" s="1" t="s">
        <v>694</v>
      </c>
      <c r="C169" s="1" t="s">
        <v>217</v>
      </c>
      <c r="D169" s="1" t="str">
        <f t="shared" si="1"/>
        <v>Electronics</v>
      </c>
      <c r="E169" s="1" t="str">
        <f t="shared" si="2"/>
        <v>HomeTheater,TV&amp;Video</v>
      </c>
      <c r="F169" s="1">
        <v>339.0</v>
      </c>
      <c r="G169" s="5">
        <v>1999.0</v>
      </c>
      <c r="H169" s="6">
        <f t="shared" si="3"/>
        <v>0.8304152076</v>
      </c>
      <c r="I169" s="3">
        <f>IFERROR(__xludf.DUMMYFUNCTION("GOOGLEFINANCE(""CURRENCY:INRBRL"")*F169"),20.64556955229)</f>
        <v>20.64556955</v>
      </c>
      <c r="J169" s="1">
        <v>4.0</v>
      </c>
      <c r="K169" s="1">
        <v>343.0</v>
      </c>
      <c r="L169" s="1" t="s">
        <v>695</v>
      </c>
      <c r="M169" s="7" t="s">
        <v>696</v>
      </c>
    </row>
    <row r="170">
      <c r="A170" s="1" t="s">
        <v>697</v>
      </c>
      <c r="B170" s="1" t="s">
        <v>698</v>
      </c>
      <c r="C170" s="1" t="s">
        <v>88</v>
      </c>
      <c r="D170" s="1" t="str">
        <f t="shared" si="1"/>
        <v>Electronics</v>
      </c>
      <c r="E170" s="1" t="str">
        <f t="shared" si="2"/>
        <v>HomeTheater,TV&amp;Video</v>
      </c>
      <c r="F170" s="5">
        <v>12499.0</v>
      </c>
      <c r="G170" s="5">
        <v>22990.0</v>
      </c>
      <c r="H170" s="6">
        <f t="shared" si="3"/>
        <v>0.4563288386</v>
      </c>
      <c r="I170" s="3">
        <f>IFERROR(__xludf.DUMMYFUNCTION("GOOGLEFINANCE(""CURRENCY:INRBRL"")*F170"),761.20641248989)</f>
        <v>761.2064125</v>
      </c>
      <c r="J170" s="1">
        <v>4.5</v>
      </c>
      <c r="K170" s="1">
        <v>1611.0</v>
      </c>
      <c r="L170" s="1" t="s">
        <v>699</v>
      </c>
      <c r="M170" s="7" t="s">
        <v>700</v>
      </c>
    </row>
    <row r="171">
      <c r="A171" s="1" t="s">
        <v>701</v>
      </c>
      <c r="B171" s="1" t="s">
        <v>702</v>
      </c>
      <c r="C171" s="1" t="s">
        <v>22</v>
      </c>
      <c r="D171" s="1" t="str">
        <f t="shared" si="1"/>
        <v>Computers&amp;Accessories</v>
      </c>
      <c r="E171" s="1" t="str">
        <f t="shared" si="2"/>
        <v>Accessories&amp;Peripherals</v>
      </c>
      <c r="F171" s="1">
        <v>249.0</v>
      </c>
      <c r="G171" s="1">
        <v>399.0</v>
      </c>
      <c r="H171" s="6">
        <f t="shared" si="3"/>
        <v>0.3759398496</v>
      </c>
      <c r="I171" s="3">
        <f>IFERROR(__xludf.DUMMYFUNCTION("GOOGLEFINANCE(""CURRENCY:INRBRL"")*F171"),15.16444489239)</f>
        <v>15.16444489</v>
      </c>
      <c r="J171" s="1">
        <v>4.0</v>
      </c>
      <c r="K171" s="1">
        <v>6558.0</v>
      </c>
      <c r="L171" s="1" t="s">
        <v>703</v>
      </c>
      <c r="M171" s="7" t="s">
        <v>704</v>
      </c>
    </row>
    <row r="172">
      <c r="A172" s="1" t="s">
        <v>705</v>
      </c>
      <c r="B172" s="1" t="s">
        <v>706</v>
      </c>
      <c r="C172" s="1" t="s">
        <v>55</v>
      </c>
      <c r="D172" s="1" t="str">
        <f t="shared" si="1"/>
        <v>Computers&amp;Accessories</v>
      </c>
      <c r="E172" s="1" t="str">
        <f t="shared" si="2"/>
        <v>NetworkingDevices</v>
      </c>
      <c r="F172" s="5">
        <v>1399.0</v>
      </c>
      <c r="G172" s="5">
        <v>2499.0</v>
      </c>
      <c r="H172" s="6">
        <f t="shared" si="3"/>
        <v>0.4401760704</v>
      </c>
      <c r="I172" s="3">
        <f>IFERROR(__xludf.DUMMYFUNCTION("GOOGLEFINANCE(""CURRENCY:INRBRL"")*F172"),85.20103776889)</f>
        <v>85.20103777</v>
      </c>
      <c r="J172" s="1">
        <v>4.5</v>
      </c>
      <c r="K172" s="1">
        <v>23169.0</v>
      </c>
      <c r="L172" s="1" t="s">
        <v>707</v>
      </c>
      <c r="M172" s="7" t="s">
        <v>708</v>
      </c>
    </row>
    <row r="173">
      <c r="A173" s="1" t="s">
        <v>709</v>
      </c>
      <c r="B173" s="1" t="s">
        <v>710</v>
      </c>
      <c r="C173" s="1" t="s">
        <v>88</v>
      </c>
      <c r="D173" s="1" t="str">
        <f t="shared" si="1"/>
        <v>Electronics</v>
      </c>
      <c r="E173" s="1" t="str">
        <f t="shared" si="2"/>
        <v>HomeTheater,TV&amp;Video</v>
      </c>
      <c r="F173" s="5">
        <v>32999.0</v>
      </c>
      <c r="G173" s="5">
        <v>47990.0</v>
      </c>
      <c r="H173" s="6">
        <f t="shared" si="3"/>
        <v>0.3123775787</v>
      </c>
      <c r="I173" s="3">
        <f>IFERROR(__xludf.DUMMYFUNCTION("GOOGLEFINANCE(""CURRENCY:INRBRL"")*F173"),2009.68480724489)</f>
        <v>2009.684807</v>
      </c>
      <c r="J173" s="1">
        <v>4.5</v>
      </c>
      <c r="K173" s="1">
        <v>4703.0</v>
      </c>
      <c r="L173" s="1" t="s">
        <v>372</v>
      </c>
      <c r="M173" s="7" t="s">
        <v>711</v>
      </c>
    </row>
    <row r="174">
      <c r="A174" s="1" t="s">
        <v>712</v>
      </c>
      <c r="B174" s="1" t="s">
        <v>713</v>
      </c>
      <c r="C174" s="1" t="s">
        <v>22</v>
      </c>
      <c r="D174" s="1" t="str">
        <f t="shared" si="1"/>
        <v>Computers&amp;Accessories</v>
      </c>
      <c r="E174" s="1" t="str">
        <f t="shared" si="2"/>
        <v>Accessories&amp;Peripherals</v>
      </c>
      <c r="F174" s="1">
        <v>149.0</v>
      </c>
      <c r="G174" s="1">
        <v>399.0</v>
      </c>
      <c r="H174" s="6">
        <f t="shared" si="3"/>
        <v>0.626566416</v>
      </c>
      <c r="I174" s="3">
        <f>IFERROR(__xludf.DUMMYFUNCTION("GOOGLEFINANCE(""CURRENCY:INRBRL"")*F174"),9.07430638139)</f>
        <v>9.074306381</v>
      </c>
      <c r="J174" s="1">
        <v>4.0</v>
      </c>
      <c r="K174" s="1">
        <v>1423.0</v>
      </c>
      <c r="L174" s="1" t="s">
        <v>714</v>
      </c>
      <c r="M174" s="7" t="s">
        <v>715</v>
      </c>
    </row>
    <row r="175">
      <c r="A175" s="1" t="s">
        <v>716</v>
      </c>
      <c r="B175" s="1" t="s">
        <v>717</v>
      </c>
      <c r="C175" s="1" t="s">
        <v>22</v>
      </c>
      <c r="D175" s="1" t="str">
        <f t="shared" si="1"/>
        <v>Computers&amp;Accessories</v>
      </c>
      <c r="E175" s="1" t="str">
        <f t="shared" si="2"/>
        <v>Accessories&amp;Peripherals</v>
      </c>
      <c r="F175" s="1">
        <v>325.0</v>
      </c>
      <c r="G175" s="1">
        <v>999.0</v>
      </c>
      <c r="H175" s="6">
        <f t="shared" si="3"/>
        <v>0.6746746747</v>
      </c>
      <c r="I175" s="3">
        <f>IFERROR(__xludf.DUMMYFUNCTION("GOOGLEFINANCE(""CURRENCY:INRBRL"")*F175"),19.79295016075)</f>
        <v>19.79295016</v>
      </c>
      <c r="J175" s="1">
        <v>4.5</v>
      </c>
      <c r="K175" s="1">
        <v>2651.0</v>
      </c>
      <c r="L175" s="1" t="s">
        <v>718</v>
      </c>
      <c r="M175" s="7" t="s">
        <v>719</v>
      </c>
    </row>
    <row r="176">
      <c r="A176" s="1" t="s">
        <v>720</v>
      </c>
      <c r="B176" s="1" t="s">
        <v>721</v>
      </c>
      <c r="C176" s="1" t="s">
        <v>22</v>
      </c>
      <c r="D176" s="1" t="str">
        <f t="shared" si="1"/>
        <v>Computers&amp;Accessories</v>
      </c>
      <c r="E176" s="1" t="str">
        <f t="shared" si="2"/>
        <v>Accessories&amp;Peripherals</v>
      </c>
      <c r="F176" s="1">
        <v>399.0</v>
      </c>
      <c r="G176" s="5">
        <v>1999.0</v>
      </c>
      <c r="H176" s="6">
        <f t="shared" si="3"/>
        <v>0.8004002001</v>
      </c>
      <c r="I176" s="3">
        <f>IFERROR(__xludf.DUMMYFUNCTION("GOOGLEFINANCE(""CURRENCY:INRBRL"")*F176"),24.29965265889)</f>
        <v>24.29965266</v>
      </c>
      <c r="J176" s="1">
        <v>5.0</v>
      </c>
      <c r="K176" s="1">
        <v>5.0</v>
      </c>
      <c r="L176" s="1" t="s">
        <v>722</v>
      </c>
      <c r="M176" s="7" t="s">
        <v>723</v>
      </c>
    </row>
    <row r="177">
      <c r="A177" s="1" t="s">
        <v>724</v>
      </c>
      <c r="B177" s="1" t="s">
        <v>725</v>
      </c>
      <c r="C177" s="1" t="s">
        <v>55</v>
      </c>
      <c r="D177" s="1" t="str">
        <f t="shared" si="1"/>
        <v>Computers&amp;Accessories</v>
      </c>
      <c r="E177" s="1" t="str">
        <f t="shared" si="2"/>
        <v>NetworkingDevices</v>
      </c>
      <c r="F177" s="1">
        <v>199.0</v>
      </c>
      <c r="G177" s="1">
        <v>499.0</v>
      </c>
      <c r="H177" s="6">
        <f t="shared" si="3"/>
        <v>0.6012024048</v>
      </c>
      <c r="I177" s="3">
        <f>IFERROR(__xludf.DUMMYFUNCTION("GOOGLEFINANCE(""CURRENCY:INRBRL"")*F177"),12.11937563689)</f>
        <v>12.11937564</v>
      </c>
      <c r="J177" s="1">
        <v>4.51</v>
      </c>
      <c r="K177" s="1">
        <v>612.0</v>
      </c>
      <c r="L177" s="1" t="s">
        <v>726</v>
      </c>
      <c r="M177" s="7" t="s">
        <v>727</v>
      </c>
    </row>
    <row r="178">
      <c r="A178" s="1" t="s">
        <v>728</v>
      </c>
      <c r="B178" s="1" t="s">
        <v>729</v>
      </c>
      <c r="C178" s="1" t="s">
        <v>22</v>
      </c>
      <c r="D178" s="1" t="str">
        <f t="shared" si="1"/>
        <v>Computers&amp;Accessories</v>
      </c>
      <c r="E178" s="1" t="str">
        <f t="shared" si="2"/>
        <v>Accessories&amp;Peripherals</v>
      </c>
      <c r="F178" s="1">
        <v>88.0</v>
      </c>
      <c r="G178" s="1">
        <v>299.0</v>
      </c>
      <c r="H178" s="6">
        <f t="shared" si="3"/>
        <v>0.7056856187</v>
      </c>
      <c r="I178" s="3">
        <f>IFERROR(__xludf.DUMMYFUNCTION("GOOGLEFINANCE(""CURRENCY:INRBRL"")*F178"),5.3593218896799995)</f>
        <v>5.35932189</v>
      </c>
      <c r="J178" s="1">
        <v>4.0</v>
      </c>
      <c r="K178" s="1">
        <v>9378.0</v>
      </c>
      <c r="L178" s="1" t="s">
        <v>730</v>
      </c>
      <c r="M178" s="7" t="s">
        <v>731</v>
      </c>
    </row>
    <row r="179">
      <c r="A179" s="1" t="s">
        <v>732</v>
      </c>
      <c r="B179" s="1" t="s">
        <v>733</v>
      </c>
      <c r="C179" s="1" t="s">
        <v>22</v>
      </c>
      <c r="D179" s="1" t="str">
        <f t="shared" si="1"/>
        <v>Computers&amp;Accessories</v>
      </c>
      <c r="E179" s="1" t="str">
        <f t="shared" si="2"/>
        <v>Accessories&amp;Peripherals</v>
      </c>
      <c r="F179" s="1">
        <v>399.0</v>
      </c>
      <c r="G179" s="5">
        <v>1099.0</v>
      </c>
      <c r="H179" s="6">
        <f t="shared" si="3"/>
        <v>0.6369426752</v>
      </c>
      <c r="I179" s="3">
        <f>IFERROR(__xludf.DUMMYFUNCTION("GOOGLEFINANCE(""CURRENCY:INRBRL"")*F179"),24.29965265889)</f>
        <v>24.29965266</v>
      </c>
      <c r="J179" s="1">
        <v>4.49</v>
      </c>
      <c r="K179" s="1">
        <v>2685.0</v>
      </c>
      <c r="L179" s="1" t="s">
        <v>734</v>
      </c>
      <c r="M179" s="7" t="s">
        <v>735</v>
      </c>
    </row>
    <row r="180">
      <c r="A180" s="1" t="s">
        <v>736</v>
      </c>
      <c r="B180" s="1" t="s">
        <v>737</v>
      </c>
      <c r="C180" s="1" t="s">
        <v>22</v>
      </c>
      <c r="D180" s="1" t="str">
        <f t="shared" si="1"/>
        <v>Computers&amp;Accessories</v>
      </c>
      <c r="E180" s="1" t="str">
        <f t="shared" si="2"/>
        <v>Accessories&amp;Peripherals</v>
      </c>
      <c r="F180" s="1">
        <v>57.98</v>
      </c>
      <c r="G180" s="1">
        <v>199.0</v>
      </c>
      <c r="H180" s="6">
        <f t="shared" si="3"/>
        <v>0.7086432161</v>
      </c>
      <c r="I180" s="3">
        <f>IFERROR(__xludf.DUMMYFUNCTION("GOOGLEFINANCE(""CURRENCY:INRBRL"")*F180"),3.5310623086777997)</f>
        <v>3.531062309</v>
      </c>
      <c r="J180" s="1">
        <v>4.0</v>
      </c>
      <c r="K180" s="1">
        <v>9378.0</v>
      </c>
      <c r="L180" s="1" t="s">
        <v>738</v>
      </c>
      <c r="M180" s="7" t="s">
        <v>739</v>
      </c>
    </row>
    <row r="181">
      <c r="A181" s="1" t="s">
        <v>740</v>
      </c>
      <c r="B181" s="1" t="s">
        <v>741</v>
      </c>
      <c r="C181" s="1" t="s">
        <v>217</v>
      </c>
      <c r="D181" s="1" t="str">
        <f t="shared" si="1"/>
        <v>Electronics</v>
      </c>
      <c r="E181" s="1" t="str">
        <f t="shared" si="2"/>
        <v>HomeTheater,TV&amp;Video</v>
      </c>
      <c r="F181" s="1">
        <v>799.0</v>
      </c>
      <c r="G181" s="5">
        <v>1999.0</v>
      </c>
      <c r="H181" s="6">
        <f t="shared" si="3"/>
        <v>0.6003001501</v>
      </c>
      <c r="I181" s="3">
        <f>IFERROR(__xludf.DUMMYFUNCTION("GOOGLEFINANCE(""CURRENCY:INRBRL"")*F181"),48.66020670289)</f>
        <v>48.6602067</v>
      </c>
      <c r="J181" s="1">
        <v>4.5</v>
      </c>
      <c r="K181" s="1">
        <v>576.0</v>
      </c>
      <c r="L181" s="1" t="s">
        <v>742</v>
      </c>
      <c r="M181" s="7" t="s">
        <v>743</v>
      </c>
    </row>
    <row r="182">
      <c r="A182" s="1" t="s">
        <v>744</v>
      </c>
      <c r="B182" s="1" t="s">
        <v>745</v>
      </c>
      <c r="C182" s="1" t="s">
        <v>217</v>
      </c>
      <c r="D182" s="1" t="str">
        <f t="shared" si="1"/>
        <v>Electronics</v>
      </c>
      <c r="E182" s="1" t="str">
        <f t="shared" si="2"/>
        <v>HomeTheater,TV&amp;Video</v>
      </c>
      <c r="F182" s="1">
        <v>205.0</v>
      </c>
      <c r="G182" s="1">
        <v>499.0</v>
      </c>
      <c r="H182" s="6">
        <f t="shared" si="3"/>
        <v>0.5891783567</v>
      </c>
      <c r="I182" s="3">
        <f>IFERROR(__xludf.DUMMYFUNCTION("GOOGLEFINANCE(""CURRENCY:INRBRL"")*F182"),12.48478394755)</f>
        <v>12.48478395</v>
      </c>
      <c r="J182" s="1">
        <v>4.51</v>
      </c>
      <c r="K182" s="1">
        <v>313.0</v>
      </c>
      <c r="L182" s="1" t="s">
        <v>746</v>
      </c>
      <c r="M182" s="7" t="s">
        <v>747</v>
      </c>
    </row>
    <row r="183">
      <c r="A183" s="1" t="s">
        <v>748</v>
      </c>
      <c r="B183" s="1" t="s">
        <v>749</v>
      </c>
      <c r="C183" s="1" t="s">
        <v>22</v>
      </c>
      <c r="D183" s="1" t="str">
        <f t="shared" si="1"/>
        <v>Computers&amp;Accessories</v>
      </c>
      <c r="E183" s="1" t="str">
        <f t="shared" si="2"/>
        <v>Accessories&amp;Peripherals</v>
      </c>
      <c r="F183" s="1">
        <v>299.0</v>
      </c>
      <c r="G183" s="1">
        <v>699.0</v>
      </c>
      <c r="H183" s="6">
        <f t="shared" si="3"/>
        <v>0.5722460658</v>
      </c>
      <c r="I183" s="3">
        <f>IFERROR(__xludf.DUMMYFUNCTION("GOOGLEFINANCE(""CURRENCY:INRBRL"")*F183"),18.209514147889998)</f>
        <v>18.20951415</v>
      </c>
      <c r="J183" s="1">
        <v>4.49</v>
      </c>
      <c r="K183" s="1">
        <v>2957.0</v>
      </c>
      <c r="L183" s="1" t="s">
        <v>750</v>
      </c>
      <c r="M183" s="7" t="s">
        <v>751</v>
      </c>
    </row>
    <row r="184">
      <c r="A184" s="1" t="s">
        <v>752</v>
      </c>
      <c r="B184" s="1" t="s">
        <v>753</v>
      </c>
      <c r="C184" s="1" t="s">
        <v>22</v>
      </c>
      <c r="D184" s="1" t="str">
        <f t="shared" si="1"/>
        <v>Computers&amp;Accessories</v>
      </c>
      <c r="E184" s="1" t="str">
        <f t="shared" si="2"/>
        <v>Accessories&amp;Peripherals</v>
      </c>
      <c r="F184" s="1">
        <v>849.0</v>
      </c>
      <c r="G184" s="1">
        <v>999.0</v>
      </c>
      <c r="H184" s="6">
        <f t="shared" si="3"/>
        <v>0.1501501502</v>
      </c>
      <c r="I184" s="3">
        <f>IFERROR(__xludf.DUMMYFUNCTION("GOOGLEFINANCE(""CURRENCY:INRBRL"")*F184"),51.70527595839)</f>
        <v>51.70527596</v>
      </c>
      <c r="J184" s="1">
        <v>4.49</v>
      </c>
      <c r="K184" s="1">
        <v>6736.0</v>
      </c>
      <c r="L184" s="1" t="s">
        <v>754</v>
      </c>
      <c r="M184" s="7" t="s">
        <v>755</v>
      </c>
    </row>
    <row r="185">
      <c r="A185" s="1" t="s">
        <v>756</v>
      </c>
      <c r="B185" s="1" t="s">
        <v>757</v>
      </c>
      <c r="C185" s="1" t="s">
        <v>22</v>
      </c>
      <c r="D185" s="1" t="str">
        <f t="shared" si="1"/>
        <v>Computers&amp;Accessories</v>
      </c>
      <c r="E185" s="1" t="str">
        <f t="shared" si="2"/>
        <v>Accessories&amp;Peripherals</v>
      </c>
      <c r="F185" s="1">
        <v>949.0</v>
      </c>
      <c r="G185" s="5">
        <v>1999.0</v>
      </c>
      <c r="H185" s="6">
        <f t="shared" si="3"/>
        <v>0.5252626313</v>
      </c>
      <c r="I185" s="3">
        <f>IFERROR(__xludf.DUMMYFUNCTION("GOOGLEFINANCE(""CURRENCY:INRBRL"")*F185"),57.795414469389996)</f>
        <v>57.79541447</v>
      </c>
      <c r="J185" s="1">
        <v>4.5</v>
      </c>
      <c r="K185" s="1">
        <v>13552.0</v>
      </c>
      <c r="L185" s="1" t="s">
        <v>758</v>
      </c>
      <c r="M185" s="7" t="s">
        <v>759</v>
      </c>
    </row>
    <row r="186">
      <c r="A186" s="1" t="s">
        <v>760</v>
      </c>
      <c r="B186" s="1" t="s">
        <v>761</v>
      </c>
      <c r="C186" s="1" t="s">
        <v>22</v>
      </c>
      <c r="D186" s="1" t="str">
        <f t="shared" si="1"/>
        <v>Computers&amp;Accessories</v>
      </c>
      <c r="E186" s="1" t="str">
        <f t="shared" si="2"/>
        <v>Accessories&amp;Peripherals</v>
      </c>
      <c r="F186" s="1">
        <v>499.0</v>
      </c>
      <c r="G186" s="5">
        <v>1200.0</v>
      </c>
      <c r="H186" s="6">
        <f t="shared" si="3"/>
        <v>0.5841666667</v>
      </c>
      <c r="I186" s="3">
        <f>IFERROR(__xludf.DUMMYFUNCTION("GOOGLEFINANCE(""CURRENCY:INRBRL"")*F186"),30.38979116989)</f>
        <v>30.38979117</v>
      </c>
      <c r="J186" s="1">
        <v>4.5</v>
      </c>
      <c r="K186" s="1">
        <v>5451.0</v>
      </c>
      <c r="L186" s="1" t="s">
        <v>762</v>
      </c>
      <c r="M186" s="7" t="s">
        <v>763</v>
      </c>
    </row>
    <row r="187">
      <c r="A187" s="1" t="s">
        <v>764</v>
      </c>
      <c r="B187" s="1" t="s">
        <v>765</v>
      </c>
      <c r="C187" s="1" t="s">
        <v>22</v>
      </c>
      <c r="D187" s="1" t="str">
        <f t="shared" si="1"/>
        <v>Computers&amp;Accessories</v>
      </c>
      <c r="E187" s="1" t="str">
        <f t="shared" si="2"/>
        <v>Accessories&amp;Peripherals</v>
      </c>
      <c r="F187" s="1">
        <v>299.0</v>
      </c>
      <c r="G187" s="1">
        <v>485.0</v>
      </c>
      <c r="H187" s="6">
        <f t="shared" si="3"/>
        <v>0.3835051546</v>
      </c>
      <c r="I187" s="3">
        <f>IFERROR(__xludf.DUMMYFUNCTION("GOOGLEFINANCE(""CURRENCY:INRBRL"")*F187"),18.209514147889998)</f>
        <v>18.20951415</v>
      </c>
      <c r="J187" s="1">
        <v>4.5</v>
      </c>
      <c r="K187" s="1">
        <v>10911.0</v>
      </c>
      <c r="L187" s="1" t="s">
        <v>766</v>
      </c>
      <c r="M187" s="7" t="s">
        <v>767</v>
      </c>
    </row>
    <row r="188">
      <c r="A188" s="1" t="s">
        <v>768</v>
      </c>
      <c r="B188" s="1" t="s">
        <v>769</v>
      </c>
      <c r="C188" s="1" t="s">
        <v>22</v>
      </c>
      <c r="D188" s="1" t="str">
        <f t="shared" si="1"/>
        <v>Computers&amp;Accessories</v>
      </c>
      <c r="E188" s="1" t="str">
        <f t="shared" si="2"/>
        <v>Accessories&amp;Peripherals</v>
      </c>
      <c r="F188" s="1">
        <v>949.0</v>
      </c>
      <c r="G188" s="5">
        <v>1999.0</v>
      </c>
      <c r="H188" s="6">
        <f t="shared" si="3"/>
        <v>0.5252626313</v>
      </c>
      <c r="I188" s="3">
        <f>IFERROR(__xludf.DUMMYFUNCTION("GOOGLEFINANCE(""CURRENCY:INRBRL"")*F188"),57.795414469389996)</f>
        <v>57.79541447</v>
      </c>
      <c r="J188" s="1">
        <v>4.5</v>
      </c>
      <c r="K188" s="1">
        <v>13552.0</v>
      </c>
      <c r="L188" s="1" t="s">
        <v>770</v>
      </c>
      <c r="M188" s="7" t="s">
        <v>771</v>
      </c>
    </row>
    <row r="189">
      <c r="A189" s="1" t="s">
        <v>772</v>
      </c>
      <c r="B189" s="1" t="s">
        <v>773</v>
      </c>
      <c r="C189" s="1" t="s">
        <v>22</v>
      </c>
      <c r="D189" s="1" t="str">
        <f t="shared" si="1"/>
        <v>Computers&amp;Accessories</v>
      </c>
      <c r="E189" s="1" t="str">
        <f t="shared" si="2"/>
        <v>Accessories&amp;Peripherals</v>
      </c>
      <c r="F189" s="1">
        <v>379.0</v>
      </c>
      <c r="G189" s="5">
        <v>1099.0</v>
      </c>
      <c r="H189" s="6">
        <f t="shared" si="3"/>
        <v>0.6551410373</v>
      </c>
      <c r="I189" s="3">
        <f>IFERROR(__xludf.DUMMYFUNCTION("GOOGLEFINANCE(""CURRENCY:INRBRL"")*F189"),23.08162495669)</f>
        <v>23.08162496</v>
      </c>
      <c r="J189" s="1">
        <v>4.5</v>
      </c>
      <c r="K189" s="1">
        <v>2806.0</v>
      </c>
      <c r="L189" s="1" t="s">
        <v>774</v>
      </c>
      <c r="M189" s="7" t="s">
        <v>775</v>
      </c>
    </row>
    <row r="190">
      <c r="A190" s="1" t="s">
        <v>776</v>
      </c>
      <c r="B190" s="1" t="s">
        <v>777</v>
      </c>
      <c r="C190" s="1" t="s">
        <v>88</v>
      </c>
      <c r="D190" s="1" t="str">
        <f t="shared" si="1"/>
        <v>Electronics</v>
      </c>
      <c r="E190" s="1" t="str">
        <f t="shared" si="2"/>
        <v>HomeTheater,TV&amp;Video</v>
      </c>
      <c r="F190" s="5">
        <v>8990.0</v>
      </c>
      <c r="G190" s="5">
        <v>18990.0</v>
      </c>
      <c r="H190" s="6">
        <f t="shared" si="3"/>
        <v>0.5265929437</v>
      </c>
      <c r="I190" s="3">
        <f>IFERROR(__xludf.DUMMYFUNCTION("GOOGLEFINANCE(""CURRENCY:INRBRL"")*F190"),547.5034521389)</f>
        <v>547.5034521</v>
      </c>
      <c r="J190" s="1">
        <v>4.52</v>
      </c>
      <c r="K190" s="1">
        <v>350.0</v>
      </c>
      <c r="L190" s="1" t="s">
        <v>778</v>
      </c>
      <c r="M190" s="7" t="s">
        <v>779</v>
      </c>
    </row>
    <row r="191">
      <c r="A191" s="1" t="s">
        <v>780</v>
      </c>
      <c r="B191" s="1" t="s">
        <v>781</v>
      </c>
      <c r="C191" s="1" t="s">
        <v>617</v>
      </c>
      <c r="D191" s="1" t="str">
        <f t="shared" si="1"/>
        <v>Electronics</v>
      </c>
      <c r="E191" s="1" t="str">
        <f t="shared" si="2"/>
        <v>HomeTheater,TV&amp;Video</v>
      </c>
      <c r="F191" s="1">
        <v>486.0</v>
      </c>
      <c r="G191" s="5">
        <v>1999.0</v>
      </c>
      <c r="H191" s="6">
        <f t="shared" si="3"/>
        <v>0.7568784392</v>
      </c>
      <c r="I191" s="3">
        <f>IFERROR(__xludf.DUMMYFUNCTION("GOOGLEFINANCE(""CURRENCY:INRBRL"")*F191"),29.59807316346)</f>
        <v>29.59807316</v>
      </c>
      <c r="J191" s="1">
        <v>4.5</v>
      </c>
      <c r="K191" s="1">
        <v>30023.0</v>
      </c>
      <c r="L191" s="1" t="s">
        <v>782</v>
      </c>
      <c r="M191" s="7" t="s">
        <v>783</v>
      </c>
    </row>
    <row r="192">
      <c r="A192" s="1" t="s">
        <v>784</v>
      </c>
      <c r="B192" s="1" t="s">
        <v>785</v>
      </c>
      <c r="C192" s="1" t="s">
        <v>238</v>
      </c>
      <c r="D192" s="1" t="str">
        <f t="shared" si="1"/>
        <v>Electronics</v>
      </c>
      <c r="E192" s="1" t="str">
        <f t="shared" si="2"/>
        <v>HomeTheater,TV&amp;Video</v>
      </c>
      <c r="F192" s="5">
        <v>5699.0</v>
      </c>
      <c r="G192" s="5">
        <v>11000.0</v>
      </c>
      <c r="H192" s="6">
        <f t="shared" si="3"/>
        <v>0.4819090909</v>
      </c>
      <c r="I192" s="3">
        <f>IFERROR(__xludf.DUMMYFUNCTION("GOOGLEFINANCE(""CURRENCY:INRBRL"")*F192"),347.07699374188996)</f>
        <v>347.0769937</v>
      </c>
      <c r="J192" s="1">
        <v>4.5</v>
      </c>
      <c r="K192" s="1">
        <v>4003.0</v>
      </c>
      <c r="L192" s="1" t="s">
        <v>786</v>
      </c>
      <c r="M192" s="7" t="s">
        <v>787</v>
      </c>
    </row>
    <row r="193">
      <c r="A193" s="1" t="s">
        <v>788</v>
      </c>
      <c r="B193" s="1" t="s">
        <v>789</v>
      </c>
      <c r="C193" s="1" t="s">
        <v>22</v>
      </c>
      <c r="D193" s="1" t="str">
        <f t="shared" si="1"/>
        <v>Computers&amp;Accessories</v>
      </c>
      <c r="E193" s="1" t="str">
        <f t="shared" si="2"/>
        <v>Accessories&amp;Peripherals</v>
      </c>
      <c r="F193" s="1">
        <v>709.0</v>
      </c>
      <c r="G193" s="5">
        <v>1999.0</v>
      </c>
      <c r="H193" s="6">
        <f t="shared" si="3"/>
        <v>0.6453226613</v>
      </c>
      <c r="I193" s="3">
        <f>IFERROR(__xludf.DUMMYFUNCTION("GOOGLEFINANCE(""CURRENCY:INRBRL"")*F193"),43.17908204299)</f>
        <v>43.17908204</v>
      </c>
      <c r="J193" s="1">
        <v>4.49</v>
      </c>
      <c r="K193" s="1">
        <v>178817.0</v>
      </c>
      <c r="L193" s="1" t="s">
        <v>790</v>
      </c>
      <c r="M193" s="7" t="s">
        <v>791</v>
      </c>
    </row>
    <row r="194">
      <c r="A194" s="1" t="s">
        <v>792</v>
      </c>
      <c r="B194" s="1" t="s">
        <v>793</v>
      </c>
      <c r="C194" s="1" t="s">
        <v>88</v>
      </c>
      <c r="D194" s="1" t="str">
        <f t="shared" si="1"/>
        <v>Electronics</v>
      </c>
      <c r="E194" s="1" t="str">
        <f t="shared" si="2"/>
        <v>HomeTheater,TV&amp;Video</v>
      </c>
      <c r="F194" s="5">
        <v>47990.0</v>
      </c>
      <c r="G194" s="5">
        <v>70900.0</v>
      </c>
      <c r="H194" s="6">
        <f t="shared" si="3"/>
        <v>0.3231311707</v>
      </c>
      <c r="I194" s="3">
        <f>IFERROR(__xludf.DUMMYFUNCTION("GOOGLEFINANCE(""CURRENCY:INRBRL"")*F194"),2922.6574714289)</f>
        <v>2922.657471</v>
      </c>
      <c r="J194" s="1">
        <v>4.5</v>
      </c>
      <c r="K194" s="1">
        <v>7109.0</v>
      </c>
      <c r="L194" s="1" t="s">
        <v>271</v>
      </c>
      <c r="M194" s="7" t="s">
        <v>794</v>
      </c>
    </row>
    <row r="195">
      <c r="A195" s="1" t="s">
        <v>795</v>
      </c>
      <c r="B195" s="1" t="s">
        <v>796</v>
      </c>
      <c r="C195" s="1" t="s">
        <v>217</v>
      </c>
      <c r="D195" s="1" t="str">
        <f t="shared" si="1"/>
        <v>Electronics</v>
      </c>
      <c r="E195" s="1" t="str">
        <f t="shared" si="2"/>
        <v>HomeTheater,TV&amp;Video</v>
      </c>
      <c r="F195" s="1">
        <v>299.0</v>
      </c>
      <c r="G195" s="5">
        <v>1199.0</v>
      </c>
      <c r="H195" s="6">
        <f t="shared" si="3"/>
        <v>0.7506255213</v>
      </c>
      <c r="I195" s="3">
        <f>IFERROR(__xludf.DUMMYFUNCTION("GOOGLEFINANCE(""CURRENCY:INRBRL"")*F195"),18.209514147889998)</f>
        <v>18.20951415</v>
      </c>
      <c r="J195" s="1">
        <v>4.51</v>
      </c>
      <c r="K195" s="1">
        <v>490.0</v>
      </c>
      <c r="L195" s="1" t="s">
        <v>797</v>
      </c>
      <c r="M195" s="7" t="s">
        <v>798</v>
      </c>
    </row>
    <row r="196">
      <c r="A196" s="1" t="s">
        <v>799</v>
      </c>
      <c r="B196" s="1" t="s">
        <v>800</v>
      </c>
      <c r="C196" s="1" t="s">
        <v>22</v>
      </c>
      <c r="D196" s="1" t="str">
        <f t="shared" si="1"/>
        <v>Computers&amp;Accessories</v>
      </c>
      <c r="E196" s="1" t="str">
        <f t="shared" si="2"/>
        <v>Accessories&amp;Peripherals</v>
      </c>
      <c r="F196" s="1">
        <v>320.0</v>
      </c>
      <c r="G196" s="1">
        <v>599.0</v>
      </c>
      <c r="H196" s="6">
        <f t="shared" si="3"/>
        <v>0.4657762938</v>
      </c>
      <c r="I196" s="3">
        <f>IFERROR(__xludf.DUMMYFUNCTION("GOOGLEFINANCE(""CURRENCY:INRBRL"")*F196"),19.4884432352)</f>
        <v>19.48844324</v>
      </c>
      <c r="J196" s="1">
        <v>4.49</v>
      </c>
      <c r="K196" s="1">
        <v>491.0</v>
      </c>
      <c r="L196" s="1" t="s">
        <v>801</v>
      </c>
      <c r="M196" s="7" t="s">
        <v>802</v>
      </c>
    </row>
    <row r="197">
      <c r="A197" s="1" t="s">
        <v>803</v>
      </c>
      <c r="B197" s="1" t="s">
        <v>804</v>
      </c>
      <c r="C197" s="1" t="s">
        <v>22</v>
      </c>
      <c r="D197" s="1" t="str">
        <f t="shared" si="1"/>
        <v>Computers&amp;Accessories</v>
      </c>
      <c r="E197" s="1" t="str">
        <f t="shared" si="2"/>
        <v>Accessories&amp;Peripherals</v>
      </c>
      <c r="F197" s="1">
        <v>139.0</v>
      </c>
      <c r="G197" s="1">
        <v>549.0</v>
      </c>
      <c r="H197" s="6">
        <f t="shared" si="3"/>
        <v>0.7468123862</v>
      </c>
      <c r="I197" s="3">
        <f>IFERROR(__xludf.DUMMYFUNCTION("GOOGLEFINANCE(""CURRENCY:INRBRL"")*F197"),8.46529253029)</f>
        <v>8.46529253</v>
      </c>
      <c r="J197" s="1">
        <v>4.52</v>
      </c>
      <c r="K197" s="1">
        <v>61.0</v>
      </c>
      <c r="L197" s="1" t="s">
        <v>805</v>
      </c>
      <c r="M197" s="7" t="s">
        <v>806</v>
      </c>
    </row>
    <row r="198">
      <c r="A198" s="1" t="s">
        <v>807</v>
      </c>
      <c r="B198" s="1" t="s">
        <v>808</v>
      </c>
      <c r="C198" s="1" t="s">
        <v>22</v>
      </c>
      <c r="D198" s="1" t="str">
        <f t="shared" si="1"/>
        <v>Computers&amp;Accessories</v>
      </c>
      <c r="E198" s="1" t="str">
        <f t="shared" si="2"/>
        <v>Accessories&amp;Peripherals</v>
      </c>
      <c r="F198" s="1">
        <v>129.0</v>
      </c>
      <c r="G198" s="1">
        <v>249.0</v>
      </c>
      <c r="H198" s="6">
        <f t="shared" si="3"/>
        <v>0.4819277108</v>
      </c>
      <c r="I198" s="3">
        <f>IFERROR(__xludf.DUMMYFUNCTION("GOOGLEFINANCE(""CURRENCY:INRBRL"")*F198"),7.85627867919)</f>
        <v>7.856278679</v>
      </c>
      <c r="J198" s="1">
        <v>4.0</v>
      </c>
      <c r="K198" s="1">
        <v>9378.0</v>
      </c>
      <c r="L198" s="1" t="s">
        <v>809</v>
      </c>
      <c r="M198" s="7" t="s">
        <v>810</v>
      </c>
    </row>
    <row r="199">
      <c r="A199" s="1" t="s">
        <v>811</v>
      </c>
      <c r="B199" s="1" t="s">
        <v>812</v>
      </c>
      <c r="C199" s="1" t="s">
        <v>88</v>
      </c>
      <c r="D199" s="1" t="str">
        <f t="shared" si="1"/>
        <v>Electronics</v>
      </c>
      <c r="E199" s="1" t="str">
        <f t="shared" si="2"/>
        <v>HomeTheater,TV&amp;Video</v>
      </c>
      <c r="F199" s="5">
        <v>24999.0</v>
      </c>
      <c r="G199" s="5">
        <v>35999.0</v>
      </c>
      <c r="H199" s="6">
        <f t="shared" si="3"/>
        <v>0.3055640434</v>
      </c>
      <c r="I199" s="3">
        <f>IFERROR(__xludf.DUMMYFUNCTION("GOOGLEFINANCE(""CURRENCY:INRBRL"")*F199"),1522.47372636489)</f>
        <v>1522.473726</v>
      </c>
      <c r="J199" s="1">
        <v>4.5</v>
      </c>
      <c r="K199" s="1">
        <v>3284.0</v>
      </c>
      <c r="L199" s="1" t="s">
        <v>437</v>
      </c>
      <c r="M199" s="7" t="s">
        <v>813</v>
      </c>
    </row>
    <row r="200">
      <c r="A200" s="1" t="s">
        <v>814</v>
      </c>
      <c r="B200" s="1" t="s">
        <v>815</v>
      </c>
      <c r="C200" s="1" t="s">
        <v>22</v>
      </c>
      <c r="D200" s="1" t="str">
        <f t="shared" si="1"/>
        <v>Computers&amp;Accessories</v>
      </c>
      <c r="E200" s="1" t="str">
        <f t="shared" si="2"/>
        <v>Accessories&amp;Peripherals</v>
      </c>
      <c r="F200" s="1">
        <v>999.0</v>
      </c>
      <c r="G200" s="5">
        <v>1699.0</v>
      </c>
      <c r="H200" s="6">
        <f t="shared" si="3"/>
        <v>0.412007063</v>
      </c>
      <c r="I200" s="3">
        <f>IFERROR(__xludf.DUMMYFUNCTION("GOOGLEFINANCE(""CURRENCY:INRBRL"")*F200"),60.84048372489)</f>
        <v>60.84048372</v>
      </c>
      <c r="J200" s="1">
        <v>4.5</v>
      </c>
      <c r="K200" s="1">
        <v>7318.0</v>
      </c>
      <c r="L200" s="1" t="s">
        <v>816</v>
      </c>
      <c r="M200" s="7" t="s">
        <v>817</v>
      </c>
    </row>
    <row r="201">
      <c r="A201" s="1" t="s">
        <v>818</v>
      </c>
      <c r="B201" s="1" t="s">
        <v>819</v>
      </c>
      <c r="C201" s="1" t="s">
        <v>22</v>
      </c>
      <c r="D201" s="1" t="str">
        <f t="shared" si="1"/>
        <v>Computers&amp;Accessories</v>
      </c>
      <c r="E201" s="1" t="str">
        <f t="shared" si="2"/>
        <v>Accessories&amp;Peripherals</v>
      </c>
      <c r="F201" s="1">
        <v>225.0</v>
      </c>
      <c r="G201" s="1">
        <v>499.0</v>
      </c>
      <c r="H201" s="6">
        <f t="shared" si="3"/>
        <v>0.5490981964</v>
      </c>
      <c r="I201" s="3">
        <f>IFERROR(__xludf.DUMMYFUNCTION("GOOGLEFINANCE(""CURRENCY:INRBRL"")*F201"),13.70281164975)</f>
        <v>13.70281165</v>
      </c>
      <c r="J201" s="1">
        <v>4.49</v>
      </c>
      <c r="K201" s="1">
        <v>789.0</v>
      </c>
      <c r="L201" s="1" t="s">
        <v>820</v>
      </c>
      <c r="M201" s="7" t="s">
        <v>821</v>
      </c>
    </row>
    <row r="202">
      <c r="A202" s="1" t="s">
        <v>822</v>
      </c>
      <c r="B202" s="1" t="s">
        <v>823</v>
      </c>
      <c r="C202" s="1" t="s">
        <v>217</v>
      </c>
      <c r="D202" s="1" t="str">
        <f t="shared" si="1"/>
        <v>Electronics</v>
      </c>
      <c r="E202" s="1" t="str">
        <f t="shared" si="2"/>
        <v>HomeTheater,TV&amp;Video</v>
      </c>
      <c r="F202" s="1">
        <v>547.0</v>
      </c>
      <c r="G202" s="5">
        <v>2999.0</v>
      </c>
      <c r="H202" s="6">
        <f t="shared" si="3"/>
        <v>0.8176058686</v>
      </c>
      <c r="I202" s="3">
        <f>IFERROR(__xludf.DUMMYFUNCTION("GOOGLEFINANCE(""CURRENCY:INRBRL"")*F202"),33.31305765517)</f>
        <v>33.31305766</v>
      </c>
      <c r="J202" s="1">
        <v>4.5</v>
      </c>
      <c r="K202" s="1">
        <v>407.0</v>
      </c>
      <c r="L202" s="1" t="s">
        <v>824</v>
      </c>
      <c r="M202" s="7" t="s">
        <v>825</v>
      </c>
    </row>
    <row r="203">
      <c r="A203" s="1" t="s">
        <v>826</v>
      </c>
      <c r="B203" s="1" t="s">
        <v>827</v>
      </c>
      <c r="C203" s="1" t="s">
        <v>22</v>
      </c>
      <c r="D203" s="1" t="str">
        <f t="shared" si="1"/>
        <v>Computers&amp;Accessories</v>
      </c>
      <c r="E203" s="1" t="str">
        <f t="shared" si="2"/>
        <v>Accessories&amp;Peripherals</v>
      </c>
      <c r="F203" s="1">
        <v>259.0</v>
      </c>
      <c r="G203" s="1">
        <v>699.0</v>
      </c>
      <c r="H203" s="6">
        <f t="shared" si="3"/>
        <v>0.6294706724</v>
      </c>
      <c r="I203" s="3">
        <f>IFERROR(__xludf.DUMMYFUNCTION("GOOGLEFINANCE(""CURRENCY:INRBRL"")*F203"),15.77345874349)</f>
        <v>15.77345874</v>
      </c>
      <c r="J203" s="1">
        <v>4.51</v>
      </c>
      <c r="K203" s="1">
        <v>2399.0</v>
      </c>
      <c r="L203" s="1" t="s">
        <v>828</v>
      </c>
      <c r="M203" s="7" t="s">
        <v>829</v>
      </c>
    </row>
    <row r="204">
      <c r="A204" s="1" t="s">
        <v>830</v>
      </c>
      <c r="B204" s="1" t="s">
        <v>831</v>
      </c>
      <c r="C204" s="1" t="s">
        <v>217</v>
      </c>
      <c r="D204" s="1" t="str">
        <f t="shared" si="1"/>
        <v>Electronics</v>
      </c>
      <c r="E204" s="1" t="str">
        <f t="shared" si="2"/>
        <v>HomeTheater,TV&amp;Video</v>
      </c>
      <c r="F204" s="1">
        <v>239.0</v>
      </c>
      <c r="G204" s="1">
        <v>699.0</v>
      </c>
      <c r="H204" s="6">
        <f t="shared" si="3"/>
        <v>0.6580829757</v>
      </c>
      <c r="I204" s="3">
        <f>IFERROR(__xludf.DUMMYFUNCTION("GOOGLEFINANCE(""CURRENCY:INRBRL"")*F204"),14.55543104129)</f>
        <v>14.55543104</v>
      </c>
      <c r="J204" s="1">
        <v>4.5</v>
      </c>
      <c r="K204" s="1">
        <v>264.0</v>
      </c>
      <c r="L204" s="1" t="s">
        <v>832</v>
      </c>
      <c r="M204" s="7" t="s">
        <v>833</v>
      </c>
    </row>
    <row r="205">
      <c r="A205" s="1" t="s">
        <v>834</v>
      </c>
      <c r="B205" s="1" t="s">
        <v>835</v>
      </c>
      <c r="C205" s="1" t="s">
        <v>217</v>
      </c>
      <c r="D205" s="1" t="str">
        <f t="shared" si="1"/>
        <v>Electronics</v>
      </c>
      <c r="E205" s="1" t="str">
        <f t="shared" si="2"/>
        <v>HomeTheater,TV&amp;Video</v>
      </c>
      <c r="F205" s="1">
        <v>349.0</v>
      </c>
      <c r="G205" s="1">
        <v>999.0</v>
      </c>
      <c r="H205" s="6">
        <f t="shared" si="3"/>
        <v>0.6506506507</v>
      </c>
      <c r="I205" s="3">
        <f>IFERROR(__xludf.DUMMYFUNCTION("GOOGLEFINANCE(""CURRENCY:INRBRL"")*F205"),21.25458340339)</f>
        <v>21.2545834</v>
      </c>
      <c r="J205" s="1">
        <v>4.0</v>
      </c>
      <c r="K205" s="1">
        <v>839.0</v>
      </c>
      <c r="L205" s="1" t="s">
        <v>836</v>
      </c>
      <c r="M205" s="7" t="s">
        <v>837</v>
      </c>
    </row>
    <row r="206">
      <c r="A206" s="1" t="s">
        <v>838</v>
      </c>
      <c r="B206" s="1" t="s">
        <v>839</v>
      </c>
      <c r="C206" s="1" t="s">
        <v>72</v>
      </c>
      <c r="D206" s="1" t="str">
        <f t="shared" si="1"/>
        <v>Electronics</v>
      </c>
      <c r="E206" s="1" t="str">
        <f t="shared" si="2"/>
        <v>HomeTheater,TV&amp;Video</v>
      </c>
      <c r="F206" s="1">
        <v>467.0</v>
      </c>
      <c r="G206" s="1">
        <v>599.0</v>
      </c>
      <c r="H206" s="6">
        <f t="shared" si="3"/>
        <v>0.2203672788</v>
      </c>
      <c r="I206" s="3">
        <f>IFERROR(__xludf.DUMMYFUNCTION("GOOGLEFINANCE(""CURRENCY:INRBRL"")*F206"),28.44094684637)</f>
        <v>28.44094685</v>
      </c>
      <c r="J206" s="1">
        <v>4.5</v>
      </c>
      <c r="K206" s="1">
        <v>44054.0</v>
      </c>
      <c r="L206" s="1" t="s">
        <v>840</v>
      </c>
      <c r="M206" s="7" t="s">
        <v>841</v>
      </c>
    </row>
    <row r="207">
      <c r="A207" s="1" t="s">
        <v>842</v>
      </c>
      <c r="B207" s="1" t="s">
        <v>843</v>
      </c>
      <c r="C207" s="1" t="s">
        <v>22</v>
      </c>
      <c r="D207" s="1" t="str">
        <f t="shared" si="1"/>
        <v>Computers&amp;Accessories</v>
      </c>
      <c r="E207" s="1" t="str">
        <f t="shared" si="2"/>
        <v>Accessories&amp;Peripherals</v>
      </c>
      <c r="F207" s="1">
        <v>449.0</v>
      </c>
      <c r="G207" s="1">
        <v>599.0</v>
      </c>
      <c r="H207" s="6">
        <f t="shared" si="3"/>
        <v>0.2504173623</v>
      </c>
      <c r="I207" s="3">
        <f>IFERROR(__xludf.DUMMYFUNCTION("GOOGLEFINANCE(""CURRENCY:INRBRL"")*F207"),27.34472191439)</f>
        <v>27.34472191</v>
      </c>
      <c r="J207" s="1">
        <v>4.0</v>
      </c>
      <c r="K207" s="1">
        <v>3231.0</v>
      </c>
      <c r="L207" s="1" t="s">
        <v>844</v>
      </c>
      <c r="M207" s="7" t="s">
        <v>845</v>
      </c>
    </row>
    <row r="208">
      <c r="A208" s="1" t="s">
        <v>846</v>
      </c>
      <c r="B208" s="1" t="s">
        <v>847</v>
      </c>
      <c r="C208" s="1" t="s">
        <v>88</v>
      </c>
      <c r="D208" s="1" t="str">
        <f t="shared" si="1"/>
        <v>Electronics</v>
      </c>
      <c r="E208" s="1" t="str">
        <f t="shared" si="2"/>
        <v>HomeTheater,TV&amp;Video</v>
      </c>
      <c r="F208" s="5">
        <v>11990.0</v>
      </c>
      <c r="G208" s="5">
        <v>31990.0</v>
      </c>
      <c r="H208" s="6">
        <f t="shared" si="3"/>
        <v>0.6251953736</v>
      </c>
      <c r="I208" s="3">
        <f>IFERROR(__xludf.DUMMYFUNCTION("GOOGLEFINANCE(""CURRENCY:INRBRL"")*F208"),730.2076074688999)</f>
        <v>730.2076075</v>
      </c>
      <c r="J208" s="1">
        <v>4.5</v>
      </c>
      <c r="K208" s="1">
        <v>64.0</v>
      </c>
      <c r="L208" s="1" t="s">
        <v>336</v>
      </c>
      <c r="M208" s="7" t="s">
        <v>848</v>
      </c>
    </row>
    <row r="209">
      <c r="A209" s="1" t="s">
        <v>849</v>
      </c>
      <c r="B209" s="1" t="s">
        <v>850</v>
      </c>
      <c r="C209" s="1" t="s">
        <v>22</v>
      </c>
      <c r="D209" s="1" t="str">
        <f t="shared" si="1"/>
        <v>Computers&amp;Accessories</v>
      </c>
      <c r="E209" s="1" t="str">
        <f t="shared" si="2"/>
        <v>Accessories&amp;Peripherals</v>
      </c>
      <c r="F209" s="1">
        <v>350.0</v>
      </c>
      <c r="G209" s="1">
        <v>599.0</v>
      </c>
      <c r="H209" s="6">
        <f t="shared" si="3"/>
        <v>0.4156928214</v>
      </c>
      <c r="I209" s="3">
        <f>IFERROR(__xludf.DUMMYFUNCTION("GOOGLEFINANCE(""CURRENCY:INRBRL"")*F209"),21.315484788499997)</f>
        <v>21.31548479</v>
      </c>
      <c r="J209" s="1">
        <v>4.52</v>
      </c>
      <c r="K209" s="1">
        <v>8314.0</v>
      </c>
      <c r="L209" s="1" t="s">
        <v>851</v>
      </c>
      <c r="M209" s="7" t="s">
        <v>852</v>
      </c>
    </row>
    <row r="210">
      <c r="A210" s="1" t="s">
        <v>853</v>
      </c>
      <c r="B210" s="1" t="s">
        <v>854</v>
      </c>
      <c r="C210" s="1" t="s">
        <v>22</v>
      </c>
      <c r="D210" s="1" t="str">
        <f t="shared" si="1"/>
        <v>Computers&amp;Accessories</v>
      </c>
      <c r="E210" s="1" t="str">
        <f t="shared" si="2"/>
        <v>Accessories&amp;Peripherals</v>
      </c>
      <c r="F210" s="1">
        <v>252.0</v>
      </c>
      <c r="G210" s="1">
        <v>999.0</v>
      </c>
      <c r="H210" s="6">
        <f t="shared" si="3"/>
        <v>0.7477477477</v>
      </c>
      <c r="I210" s="3">
        <f>IFERROR(__xludf.DUMMYFUNCTION("GOOGLEFINANCE(""CURRENCY:INRBRL"")*F210"),15.347149047719999)</f>
        <v>15.34714905</v>
      </c>
      <c r="J210" s="1">
        <v>4.51</v>
      </c>
      <c r="K210" s="1">
        <v>2249.0</v>
      </c>
      <c r="L210" s="1" t="s">
        <v>855</v>
      </c>
      <c r="M210" s="7" t="s">
        <v>856</v>
      </c>
    </row>
    <row r="211">
      <c r="A211" s="1" t="s">
        <v>857</v>
      </c>
      <c r="B211" s="1" t="s">
        <v>858</v>
      </c>
      <c r="C211" s="1" t="s">
        <v>217</v>
      </c>
      <c r="D211" s="1" t="str">
        <f t="shared" si="1"/>
        <v>Electronics</v>
      </c>
      <c r="E211" s="1" t="str">
        <f t="shared" si="2"/>
        <v>HomeTheater,TV&amp;Video</v>
      </c>
      <c r="F211" s="1">
        <v>204.0</v>
      </c>
      <c r="G211" s="1">
        <v>599.0</v>
      </c>
      <c r="H211" s="6">
        <f t="shared" si="3"/>
        <v>0.6594323873</v>
      </c>
      <c r="I211" s="3">
        <f>IFERROR(__xludf.DUMMYFUNCTION("GOOGLEFINANCE(""CURRENCY:INRBRL"")*F211"),12.42388256244)</f>
        <v>12.42388256</v>
      </c>
      <c r="J211" s="1">
        <v>4.51</v>
      </c>
      <c r="K211" s="1">
        <v>339.0</v>
      </c>
      <c r="L211" s="1" t="s">
        <v>859</v>
      </c>
      <c r="M211" s="7" t="s">
        <v>860</v>
      </c>
    </row>
    <row r="212">
      <c r="A212" s="1" t="s">
        <v>861</v>
      </c>
      <c r="B212" s="1" t="s">
        <v>862</v>
      </c>
      <c r="C212" s="1" t="s">
        <v>654</v>
      </c>
      <c r="D212" s="1" t="str">
        <f t="shared" si="1"/>
        <v>Electronics</v>
      </c>
      <c r="E212" s="1" t="str">
        <f t="shared" si="2"/>
        <v>HomeTheater,TV&amp;Video</v>
      </c>
      <c r="F212" s="5">
        <v>6490.0</v>
      </c>
      <c r="G212" s="5">
        <v>9990.0</v>
      </c>
      <c r="H212" s="6">
        <f t="shared" si="3"/>
        <v>0.3503503504</v>
      </c>
      <c r="I212" s="3">
        <f>IFERROR(__xludf.DUMMYFUNCTION("GOOGLEFINANCE(""CURRENCY:INRBRL"")*F212"),395.2499893639)</f>
        <v>395.2499894</v>
      </c>
      <c r="J212" s="1">
        <v>4.0</v>
      </c>
      <c r="K212" s="1">
        <v>27.0</v>
      </c>
      <c r="L212" s="1" t="s">
        <v>863</v>
      </c>
      <c r="M212" s="7" t="s">
        <v>864</v>
      </c>
    </row>
    <row r="213">
      <c r="A213" s="1" t="s">
        <v>865</v>
      </c>
      <c r="B213" s="1" t="s">
        <v>866</v>
      </c>
      <c r="C213" s="1" t="s">
        <v>217</v>
      </c>
      <c r="D213" s="1" t="str">
        <f t="shared" si="1"/>
        <v>Electronics</v>
      </c>
      <c r="E213" s="1" t="str">
        <f t="shared" si="2"/>
        <v>HomeTheater,TV&amp;Video</v>
      </c>
      <c r="F213" s="1">
        <v>235.0</v>
      </c>
      <c r="G213" s="1">
        <v>599.0</v>
      </c>
      <c r="H213" s="6">
        <f t="shared" si="3"/>
        <v>0.6076794658</v>
      </c>
      <c r="I213" s="3">
        <f>IFERROR(__xludf.DUMMYFUNCTION("GOOGLEFINANCE(""CURRENCY:INRBRL"")*F213"),14.311825500849999)</f>
        <v>14.3118255</v>
      </c>
      <c r="J213" s="1">
        <v>4.5</v>
      </c>
      <c r="K213" s="1">
        <v>197.0</v>
      </c>
      <c r="L213" s="1" t="s">
        <v>867</v>
      </c>
      <c r="M213" s="7" t="s">
        <v>868</v>
      </c>
    </row>
    <row r="214">
      <c r="A214" s="1" t="s">
        <v>869</v>
      </c>
      <c r="B214" s="1" t="s">
        <v>870</v>
      </c>
      <c r="C214" s="1" t="s">
        <v>22</v>
      </c>
      <c r="D214" s="1" t="str">
        <f t="shared" si="1"/>
        <v>Computers&amp;Accessories</v>
      </c>
      <c r="E214" s="1" t="str">
        <f t="shared" si="2"/>
        <v>Accessories&amp;Peripherals</v>
      </c>
      <c r="F214" s="1">
        <v>299.0</v>
      </c>
      <c r="G214" s="1">
        <v>800.0</v>
      </c>
      <c r="H214" s="6">
        <f t="shared" si="3"/>
        <v>0.62625</v>
      </c>
      <c r="I214" s="3">
        <f>IFERROR(__xludf.DUMMYFUNCTION("GOOGLEFINANCE(""CURRENCY:INRBRL"")*F214"),18.209514147889998)</f>
        <v>18.20951415</v>
      </c>
      <c r="J214" s="1">
        <v>4.51</v>
      </c>
      <c r="K214" s="1">
        <v>74977.0</v>
      </c>
      <c r="L214" s="1" t="s">
        <v>871</v>
      </c>
      <c r="M214" s="7" t="s">
        <v>872</v>
      </c>
    </row>
    <row r="215">
      <c r="A215" s="1" t="s">
        <v>873</v>
      </c>
      <c r="B215" s="1" t="s">
        <v>874</v>
      </c>
      <c r="C215" s="1" t="s">
        <v>22</v>
      </c>
      <c r="D215" s="1" t="str">
        <f t="shared" si="1"/>
        <v>Computers&amp;Accessories</v>
      </c>
      <c r="E215" s="1" t="str">
        <f t="shared" si="2"/>
        <v>Accessories&amp;Peripherals</v>
      </c>
      <c r="F215" s="1">
        <v>799.0</v>
      </c>
      <c r="G215" s="5">
        <v>1999.0</v>
      </c>
      <c r="H215" s="6">
        <f t="shared" si="3"/>
        <v>0.6003001501</v>
      </c>
      <c r="I215" s="3">
        <f>IFERROR(__xludf.DUMMYFUNCTION("GOOGLEFINANCE(""CURRENCY:INRBRL"")*F215"),48.66020670289)</f>
        <v>48.6602067</v>
      </c>
      <c r="J215" s="1">
        <v>4.5</v>
      </c>
      <c r="K215" s="1">
        <v>8583.0</v>
      </c>
      <c r="L215" s="1" t="s">
        <v>875</v>
      </c>
      <c r="M215" s="7" t="s">
        <v>876</v>
      </c>
    </row>
    <row r="216">
      <c r="A216" s="1" t="s">
        <v>877</v>
      </c>
      <c r="B216" s="1" t="s">
        <v>878</v>
      </c>
      <c r="C216" s="1" t="s">
        <v>217</v>
      </c>
      <c r="D216" s="1" t="str">
        <f t="shared" si="1"/>
        <v>Electronics</v>
      </c>
      <c r="E216" s="1" t="str">
        <f t="shared" si="2"/>
        <v>HomeTheater,TV&amp;Video</v>
      </c>
      <c r="F216" s="1">
        <v>299.0</v>
      </c>
      <c r="G216" s="1">
        <v>999.0</v>
      </c>
      <c r="H216" s="6">
        <f t="shared" si="3"/>
        <v>0.7007007007</v>
      </c>
      <c r="I216" s="3">
        <f>IFERROR(__xludf.DUMMYFUNCTION("GOOGLEFINANCE(""CURRENCY:INRBRL"")*F216"),18.209514147889998)</f>
        <v>18.20951415</v>
      </c>
      <c r="J216" s="1">
        <v>4.51</v>
      </c>
      <c r="K216" s="1">
        <v>928.0</v>
      </c>
      <c r="L216" s="1" t="s">
        <v>879</v>
      </c>
      <c r="M216" s="7" t="s">
        <v>880</v>
      </c>
    </row>
    <row r="217">
      <c r="A217" s="1" t="s">
        <v>881</v>
      </c>
      <c r="B217" s="1" t="s">
        <v>882</v>
      </c>
      <c r="C217" s="1" t="s">
        <v>238</v>
      </c>
      <c r="D217" s="1" t="str">
        <f t="shared" si="1"/>
        <v>Electronics</v>
      </c>
      <c r="E217" s="1" t="str">
        <f t="shared" si="2"/>
        <v>HomeTheater,TV&amp;Video</v>
      </c>
      <c r="F217" s="5">
        <v>6999.0</v>
      </c>
      <c r="G217" s="5">
        <v>16990.0</v>
      </c>
      <c r="H217" s="6">
        <f t="shared" si="3"/>
        <v>0.5880517952</v>
      </c>
      <c r="I217" s="3">
        <f>IFERROR(__xludf.DUMMYFUNCTION("GOOGLEFINANCE(""CURRENCY:INRBRL"")*F217"),426.24879438489)</f>
        <v>426.2487944</v>
      </c>
      <c r="J217" s="1">
        <v>4.51</v>
      </c>
      <c r="K217" s="1">
        <v>110.0</v>
      </c>
      <c r="L217" s="1" t="s">
        <v>883</v>
      </c>
      <c r="M217" s="7" t="s">
        <v>884</v>
      </c>
    </row>
    <row r="218">
      <c r="A218" s="1" t="s">
        <v>885</v>
      </c>
      <c r="B218" s="1" t="s">
        <v>886</v>
      </c>
      <c r="C218" s="1" t="s">
        <v>88</v>
      </c>
      <c r="D218" s="1" t="str">
        <f t="shared" si="1"/>
        <v>Electronics</v>
      </c>
      <c r="E218" s="1" t="str">
        <f t="shared" si="2"/>
        <v>HomeTheater,TV&amp;Video</v>
      </c>
      <c r="F218" s="5">
        <v>42999.0</v>
      </c>
      <c r="G218" s="5">
        <v>59999.0</v>
      </c>
      <c r="H218" s="6">
        <f t="shared" si="3"/>
        <v>0.2833380556</v>
      </c>
      <c r="I218" s="3">
        <f>IFERROR(__xludf.DUMMYFUNCTION("GOOGLEFINANCE(""CURRENCY:INRBRL"")*F218"),2618.6986583448897)</f>
        <v>2618.698658</v>
      </c>
      <c r="J218" s="1">
        <v>4.49</v>
      </c>
      <c r="K218" s="1">
        <v>6753.0</v>
      </c>
      <c r="L218" s="1" t="s">
        <v>887</v>
      </c>
      <c r="M218" s="7" t="s">
        <v>888</v>
      </c>
    </row>
    <row r="219">
      <c r="A219" s="1" t="s">
        <v>889</v>
      </c>
      <c r="B219" s="1" t="s">
        <v>890</v>
      </c>
      <c r="C219" s="1" t="s">
        <v>72</v>
      </c>
      <c r="D219" s="1" t="str">
        <f t="shared" si="1"/>
        <v>Electronics</v>
      </c>
      <c r="E219" s="1" t="str">
        <f t="shared" si="2"/>
        <v>HomeTheater,TV&amp;Video</v>
      </c>
      <c r="F219" s="1">
        <v>173.0</v>
      </c>
      <c r="G219" s="1">
        <v>999.0</v>
      </c>
      <c r="H219" s="6">
        <f t="shared" si="3"/>
        <v>0.8268268268</v>
      </c>
      <c r="I219" s="3">
        <f>IFERROR(__xludf.DUMMYFUNCTION("GOOGLEFINANCE(""CURRENCY:INRBRL"")*F219"),10.53593962403)</f>
        <v>10.53593962</v>
      </c>
      <c r="J219" s="1">
        <v>4.5</v>
      </c>
      <c r="K219" s="1">
        <v>1237.0</v>
      </c>
      <c r="L219" s="1" t="s">
        <v>891</v>
      </c>
      <c r="M219" s="7" t="s">
        <v>892</v>
      </c>
    </row>
    <row r="220">
      <c r="A220" s="1" t="s">
        <v>893</v>
      </c>
      <c r="B220" s="1" t="s">
        <v>894</v>
      </c>
      <c r="C220" s="1" t="s">
        <v>895</v>
      </c>
      <c r="D220" s="1" t="str">
        <f t="shared" si="1"/>
        <v>Electronics</v>
      </c>
      <c r="E220" s="1" t="str">
        <f t="shared" si="2"/>
        <v>HomeAudio</v>
      </c>
      <c r="F220" s="1">
        <v>209.0</v>
      </c>
      <c r="G220" s="1">
        <v>600.0</v>
      </c>
      <c r="H220" s="6">
        <f t="shared" si="3"/>
        <v>0.6516666667</v>
      </c>
      <c r="I220" s="3">
        <f>IFERROR(__xludf.DUMMYFUNCTION("GOOGLEFINANCE(""CURRENCY:INRBRL"")*F220"),12.72838948799)</f>
        <v>12.72838949</v>
      </c>
      <c r="J220" s="1">
        <v>4.5</v>
      </c>
      <c r="K220" s="1">
        <v>18872.0</v>
      </c>
      <c r="L220" s="1" t="s">
        <v>896</v>
      </c>
      <c r="M220" s="7" t="s">
        <v>897</v>
      </c>
    </row>
    <row r="221">
      <c r="A221" s="1" t="s">
        <v>898</v>
      </c>
      <c r="B221" s="1" t="s">
        <v>899</v>
      </c>
      <c r="C221" s="1" t="s">
        <v>22</v>
      </c>
      <c r="D221" s="1" t="str">
        <f t="shared" si="1"/>
        <v>Computers&amp;Accessories</v>
      </c>
      <c r="E221" s="1" t="str">
        <f t="shared" si="2"/>
        <v>Accessories&amp;Peripherals</v>
      </c>
      <c r="F221" s="1">
        <v>848.99</v>
      </c>
      <c r="G221" s="5">
        <v>1490.0</v>
      </c>
      <c r="H221" s="6">
        <f t="shared" si="3"/>
        <v>0.4302080537</v>
      </c>
      <c r="I221" s="3">
        <f>IFERROR(__xludf.DUMMYFUNCTION("GOOGLEFINANCE(""CURRENCY:INRBRL"")*F221"),51.7046669445389)</f>
        <v>51.70466694</v>
      </c>
      <c r="J221" s="1">
        <v>4.52</v>
      </c>
      <c r="K221" s="1">
        <v>356.0</v>
      </c>
      <c r="L221" s="1" t="s">
        <v>900</v>
      </c>
      <c r="M221" s="7" t="s">
        <v>901</v>
      </c>
    </row>
    <row r="222">
      <c r="A222" s="1" t="s">
        <v>902</v>
      </c>
      <c r="B222" s="1" t="s">
        <v>903</v>
      </c>
      <c r="C222" s="1" t="s">
        <v>22</v>
      </c>
      <c r="D222" s="1" t="str">
        <f t="shared" si="1"/>
        <v>Computers&amp;Accessories</v>
      </c>
      <c r="E222" s="1" t="str">
        <f t="shared" si="2"/>
        <v>Accessories&amp;Peripherals</v>
      </c>
      <c r="F222" s="1">
        <v>649.0</v>
      </c>
      <c r="G222" s="5">
        <v>1999.0</v>
      </c>
      <c r="H222" s="6">
        <f t="shared" si="3"/>
        <v>0.6753376688</v>
      </c>
      <c r="I222" s="3">
        <f>IFERROR(__xludf.DUMMYFUNCTION("GOOGLEFINANCE(""CURRENCY:INRBRL"")*F222"),39.52499893639)</f>
        <v>39.52499894</v>
      </c>
      <c r="J222" s="1">
        <v>4.5</v>
      </c>
      <c r="K222" s="1">
        <v>24269.0</v>
      </c>
      <c r="L222" s="1" t="s">
        <v>904</v>
      </c>
      <c r="M222" s="7" t="s">
        <v>905</v>
      </c>
    </row>
    <row r="223">
      <c r="A223" s="1" t="s">
        <v>906</v>
      </c>
      <c r="B223" s="1" t="s">
        <v>907</v>
      </c>
      <c r="C223" s="1" t="s">
        <v>217</v>
      </c>
      <c r="D223" s="1" t="str">
        <f t="shared" si="1"/>
        <v>Electronics</v>
      </c>
      <c r="E223" s="1" t="str">
        <f t="shared" si="2"/>
        <v>HomeTheater,TV&amp;Video</v>
      </c>
      <c r="F223" s="1">
        <v>299.0</v>
      </c>
      <c r="G223" s="1">
        <v>899.0</v>
      </c>
      <c r="H223" s="6">
        <f t="shared" si="3"/>
        <v>0.6674082314</v>
      </c>
      <c r="I223" s="3">
        <f>IFERROR(__xludf.DUMMYFUNCTION("GOOGLEFINANCE(""CURRENCY:INRBRL"")*F223"),18.209514147889998)</f>
        <v>18.20951415</v>
      </c>
      <c r="J223" s="1">
        <v>4.51</v>
      </c>
      <c r="K223" s="1">
        <v>425.0</v>
      </c>
      <c r="L223" s="1" t="s">
        <v>908</v>
      </c>
      <c r="M223" s="7" t="s">
        <v>909</v>
      </c>
    </row>
    <row r="224">
      <c r="A224" s="1" t="s">
        <v>910</v>
      </c>
      <c r="B224" s="1" t="s">
        <v>911</v>
      </c>
      <c r="C224" s="1" t="s">
        <v>299</v>
      </c>
      <c r="D224" s="1" t="str">
        <f t="shared" si="1"/>
        <v>Electronics</v>
      </c>
      <c r="E224" s="1" t="str">
        <f t="shared" si="2"/>
        <v>HomeTheater,TV&amp;Video</v>
      </c>
      <c r="F224" s="1">
        <v>399.0</v>
      </c>
      <c r="G224" s="1">
        <v>799.0</v>
      </c>
      <c r="H224" s="6">
        <f t="shared" si="3"/>
        <v>0.5006257822</v>
      </c>
      <c r="I224" s="3">
        <f>IFERROR(__xludf.DUMMYFUNCTION("GOOGLEFINANCE(""CURRENCY:INRBRL"")*F224"),24.29965265889)</f>
        <v>24.29965266</v>
      </c>
      <c r="J224" s="1">
        <v>4.49</v>
      </c>
      <c r="K224" s="1">
        <v>1161.0</v>
      </c>
      <c r="L224" s="1" t="s">
        <v>912</v>
      </c>
      <c r="M224" s="7" t="s">
        <v>913</v>
      </c>
    </row>
    <row r="225">
      <c r="A225" s="1" t="s">
        <v>914</v>
      </c>
      <c r="B225" s="1" t="s">
        <v>915</v>
      </c>
      <c r="C225" s="1" t="s">
        <v>22</v>
      </c>
      <c r="D225" s="1" t="str">
        <f t="shared" si="1"/>
        <v>Computers&amp;Accessories</v>
      </c>
      <c r="E225" s="1" t="str">
        <f t="shared" si="2"/>
        <v>Accessories&amp;Peripherals</v>
      </c>
      <c r="F225" s="1">
        <v>249.0</v>
      </c>
      <c r="G225" s="1">
        <v>499.0</v>
      </c>
      <c r="H225" s="6">
        <f t="shared" si="3"/>
        <v>0.501002004</v>
      </c>
      <c r="I225" s="3">
        <f>IFERROR(__xludf.DUMMYFUNCTION("GOOGLEFINANCE(""CURRENCY:INRBRL"")*F225"),15.16444489239)</f>
        <v>15.16444489</v>
      </c>
      <c r="J225" s="1">
        <v>4.49</v>
      </c>
      <c r="K225" s="1">
        <v>1508.0</v>
      </c>
      <c r="L225" s="1" t="s">
        <v>916</v>
      </c>
      <c r="M225" s="7" t="s">
        <v>917</v>
      </c>
    </row>
    <row r="226">
      <c r="A226" s="1" t="s">
        <v>918</v>
      </c>
      <c r="B226" s="1" t="s">
        <v>919</v>
      </c>
      <c r="C226" s="1" t="s">
        <v>920</v>
      </c>
      <c r="D226" s="1" t="str">
        <f t="shared" si="1"/>
        <v>Electronics</v>
      </c>
      <c r="E226" s="1" t="str">
        <f t="shared" si="2"/>
        <v>HomeTheater,TV&amp;Video</v>
      </c>
      <c r="F226" s="5">
        <v>1249.0</v>
      </c>
      <c r="G226" s="5">
        <v>2299.0</v>
      </c>
      <c r="H226" s="6">
        <f t="shared" si="3"/>
        <v>0.4567203132</v>
      </c>
      <c r="I226" s="3">
        <f>IFERROR(__xludf.DUMMYFUNCTION("GOOGLEFINANCE(""CURRENCY:INRBRL"")*F226"),76.06583000239)</f>
        <v>76.06583</v>
      </c>
      <c r="J226" s="1">
        <v>4.5</v>
      </c>
      <c r="K226" s="1">
        <v>7636.0</v>
      </c>
      <c r="L226" s="1" t="s">
        <v>921</v>
      </c>
      <c r="M226" s="7" t="s">
        <v>922</v>
      </c>
    </row>
    <row r="227">
      <c r="A227" s="1" t="s">
        <v>923</v>
      </c>
      <c r="B227" s="1" t="s">
        <v>924</v>
      </c>
      <c r="C227" s="1" t="s">
        <v>217</v>
      </c>
      <c r="D227" s="1" t="str">
        <f t="shared" si="1"/>
        <v>Electronics</v>
      </c>
      <c r="E227" s="1" t="str">
        <f t="shared" si="2"/>
        <v>HomeTheater,TV&amp;Video</v>
      </c>
      <c r="F227" s="1">
        <v>213.0</v>
      </c>
      <c r="G227" s="1">
        <v>499.0</v>
      </c>
      <c r="H227" s="6">
        <f t="shared" si="3"/>
        <v>0.5731462926</v>
      </c>
      <c r="I227" s="3">
        <f>IFERROR(__xludf.DUMMYFUNCTION("GOOGLEFINANCE(""CURRENCY:INRBRL"")*F227"),12.97199502843)</f>
        <v>12.97199503</v>
      </c>
      <c r="J227" s="1">
        <v>4.51</v>
      </c>
      <c r="K227" s="1">
        <v>246.0</v>
      </c>
      <c r="L227" s="1" t="s">
        <v>925</v>
      </c>
      <c r="M227" s="7" t="s">
        <v>926</v>
      </c>
    </row>
    <row r="228">
      <c r="A228" s="1" t="s">
        <v>927</v>
      </c>
      <c r="B228" s="1" t="s">
        <v>928</v>
      </c>
      <c r="C228" s="1" t="s">
        <v>217</v>
      </c>
      <c r="D228" s="1" t="str">
        <f t="shared" si="1"/>
        <v>Electronics</v>
      </c>
      <c r="E228" s="1" t="str">
        <f t="shared" si="2"/>
        <v>HomeTheater,TV&amp;Video</v>
      </c>
      <c r="F228" s="1">
        <v>209.0</v>
      </c>
      <c r="G228" s="1">
        <v>499.0</v>
      </c>
      <c r="H228" s="6">
        <f t="shared" si="3"/>
        <v>0.5811623246</v>
      </c>
      <c r="I228" s="3">
        <f>IFERROR(__xludf.DUMMYFUNCTION("GOOGLEFINANCE(""CURRENCY:INRBRL"")*F228"),12.72838948799)</f>
        <v>12.72838949</v>
      </c>
      <c r="J228" s="1">
        <v>4.0</v>
      </c>
      <c r="K228" s="1">
        <v>479.0</v>
      </c>
      <c r="L228" s="1" t="s">
        <v>929</v>
      </c>
      <c r="M228" s="7" t="s">
        <v>930</v>
      </c>
    </row>
    <row r="229">
      <c r="A229" s="1" t="s">
        <v>931</v>
      </c>
      <c r="B229" s="1" t="s">
        <v>932</v>
      </c>
      <c r="C229" s="1" t="s">
        <v>72</v>
      </c>
      <c r="D229" s="1" t="str">
        <f t="shared" si="1"/>
        <v>Electronics</v>
      </c>
      <c r="E229" s="1" t="str">
        <f t="shared" si="2"/>
        <v>HomeTheater,TV&amp;Video</v>
      </c>
      <c r="F229" s="1">
        <v>598.0</v>
      </c>
      <c r="G229" s="5">
        <v>4999.0</v>
      </c>
      <c r="H229" s="6">
        <f t="shared" si="3"/>
        <v>0.8803760752</v>
      </c>
      <c r="I229" s="3">
        <f>IFERROR(__xludf.DUMMYFUNCTION("GOOGLEFINANCE(""CURRENCY:INRBRL"")*F229"),36.419028295779995)</f>
        <v>36.4190283</v>
      </c>
      <c r="J229" s="1">
        <v>4.5</v>
      </c>
      <c r="K229" s="1">
        <v>910.0</v>
      </c>
      <c r="L229" s="1" t="s">
        <v>933</v>
      </c>
      <c r="M229" s="7" t="s">
        <v>934</v>
      </c>
    </row>
    <row r="230">
      <c r="A230" s="1" t="s">
        <v>935</v>
      </c>
      <c r="B230" s="1" t="s">
        <v>936</v>
      </c>
      <c r="C230" s="1" t="s">
        <v>22</v>
      </c>
      <c r="D230" s="1" t="str">
        <f t="shared" si="1"/>
        <v>Computers&amp;Accessories</v>
      </c>
      <c r="E230" s="1" t="str">
        <f t="shared" si="2"/>
        <v>Accessories&amp;Peripherals</v>
      </c>
      <c r="F230" s="1">
        <v>799.0</v>
      </c>
      <c r="G230" s="5">
        <v>1749.0</v>
      </c>
      <c r="H230" s="6">
        <f t="shared" si="3"/>
        <v>0.5431675243</v>
      </c>
      <c r="I230" s="3">
        <f>IFERROR(__xludf.DUMMYFUNCTION("GOOGLEFINANCE(""CURRENCY:INRBRL"")*F230"),48.66020670289)</f>
        <v>48.6602067</v>
      </c>
      <c r="J230" s="1">
        <v>4.49</v>
      </c>
      <c r="K230" s="1">
        <v>5626.0</v>
      </c>
      <c r="L230" s="1" t="s">
        <v>937</v>
      </c>
      <c r="M230" s="7" t="s">
        <v>938</v>
      </c>
    </row>
    <row r="231">
      <c r="A231" s="1" t="s">
        <v>939</v>
      </c>
      <c r="B231" s="1" t="s">
        <v>940</v>
      </c>
      <c r="C231" s="1" t="s">
        <v>22</v>
      </c>
      <c r="D231" s="1" t="str">
        <f t="shared" si="1"/>
        <v>Computers&amp;Accessories</v>
      </c>
      <c r="E231" s="1" t="str">
        <f t="shared" si="2"/>
        <v>Accessories&amp;Peripherals</v>
      </c>
      <c r="F231" s="1">
        <v>159.0</v>
      </c>
      <c r="G231" s="1">
        <v>595.0</v>
      </c>
      <c r="H231" s="6">
        <f t="shared" si="3"/>
        <v>0.7327731092</v>
      </c>
      <c r="I231" s="3">
        <f>IFERROR(__xludf.DUMMYFUNCTION("GOOGLEFINANCE(""CURRENCY:INRBRL"")*F231"),9.683320232489999)</f>
        <v>9.683320232</v>
      </c>
      <c r="J231" s="1">
        <v>4.5</v>
      </c>
      <c r="K231" s="1">
        <v>14184.0</v>
      </c>
      <c r="L231" s="1" t="s">
        <v>941</v>
      </c>
      <c r="M231" s="7" t="s">
        <v>942</v>
      </c>
    </row>
    <row r="232">
      <c r="A232" s="1" t="s">
        <v>943</v>
      </c>
      <c r="B232" s="1" t="s">
        <v>944</v>
      </c>
      <c r="C232" s="1" t="s">
        <v>945</v>
      </c>
      <c r="D232" s="1" t="str">
        <f t="shared" si="1"/>
        <v>Computers&amp;Accessories</v>
      </c>
      <c r="E232" s="1" t="str">
        <f t="shared" si="2"/>
        <v>Accessories&amp;Peripherals</v>
      </c>
      <c r="F232" s="1">
        <v>499.0</v>
      </c>
      <c r="G232" s="5">
        <v>1100.0</v>
      </c>
      <c r="H232" s="6">
        <f t="shared" si="3"/>
        <v>0.5463636364</v>
      </c>
      <c r="I232" s="3">
        <f>IFERROR(__xludf.DUMMYFUNCTION("GOOGLEFINANCE(""CURRENCY:INRBRL"")*F232"),30.38979116989)</f>
        <v>30.38979117</v>
      </c>
      <c r="J232" s="1">
        <v>4.5</v>
      </c>
      <c r="K232" s="1">
        <v>25177.0</v>
      </c>
      <c r="L232" s="1" t="s">
        <v>946</v>
      </c>
      <c r="M232" s="7" t="s">
        <v>947</v>
      </c>
    </row>
    <row r="233">
      <c r="A233" s="1" t="s">
        <v>948</v>
      </c>
      <c r="B233" s="1" t="s">
        <v>949</v>
      </c>
      <c r="C233" s="1" t="s">
        <v>88</v>
      </c>
      <c r="D233" s="1" t="str">
        <f t="shared" si="1"/>
        <v>Electronics</v>
      </c>
      <c r="E233" s="1" t="str">
        <f t="shared" si="2"/>
        <v>HomeTheater,TV&amp;Video</v>
      </c>
      <c r="F233" s="5">
        <v>31999.0</v>
      </c>
      <c r="G233" s="5">
        <v>49999.0</v>
      </c>
      <c r="H233" s="6">
        <f t="shared" si="3"/>
        <v>0.3600072001</v>
      </c>
      <c r="I233" s="3">
        <f>IFERROR(__xludf.DUMMYFUNCTION("GOOGLEFINANCE(""CURRENCY:INRBRL"")*F233"),1948.7834221348899)</f>
        <v>1948.783422</v>
      </c>
      <c r="J233" s="1">
        <v>4.5</v>
      </c>
      <c r="K233" s="1">
        <v>21252.0</v>
      </c>
      <c r="L233" s="1" t="s">
        <v>950</v>
      </c>
      <c r="M233" s="7" t="s">
        <v>951</v>
      </c>
    </row>
    <row r="234">
      <c r="A234" s="1" t="s">
        <v>952</v>
      </c>
      <c r="B234" s="1" t="s">
        <v>953</v>
      </c>
      <c r="C234" s="1" t="s">
        <v>88</v>
      </c>
      <c r="D234" s="1" t="str">
        <f t="shared" si="1"/>
        <v>Electronics</v>
      </c>
      <c r="E234" s="1" t="str">
        <f t="shared" si="2"/>
        <v>HomeTheater,TV&amp;Video</v>
      </c>
      <c r="F234" s="5">
        <v>32990.0</v>
      </c>
      <c r="G234" s="5">
        <v>56790.0</v>
      </c>
      <c r="H234" s="6">
        <f t="shared" si="3"/>
        <v>0.4190878676</v>
      </c>
      <c r="I234" s="3">
        <f>IFERROR(__xludf.DUMMYFUNCTION("GOOGLEFINANCE(""CURRENCY:INRBRL"")*F234"),2009.1366947789)</f>
        <v>2009.136695</v>
      </c>
      <c r="J234" s="1">
        <v>4.5</v>
      </c>
      <c r="K234" s="1">
        <v>567.0</v>
      </c>
      <c r="L234" s="1" t="s">
        <v>954</v>
      </c>
      <c r="M234" s="7" t="s">
        <v>955</v>
      </c>
    </row>
    <row r="235">
      <c r="A235" s="1" t="s">
        <v>956</v>
      </c>
      <c r="B235" s="1" t="s">
        <v>957</v>
      </c>
      <c r="C235" s="1" t="s">
        <v>217</v>
      </c>
      <c r="D235" s="1" t="str">
        <f t="shared" si="1"/>
        <v>Electronics</v>
      </c>
      <c r="E235" s="1" t="str">
        <f t="shared" si="2"/>
        <v>HomeTheater,TV&amp;Video</v>
      </c>
      <c r="F235" s="1">
        <v>299.0</v>
      </c>
      <c r="G235" s="5">
        <v>1199.0</v>
      </c>
      <c r="H235" s="6">
        <f t="shared" si="3"/>
        <v>0.7506255213</v>
      </c>
      <c r="I235" s="3">
        <f>IFERROR(__xludf.DUMMYFUNCTION("GOOGLEFINANCE(""CURRENCY:INRBRL"")*F235"),18.209514147889998)</f>
        <v>18.20951415</v>
      </c>
      <c r="J235" s="1">
        <v>4.5</v>
      </c>
      <c r="K235" s="1">
        <v>466.0</v>
      </c>
      <c r="L235" s="1" t="s">
        <v>958</v>
      </c>
      <c r="M235" s="7" t="s">
        <v>959</v>
      </c>
    </row>
    <row r="236">
      <c r="A236" s="1" t="s">
        <v>960</v>
      </c>
      <c r="B236" s="1" t="s">
        <v>961</v>
      </c>
      <c r="C236" s="1" t="s">
        <v>22</v>
      </c>
      <c r="D236" s="1" t="str">
        <f t="shared" si="1"/>
        <v>Computers&amp;Accessories</v>
      </c>
      <c r="E236" s="1" t="str">
        <f t="shared" si="2"/>
        <v>Accessories&amp;Peripherals</v>
      </c>
      <c r="F236" s="1">
        <v>128.31</v>
      </c>
      <c r="G236" s="1">
        <v>549.0</v>
      </c>
      <c r="H236" s="6">
        <f t="shared" si="3"/>
        <v>0.766284153</v>
      </c>
      <c r="I236" s="3">
        <f>IFERROR(__xludf.DUMMYFUNCTION("GOOGLEFINANCE(""CURRENCY:INRBRL"")*F236"),7.8142567234641)</f>
        <v>7.814256723</v>
      </c>
      <c r="J236" s="1">
        <v>4.52</v>
      </c>
      <c r="K236" s="1">
        <v>61.0</v>
      </c>
      <c r="L236" s="1" t="s">
        <v>805</v>
      </c>
      <c r="M236" s="7" t="s">
        <v>962</v>
      </c>
    </row>
    <row r="237">
      <c r="A237" s="1" t="s">
        <v>963</v>
      </c>
      <c r="B237" s="1" t="s">
        <v>964</v>
      </c>
      <c r="C237" s="1" t="s">
        <v>22</v>
      </c>
      <c r="D237" s="1" t="str">
        <f t="shared" si="1"/>
        <v>Computers&amp;Accessories</v>
      </c>
      <c r="E237" s="1" t="str">
        <f t="shared" si="2"/>
        <v>Accessories&amp;Peripherals</v>
      </c>
      <c r="F237" s="1">
        <v>599.0</v>
      </c>
      <c r="G237" s="1">
        <v>849.0</v>
      </c>
      <c r="H237" s="6">
        <f t="shared" si="3"/>
        <v>0.2944640754</v>
      </c>
      <c r="I237" s="3">
        <f>IFERROR(__xludf.DUMMYFUNCTION("GOOGLEFINANCE(""CURRENCY:INRBRL"")*F237"),36.479929680889995)</f>
        <v>36.47992968</v>
      </c>
      <c r="J237" s="1">
        <v>4.51</v>
      </c>
      <c r="K237" s="1">
        <v>474.0</v>
      </c>
      <c r="L237" s="1" t="s">
        <v>683</v>
      </c>
      <c r="M237" s="7" t="s">
        <v>965</v>
      </c>
    </row>
    <row r="238">
      <c r="A238" s="1" t="s">
        <v>966</v>
      </c>
      <c r="B238" s="1" t="s">
        <v>967</v>
      </c>
      <c r="C238" s="1" t="s">
        <v>217</v>
      </c>
      <c r="D238" s="1" t="str">
        <f t="shared" si="1"/>
        <v>Electronics</v>
      </c>
      <c r="E238" s="1" t="str">
        <f t="shared" si="2"/>
        <v>HomeTheater,TV&amp;Video</v>
      </c>
      <c r="F238" s="1">
        <v>399.0</v>
      </c>
      <c r="G238" s="1">
        <v>899.0</v>
      </c>
      <c r="H238" s="6">
        <f t="shared" si="3"/>
        <v>0.5561735261</v>
      </c>
      <c r="I238" s="3">
        <f>IFERROR(__xludf.DUMMYFUNCTION("GOOGLEFINANCE(""CURRENCY:INRBRL"")*F238"),24.29965265889)</f>
        <v>24.29965266</v>
      </c>
      <c r="J238" s="1">
        <v>4.5</v>
      </c>
      <c r="K238" s="1">
        <v>431.0</v>
      </c>
      <c r="L238" s="1" t="s">
        <v>968</v>
      </c>
      <c r="M238" s="7" t="s">
        <v>969</v>
      </c>
    </row>
    <row r="239">
      <c r="A239" s="1" t="s">
        <v>970</v>
      </c>
      <c r="B239" s="1" t="s">
        <v>971</v>
      </c>
      <c r="C239" s="1" t="s">
        <v>22</v>
      </c>
      <c r="D239" s="1" t="str">
        <f t="shared" si="1"/>
        <v>Computers&amp;Accessories</v>
      </c>
      <c r="E239" s="1" t="str">
        <f t="shared" si="2"/>
        <v>Accessories&amp;Peripherals</v>
      </c>
      <c r="F239" s="1">
        <v>449.0</v>
      </c>
      <c r="G239" s="5">
        <v>1099.0</v>
      </c>
      <c r="H239" s="6">
        <f t="shared" si="3"/>
        <v>0.5914467698</v>
      </c>
      <c r="I239" s="3">
        <f>IFERROR(__xludf.DUMMYFUNCTION("GOOGLEFINANCE(""CURRENCY:INRBRL"")*F239"),27.34472191439)</f>
        <v>27.34472191</v>
      </c>
      <c r="J239" s="1">
        <v>4.0</v>
      </c>
      <c r="K239" s="1">
        <v>242.0</v>
      </c>
      <c r="L239" s="1" t="s">
        <v>972</v>
      </c>
      <c r="M239" s="7" t="s">
        <v>973</v>
      </c>
    </row>
    <row r="240">
      <c r="A240" s="1" t="s">
        <v>974</v>
      </c>
      <c r="B240" s="1" t="s">
        <v>975</v>
      </c>
      <c r="C240" s="1" t="s">
        <v>22</v>
      </c>
      <c r="D240" s="1" t="str">
        <f t="shared" si="1"/>
        <v>Computers&amp;Accessories</v>
      </c>
      <c r="E240" s="1" t="str">
        <f t="shared" si="2"/>
        <v>Accessories&amp;Peripherals</v>
      </c>
      <c r="F240" s="1">
        <v>254.0</v>
      </c>
      <c r="G240" s="1">
        <v>799.0</v>
      </c>
      <c r="H240" s="6">
        <f t="shared" si="3"/>
        <v>0.6821026283</v>
      </c>
      <c r="I240" s="3">
        <f>IFERROR(__xludf.DUMMYFUNCTION("GOOGLEFINANCE(""CURRENCY:INRBRL"")*F240"),15.468951817939999)</f>
        <v>15.46895182</v>
      </c>
      <c r="J240" s="1">
        <v>4.0</v>
      </c>
      <c r="K240" s="1">
        <v>2905.0</v>
      </c>
      <c r="L240" s="1" t="s">
        <v>976</v>
      </c>
      <c r="M240" s="7" t="s">
        <v>977</v>
      </c>
    </row>
    <row r="241">
      <c r="A241" s="1" t="s">
        <v>978</v>
      </c>
      <c r="B241" s="1" t="s">
        <v>979</v>
      </c>
      <c r="C241" s="1" t="s">
        <v>980</v>
      </c>
      <c r="D241" s="1" t="str">
        <f t="shared" si="1"/>
        <v>Electronics</v>
      </c>
      <c r="E241" s="1" t="str">
        <f t="shared" si="2"/>
        <v>HomeTheater,TV&amp;Video</v>
      </c>
      <c r="F241" s="1">
        <v>399.0</v>
      </c>
      <c r="G241" s="1">
        <v>795.0</v>
      </c>
      <c r="H241" s="6">
        <f t="shared" si="3"/>
        <v>0.4981132075</v>
      </c>
      <c r="I241" s="3">
        <f>IFERROR(__xludf.DUMMYFUNCTION("GOOGLEFINANCE(""CURRENCY:INRBRL"")*F241"),24.29965265889)</f>
        <v>24.29965266</v>
      </c>
      <c r="J241" s="1">
        <v>4.5</v>
      </c>
      <c r="K241" s="1">
        <v>12091.0</v>
      </c>
      <c r="L241" s="1" t="s">
        <v>981</v>
      </c>
      <c r="M241" s="7" t="s">
        <v>982</v>
      </c>
    </row>
    <row r="242">
      <c r="A242" s="1" t="s">
        <v>983</v>
      </c>
      <c r="B242" s="1" t="s">
        <v>984</v>
      </c>
      <c r="C242" s="1" t="s">
        <v>22</v>
      </c>
      <c r="D242" s="1" t="str">
        <f t="shared" si="1"/>
        <v>Computers&amp;Accessories</v>
      </c>
      <c r="E242" s="1" t="str">
        <f t="shared" si="2"/>
        <v>Accessories&amp;Peripherals</v>
      </c>
      <c r="F242" s="1">
        <v>179.0</v>
      </c>
      <c r="G242" s="1">
        <v>399.0</v>
      </c>
      <c r="H242" s="6">
        <f t="shared" si="3"/>
        <v>0.5513784461</v>
      </c>
      <c r="I242" s="3">
        <f>IFERROR(__xludf.DUMMYFUNCTION("GOOGLEFINANCE(""CURRENCY:INRBRL"")*F242"),10.90134793469)</f>
        <v>10.90134793</v>
      </c>
      <c r="J242" s="1">
        <v>4.0</v>
      </c>
      <c r="K242" s="1">
        <v>1423.0</v>
      </c>
      <c r="L242" s="1" t="s">
        <v>332</v>
      </c>
      <c r="M242" s="7" t="s">
        <v>985</v>
      </c>
    </row>
    <row r="243">
      <c r="A243" s="1" t="s">
        <v>986</v>
      </c>
      <c r="B243" s="1" t="s">
        <v>987</v>
      </c>
      <c r="C243" s="1" t="s">
        <v>22</v>
      </c>
      <c r="D243" s="1" t="str">
        <f t="shared" si="1"/>
        <v>Computers&amp;Accessories</v>
      </c>
      <c r="E243" s="1" t="str">
        <f t="shared" si="2"/>
        <v>Accessories&amp;Peripherals</v>
      </c>
      <c r="F243" s="1">
        <v>339.0</v>
      </c>
      <c r="G243" s="1">
        <v>999.0</v>
      </c>
      <c r="H243" s="6">
        <f t="shared" si="3"/>
        <v>0.6606606607</v>
      </c>
      <c r="I243" s="3">
        <f>IFERROR(__xludf.DUMMYFUNCTION("GOOGLEFINANCE(""CURRENCY:INRBRL"")*F243"),20.64556955229)</f>
        <v>20.64556955</v>
      </c>
      <c r="J243" s="1">
        <v>4.5</v>
      </c>
      <c r="K243" s="1">
        <v>6255.0</v>
      </c>
      <c r="L243" s="1" t="s">
        <v>671</v>
      </c>
      <c r="M243" s="7" t="s">
        <v>988</v>
      </c>
    </row>
    <row r="244">
      <c r="A244" s="1" t="s">
        <v>989</v>
      </c>
      <c r="B244" s="1" t="s">
        <v>990</v>
      </c>
      <c r="C244" s="1" t="s">
        <v>299</v>
      </c>
      <c r="D244" s="1" t="str">
        <f t="shared" si="1"/>
        <v>Electronics</v>
      </c>
      <c r="E244" s="1" t="str">
        <f t="shared" si="2"/>
        <v>HomeTheater,TV&amp;Video</v>
      </c>
      <c r="F244" s="1">
        <v>399.0</v>
      </c>
      <c r="G244" s="1">
        <v>999.0</v>
      </c>
      <c r="H244" s="6">
        <f t="shared" si="3"/>
        <v>0.6006006006</v>
      </c>
      <c r="I244" s="3">
        <f>IFERROR(__xludf.DUMMYFUNCTION("GOOGLEFINANCE(""CURRENCY:INRBRL"")*F244"),24.29965265889)</f>
        <v>24.29965266</v>
      </c>
      <c r="J244" s="1">
        <v>4.0</v>
      </c>
      <c r="K244" s="1">
        <v>1236.0</v>
      </c>
      <c r="L244" s="1" t="s">
        <v>991</v>
      </c>
      <c r="M244" s="7" t="s">
        <v>992</v>
      </c>
    </row>
    <row r="245">
      <c r="A245" s="1" t="s">
        <v>993</v>
      </c>
      <c r="B245" s="1" t="s">
        <v>994</v>
      </c>
      <c r="C245" s="1" t="s">
        <v>217</v>
      </c>
      <c r="D245" s="1" t="str">
        <f t="shared" si="1"/>
        <v>Electronics</v>
      </c>
      <c r="E245" s="1" t="str">
        <f t="shared" si="2"/>
        <v>HomeTheater,TV&amp;Video</v>
      </c>
      <c r="F245" s="1">
        <v>199.0</v>
      </c>
      <c r="G245" s="1">
        <v>399.0</v>
      </c>
      <c r="H245" s="6">
        <f t="shared" si="3"/>
        <v>0.5012531328</v>
      </c>
      <c r="I245" s="3">
        <f>IFERROR(__xludf.DUMMYFUNCTION("GOOGLEFINANCE(""CURRENCY:INRBRL"")*F245"),12.11937563689)</f>
        <v>12.11937564</v>
      </c>
      <c r="J245" s="1">
        <v>4.5</v>
      </c>
      <c r="K245" s="1">
        <v>1335.0</v>
      </c>
      <c r="L245" s="1" t="s">
        <v>995</v>
      </c>
      <c r="M245" s="7" t="s">
        <v>996</v>
      </c>
    </row>
    <row r="246">
      <c r="A246" s="1" t="s">
        <v>997</v>
      </c>
      <c r="B246" s="1" t="s">
        <v>998</v>
      </c>
      <c r="C246" s="1" t="s">
        <v>217</v>
      </c>
      <c r="D246" s="1" t="str">
        <f t="shared" si="1"/>
        <v>Electronics</v>
      </c>
      <c r="E246" s="1" t="str">
        <f t="shared" si="2"/>
        <v>HomeTheater,TV&amp;Video</v>
      </c>
      <c r="F246" s="1">
        <v>349.0</v>
      </c>
      <c r="G246" s="5">
        <v>1999.0</v>
      </c>
      <c r="H246" s="6">
        <f t="shared" si="3"/>
        <v>0.8254127064</v>
      </c>
      <c r="I246" s="3">
        <f>IFERROR(__xludf.DUMMYFUNCTION("GOOGLEFINANCE(""CURRENCY:INRBRL"")*F246"),21.25458340339)</f>
        <v>21.2545834</v>
      </c>
      <c r="J246" s="1">
        <v>4.51</v>
      </c>
      <c r="K246" s="1">
        <v>197.0</v>
      </c>
      <c r="L246" s="1" t="s">
        <v>999</v>
      </c>
      <c r="M246" s="7" t="s">
        <v>1000</v>
      </c>
    </row>
    <row r="247">
      <c r="A247" s="1" t="s">
        <v>1001</v>
      </c>
      <c r="B247" s="1" t="s">
        <v>1002</v>
      </c>
      <c r="C247" s="1" t="s">
        <v>22</v>
      </c>
      <c r="D247" s="1" t="str">
        <f t="shared" si="1"/>
        <v>Computers&amp;Accessories</v>
      </c>
      <c r="E247" s="1" t="str">
        <f t="shared" si="2"/>
        <v>Accessories&amp;Peripherals</v>
      </c>
      <c r="F247" s="1">
        <v>299.0</v>
      </c>
      <c r="G247" s="1">
        <v>798.0</v>
      </c>
      <c r="H247" s="6">
        <f t="shared" si="3"/>
        <v>0.6253132832</v>
      </c>
      <c r="I247" s="3">
        <f>IFERROR(__xludf.DUMMYFUNCTION("GOOGLEFINANCE(""CURRENCY:INRBRL"")*F247"),18.209514147889998)</f>
        <v>18.20951415</v>
      </c>
      <c r="J247" s="1">
        <v>4.5</v>
      </c>
      <c r="K247" s="1">
        <v>28791.0</v>
      </c>
      <c r="L247" s="1" t="s">
        <v>1003</v>
      </c>
      <c r="M247" s="7" t="s">
        <v>1004</v>
      </c>
    </row>
    <row r="248">
      <c r="A248" s="1" t="s">
        <v>1005</v>
      </c>
      <c r="B248" s="1" t="s">
        <v>1006</v>
      </c>
      <c r="C248" s="1" t="s">
        <v>22</v>
      </c>
      <c r="D248" s="1" t="str">
        <f t="shared" si="1"/>
        <v>Computers&amp;Accessories</v>
      </c>
      <c r="E248" s="1" t="str">
        <f t="shared" si="2"/>
        <v>Accessories&amp;Peripherals</v>
      </c>
      <c r="F248" s="1">
        <v>89.0</v>
      </c>
      <c r="G248" s="1">
        <v>800.0</v>
      </c>
      <c r="H248" s="6">
        <f t="shared" si="3"/>
        <v>0.88875</v>
      </c>
      <c r="I248" s="3">
        <f>IFERROR(__xludf.DUMMYFUNCTION("GOOGLEFINANCE(""CURRENCY:INRBRL"")*F248"),5.42022327479)</f>
        <v>5.420223275</v>
      </c>
      <c r="J248" s="1">
        <v>4.52</v>
      </c>
      <c r="K248" s="1">
        <v>1075.0</v>
      </c>
      <c r="L248" s="1" t="s">
        <v>1007</v>
      </c>
      <c r="M248" s="7" t="s">
        <v>1008</v>
      </c>
    </row>
    <row r="249">
      <c r="A249" s="1" t="s">
        <v>1009</v>
      </c>
      <c r="B249" s="1" t="s">
        <v>1010</v>
      </c>
      <c r="C249" s="1" t="s">
        <v>22</v>
      </c>
      <c r="D249" s="1" t="str">
        <f t="shared" si="1"/>
        <v>Computers&amp;Accessories</v>
      </c>
      <c r="E249" s="1" t="str">
        <f t="shared" si="2"/>
        <v>Accessories&amp;Peripherals</v>
      </c>
      <c r="F249" s="1">
        <v>549.0</v>
      </c>
      <c r="G249" s="1">
        <v>995.0</v>
      </c>
      <c r="H249" s="6">
        <f t="shared" si="3"/>
        <v>0.448241206</v>
      </c>
      <c r="I249" s="3">
        <f>IFERROR(__xludf.DUMMYFUNCTION("GOOGLEFINANCE(""CURRENCY:INRBRL"")*F249"),33.43486042539)</f>
        <v>33.43486043</v>
      </c>
      <c r="J249" s="1">
        <v>4.5</v>
      </c>
      <c r="K249" s="1">
        <v>29746.0</v>
      </c>
      <c r="L249" s="1" t="s">
        <v>1011</v>
      </c>
      <c r="M249" s="7" t="s">
        <v>1012</v>
      </c>
    </row>
    <row r="250">
      <c r="A250" s="1" t="s">
        <v>1013</v>
      </c>
      <c r="B250" s="1" t="s">
        <v>1014</v>
      </c>
      <c r="C250" s="1" t="s">
        <v>22</v>
      </c>
      <c r="D250" s="1" t="str">
        <f t="shared" si="1"/>
        <v>Computers&amp;Accessories</v>
      </c>
      <c r="E250" s="1" t="str">
        <f t="shared" si="2"/>
        <v>Accessories&amp;Peripherals</v>
      </c>
      <c r="F250" s="1">
        <v>129.0</v>
      </c>
      <c r="G250" s="5">
        <v>1000.0</v>
      </c>
      <c r="H250" s="6">
        <f t="shared" si="3"/>
        <v>0.871</v>
      </c>
      <c r="I250" s="3">
        <f>IFERROR(__xludf.DUMMYFUNCTION("GOOGLEFINANCE(""CURRENCY:INRBRL"")*F250"),7.85627867919)</f>
        <v>7.856278679</v>
      </c>
      <c r="J250" s="1">
        <v>4.52</v>
      </c>
      <c r="K250" s="1">
        <v>295.0</v>
      </c>
      <c r="L250" s="1" t="s">
        <v>1015</v>
      </c>
      <c r="M250" s="7" t="s">
        <v>1016</v>
      </c>
    </row>
    <row r="251">
      <c r="A251" s="1" t="s">
        <v>1017</v>
      </c>
      <c r="B251" s="1" t="s">
        <v>1018</v>
      </c>
      <c r="C251" s="1" t="s">
        <v>88</v>
      </c>
      <c r="D251" s="1" t="str">
        <f t="shared" si="1"/>
        <v>Electronics</v>
      </c>
      <c r="E251" s="1" t="str">
        <f t="shared" si="2"/>
        <v>HomeTheater,TV&amp;Video</v>
      </c>
      <c r="F251" s="5">
        <v>77990.0</v>
      </c>
      <c r="G251" s="5">
        <v>139900.0</v>
      </c>
      <c r="H251" s="6">
        <f t="shared" si="3"/>
        <v>0.4425303788</v>
      </c>
      <c r="I251" s="3">
        <f>IFERROR(__xludf.DUMMYFUNCTION("GOOGLEFINANCE(""CURRENCY:INRBRL"")*F251"),4749.6990247288995)</f>
        <v>4749.699025</v>
      </c>
      <c r="J251" s="1">
        <v>4.51</v>
      </c>
      <c r="K251" s="1">
        <v>5935.0</v>
      </c>
      <c r="L251" s="1" t="s">
        <v>1019</v>
      </c>
      <c r="M251" s="7" t="s">
        <v>1020</v>
      </c>
    </row>
    <row r="252">
      <c r="A252" s="1" t="s">
        <v>1021</v>
      </c>
      <c r="B252" s="1" t="s">
        <v>1022</v>
      </c>
      <c r="C252" s="1" t="s">
        <v>217</v>
      </c>
      <c r="D252" s="1" t="str">
        <f t="shared" si="1"/>
        <v>Electronics</v>
      </c>
      <c r="E252" s="1" t="str">
        <f t="shared" si="2"/>
        <v>HomeTheater,TV&amp;Video</v>
      </c>
      <c r="F252" s="1">
        <v>349.0</v>
      </c>
      <c r="G252" s="1">
        <v>799.0</v>
      </c>
      <c r="H252" s="6">
        <f t="shared" si="3"/>
        <v>0.563204005</v>
      </c>
      <c r="I252" s="3">
        <f>IFERROR(__xludf.DUMMYFUNCTION("GOOGLEFINANCE(""CURRENCY:INRBRL"")*F252"),21.25458340339)</f>
        <v>21.2545834</v>
      </c>
      <c r="J252" s="1">
        <v>4.51</v>
      </c>
      <c r="K252" s="1">
        <v>323.0</v>
      </c>
      <c r="L252" s="1" t="s">
        <v>1023</v>
      </c>
      <c r="M252" s="7" t="s">
        <v>1024</v>
      </c>
    </row>
    <row r="253">
      <c r="A253" s="1" t="s">
        <v>1025</v>
      </c>
      <c r="B253" s="1" t="s">
        <v>1026</v>
      </c>
      <c r="C253" s="1" t="s">
        <v>217</v>
      </c>
      <c r="D253" s="1" t="str">
        <f t="shared" si="1"/>
        <v>Electronics</v>
      </c>
      <c r="E253" s="1" t="str">
        <f t="shared" si="2"/>
        <v>HomeTheater,TV&amp;Video</v>
      </c>
      <c r="F253" s="1">
        <v>499.0</v>
      </c>
      <c r="G253" s="1">
        <v>899.0</v>
      </c>
      <c r="H253" s="6">
        <f t="shared" si="3"/>
        <v>0.4449388209</v>
      </c>
      <c r="I253" s="3">
        <f>IFERROR(__xludf.DUMMYFUNCTION("GOOGLEFINANCE(""CURRENCY:INRBRL"")*F253"),30.38979116989)</f>
        <v>30.38979117</v>
      </c>
      <c r="J253" s="1">
        <v>4.51</v>
      </c>
      <c r="K253" s="1">
        <v>185.0</v>
      </c>
      <c r="L253" s="1" t="s">
        <v>1027</v>
      </c>
      <c r="M253" s="7" t="s">
        <v>1028</v>
      </c>
    </row>
    <row r="254">
      <c r="A254" s="1" t="s">
        <v>1029</v>
      </c>
      <c r="B254" s="1" t="s">
        <v>1030</v>
      </c>
      <c r="C254" s="1" t="s">
        <v>22</v>
      </c>
      <c r="D254" s="1" t="str">
        <f t="shared" si="1"/>
        <v>Computers&amp;Accessories</v>
      </c>
      <c r="E254" s="1" t="str">
        <f t="shared" si="2"/>
        <v>Accessories&amp;Peripherals</v>
      </c>
      <c r="F254" s="1">
        <v>299.0</v>
      </c>
      <c r="G254" s="1">
        <v>799.0</v>
      </c>
      <c r="H254" s="6">
        <f t="shared" si="3"/>
        <v>0.6257822278</v>
      </c>
      <c r="I254" s="3">
        <f>IFERROR(__xludf.DUMMYFUNCTION("GOOGLEFINANCE(""CURRENCY:INRBRL"")*F254"),18.209514147889998)</f>
        <v>18.20951415</v>
      </c>
      <c r="J254" s="1">
        <v>4.5</v>
      </c>
      <c r="K254" s="1">
        <v>2117.0</v>
      </c>
      <c r="L254" s="1" t="s">
        <v>1031</v>
      </c>
      <c r="M254" s="7" t="s">
        <v>1032</v>
      </c>
    </row>
    <row r="255">
      <c r="A255" s="1" t="s">
        <v>1033</v>
      </c>
      <c r="B255" s="1" t="s">
        <v>1034</v>
      </c>
      <c r="C255" s="1" t="s">
        <v>22</v>
      </c>
      <c r="D255" s="1" t="str">
        <f t="shared" si="1"/>
        <v>Computers&amp;Accessories</v>
      </c>
      <c r="E255" s="1" t="str">
        <f t="shared" si="2"/>
        <v>Accessories&amp;Peripherals</v>
      </c>
      <c r="F255" s="1">
        <v>182.0</v>
      </c>
      <c r="G255" s="1">
        <v>599.0</v>
      </c>
      <c r="H255" s="6">
        <f t="shared" si="3"/>
        <v>0.6961602671</v>
      </c>
      <c r="I255" s="3">
        <f>IFERROR(__xludf.DUMMYFUNCTION("GOOGLEFINANCE(""CURRENCY:INRBRL"")*F255"),11.08405209002)</f>
        <v>11.08405209</v>
      </c>
      <c r="J255" s="1">
        <v>4.0</v>
      </c>
      <c r="K255" s="1">
        <v>9378.0</v>
      </c>
      <c r="L255" s="1" t="s">
        <v>1035</v>
      </c>
      <c r="M255" s="7" t="s">
        <v>1036</v>
      </c>
    </row>
    <row r="256">
      <c r="A256" s="1" t="s">
        <v>1037</v>
      </c>
      <c r="B256" s="1" t="s">
        <v>1038</v>
      </c>
      <c r="C256" s="1" t="s">
        <v>299</v>
      </c>
      <c r="D256" s="1" t="str">
        <f t="shared" si="1"/>
        <v>Electronics</v>
      </c>
      <c r="E256" s="1" t="str">
        <f t="shared" si="2"/>
        <v>HomeTheater,TV&amp;Video</v>
      </c>
      <c r="F256" s="1">
        <v>96.0</v>
      </c>
      <c r="G256" s="1">
        <v>399.0</v>
      </c>
      <c r="H256" s="6">
        <f t="shared" si="3"/>
        <v>0.7593984962</v>
      </c>
      <c r="I256" s="3">
        <f>IFERROR(__xludf.DUMMYFUNCTION("GOOGLEFINANCE(""CURRENCY:INRBRL"")*F256"),5.84653297056)</f>
        <v>5.846532971</v>
      </c>
      <c r="J256" s="1">
        <v>4.51</v>
      </c>
      <c r="K256" s="1">
        <v>1796.0</v>
      </c>
      <c r="L256" s="1" t="s">
        <v>1039</v>
      </c>
      <c r="M256" s="7" t="s">
        <v>1040</v>
      </c>
    </row>
    <row r="257">
      <c r="A257" s="1" t="s">
        <v>1041</v>
      </c>
      <c r="B257" s="1" t="s">
        <v>1042</v>
      </c>
      <c r="C257" s="1" t="s">
        <v>88</v>
      </c>
      <c r="D257" s="1" t="str">
        <f t="shared" si="1"/>
        <v>Electronics</v>
      </c>
      <c r="E257" s="1" t="str">
        <f t="shared" si="2"/>
        <v>HomeTheater,TV&amp;Video</v>
      </c>
      <c r="F257" s="5">
        <v>54989.0</v>
      </c>
      <c r="G257" s="5">
        <v>84999.0</v>
      </c>
      <c r="H257" s="6">
        <f t="shared" si="3"/>
        <v>0.3530629772</v>
      </c>
      <c r="I257" s="3">
        <f>IFERROR(__xludf.DUMMYFUNCTION("GOOGLEFINANCE(""CURRENCY:INRBRL"")*F257"),3348.90626581379)</f>
        <v>3348.906266</v>
      </c>
      <c r="J257" s="1">
        <v>4.5</v>
      </c>
      <c r="K257" s="1">
        <v>3587.0</v>
      </c>
      <c r="L257" s="1" t="s">
        <v>457</v>
      </c>
      <c r="M257" s="7" t="s">
        <v>1043</v>
      </c>
    </row>
    <row r="258">
      <c r="A258" s="1" t="s">
        <v>1044</v>
      </c>
      <c r="B258" s="1" t="s">
        <v>1045</v>
      </c>
      <c r="C258" s="1" t="s">
        <v>541</v>
      </c>
      <c r="D258" s="1" t="str">
        <f t="shared" si="1"/>
        <v>Electronics</v>
      </c>
      <c r="E258" s="1" t="str">
        <f t="shared" si="2"/>
        <v>HomeTheater,TV&amp;Video</v>
      </c>
      <c r="F258" s="1">
        <v>439.0</v>
      </c>
      <c r="G258" s="1">
        <v>758.0</v>
      </c>
      <c r="H258" s="6">
        <f t="shared" si="3"/>
        <v>0.4208443272</v>
      </c>
      <c r="I258" s="3">
        <f>IFERROR(__xludf.DUMMYFUNCTION("GOOGLEFINANCE(""CURRENCY:INRBRL"")*F258"),26.735708063289998)</f>
        <v>26.73570806</v>
      </c>
      <c r="J258" s="1">
        <v>4.5</v>
      </c>
      <c r="K258" s="1">
        <v>4296.0</v>
      </c>
      <c r="L258" s="1" t="s">
        <v>1046</v>
      </c>
      <c r="M258" s="7" t="s">
        <v>1047</v>
      </c>
    </row>
    <row r="259">
      <c r="A259" s="1" t="s">
        <v>1048</v>
      </c>
      <c r="B259" s="1" t="s">
        <v>1049</v>
      </c>
      <c r="C259" s="1" t="s">
        <v>22</v>
      </c>
      <c r="D259" s="1" t="str">
        <f t="shared" si="1"/>
        <v>Computers&amp;Accessories</v>
      </c>
      <c r="E259" s="1" t="str">
        <f t="shared" si="2"/>
        <v>Accessories&amp;Peripherals</v>
      </c>
      <c r="F259" s="1">
        <v>299.0</v>
      </c>
      <c r="G259" s="1">
        <v>999.0</v>
      </c>
      <c r="H259" s="6">
        <f t="shared" si="3"/>
        <v>0.7007007007</v>
      </c>
      <c r="I259" s="3">
        <f>IFERROR(__xludf.DUMMYFUNCTION("GOOGLEFINANCE(""CURRENCY:INRBRL"")*F259"),18.209514147889998)</f>
        <v>18.20951415</v>
      </c>
      <c r="J259" s="1">
        <v>4.5</v>
      </c>
      <c r="K259" s="1">
        <v>2651.0</v>
      </c>
      <c r="L259" s="1" t="s">
        <v>1050</v>
      </c>
      <c r="M259" s="7" t="s">
        <v>1051</v>
      </c>
    </row>
    <row r="260">
      <c r="A260" s="1" t="s">
        <v>1052</v>
      </c>
      <c r="B260" s="1" t="s">
        <v>1053</v>
      </c>
      <c r="C260" s="1" t="s">
        <v>22</v>
      </c>
      <c r="D260" s="1" t="str">
        <f t="shared" si="1"/>
        <v>Computers&amp;Accessories</v>
      </c>
      <c r="E260" s="1" t="str">
        <f t="shared" si="2"/>
        <v>Accessories&amp;Peripherals</v>
      </c>
      <c r="F260" s="1">
        <v>299.0</v>
      </c>
      <c r="G260" s="1">
        <v>799.0</v>
      </c>
      <c r="H260" s="6">
        <f t="shared" si="3"/>
        <v>0.6257822278</v>
      </c>
      <c r="I260" s="3">
        <f>IFERROR(__xludf.DUMMYFUNCTION("GOOGLEFINANCE(""CURRENCY:INRBRL"")*F260"),18.209514147889998)</f>
        <v>18.20951415</v>
      </c>
      <c r="J260" s="1">
        <v>4.5</v>
      </c>
      <c r="K260" s="1">
        <v>94363.0</v>
      </c>
      <c r="L260" s="1" t="s">
        <v>1054</v>
      </c>
      <c r="M260" s="7" t="s">
        <v>1055</v>
      </c>
    </row>
    <row r="261">
      <c r="A261" s="1" t="s">
        <v>1056</v>
      </c>
      <c r="B261" s="1" t="s">
        <v>1057</v>
      </c>
      <c r="C261" s="1" t="s">
        <v>22</v>
      </c>
      <c r="D261" s="1" t="str">
        <f t="shared" si="1"/>
        <v>Computers&amp;Accessories</v>
      </c>
      <c r="E261" s="1" t="str">
        <f t="shared" si="2"/>
        <v>Accessories&amp;Peripherals</v>
      </c>
      <c r="F261" s="1">
        <v>789.0</v>
      </c>
      <c r="G261" s="5">
        <v>1999.0</v>
      </c>
      <c r="H261" s="6">
        <f t="shared" si="3"/>
        <v>0.6053026513</v>
      </c>
      <c r="I261" s="3">
        <f>IFERROR(__xludf.DUMMYFUNCTION("GOOGLEFINANCE(""CURRENCY:INRBRL"")*F261"),48.05119285179)</f>
        <v>48.05119285</v>
      </c>
      <c r="J261" s="1">
        <v>4.5</v>
      </c>
      <c r="K261" s="1">
        <v>3454.0</v>
      </c>
      <c r="L261" s="1" t="s">
        <v>1058</v>
      </c>
      <c r="M261" s="7" t="s">
        <v>1059</v>
      </c>
    </row>
    <row r="262">
      <c r="A262" s="1" t="s">
        <v>1060</v>
      </c>
      <c r="B262" s="1" t="s">
        <v>1061</v>
      </c>
      <c r="C262" s="1" t="s">
        <v>72</v>
      </c>
      <c r="D262" s="1" t="str">
        <f t="shared" si="1"/>
        <v>Electronics</v>
      </c>
      <c r="E262" s="1" t="str">
        <f t="shared" si="2"/>
        <v>HomeTheater,TV&amp;Video</v>
      </c>
      <c r="F262" s="1">
        <v>299.0</v>
      </c>
      <c r="G262" s="1">
        <v>700.0</v>
      </c>
      <c r="H262" s="6">
        <f t="shared" si="3"/>
        <v>0.5728571429</v>
      </c>
      <c r="I262" s="3">
        <f>IFERROR(__xludf.DUMMYFUNCTION("GOOGLEFINANCE(""CURRENCY:INRBRL"")*F262"),18.209514147889998)</f>
        <v>18.20951415</v>
      </c>
      <c r="J262" s="1">
        <v>4.5</v>
      </c>
      <c r="K262" s="1">
        <v>8714.0</v>
      </c>
      <c r="L262" s="1" t="s">
        <v>1062</v>
      </c>
      <c r="M262" s="7" t="s">
        <v>1063</v>
      </c>
    </row>
    <row r="263">
      <c r="A263" s="1" t="s">
        <v>1064</v>
      </c>
      <c r="B263" s="1" t="s">
        <v>1065</v>
      </c>
      <c r="C263" s="1" t="s">
        <v>22</v>
      </c>
      <c r="D263" s="1" t="str">
        <f t="shared" si="1"/>
        <v>Computers&amp;Accessories</v>
      </c>
      <c r="E263" s="1" t="str">
        <f t="shared" si="2"/>
        <v>Accessories&amp;Peripherals</v>
      </c>
      <c r="F263" s="1">
        <v>325.0</v>
      </c>
      <c r="G263" s="5">
        <v>1099.0</v>
      </c>
      <c r="H263" s="6">
        <f t="shared" si="3"/>
        <v>0.7042766151</v>
      </c>
      <c r="I263" s="3">
        <f>IFERROR(__xludf.DUMMYFUNCTION("GOOGLEFINANCE(""CURRENCY:INRBRL"")*F263"),19.79295016075)</f>
        <v>19.79295016</v>
      </c>
      <c r="J263" s="1">
        <v>4.5</v>
      </c>
      <c r="K263" s="1">
        <v>10576.0</v>
      </c>
      <c r="L263" s="1" t="s">
        <v>1066</v>
      </c>
      <c r="M263" s="7" t="s">
        <v>1067</v>
      </c>
    </row>
    <row r="264">
      <c r="A264" s="1" t="s">
        <v>1068</v>
      </c>
      <c r="B264" s="1" t="s">
        <v>1069</v>
      </c>
      <c r="C264" s="1" t="s">
        <v>22</v>
      </c>
      <c r="D264" s="1" t="str">
        <f t="shared" si="1"/>
        <v>Computers&amp;Accessories</v>
      </c>
      <c r="E264" s="1" t="str">
        <f t="shared" si="2"/>
        <v>Accessories&amp;Peripherals</v>
      </c>
      <c r="F264" s="5">
        <v>1299.0</v>
      </c>
      <c r="G264" s="5">
        <v>1999.0</v>
      </c>
      <c r="H264" s="6">
        <f t="shared" si="3"/>
        <v>0.3501750875</v>
      </c>
      <c r="I264" s="3">
        <f>IFERROR(__xludf.DUMMYFUNCTION("GOOGLEFINANCE(""CURRENCY:INRBRL"")*F264"),79.11089925789)</f>
        <v>79.11089926</v>
      </c>
      <c r="J264" s="1">
        <v>4.5</v>
      </c>
      <c r="K264" s="1">
        <v>7318.0</v>
      </c>
      <c r="L264" s="1" t="s">
        <v>1070</v>
      </c>
      <c r="M264" s="7" t="s">
        <v>1071</v>
      </c>
    </row>
    <row r="265">
      <c r="A265" s="1" t="s">
        <v>1072</v>
      </c>
      <c r="B265" s="1" t="s">
        <v>1073</v>
      </c>
      <c r="C265" s="1" t="s">
        <v>217</v>
      </c>
      <c r="D265" s="1" t="str">
        <f t="shared" si="1"/>
        <v>Electronics</v>
      </c>
      <c r="E265" s="1" t="str">
        <f t="shared" si="2"/>
        <v>HomeTheater,TV&amp;Video</v>
      </c>
      <c r="F265" s="1">
        <v>790.0</v>
      </c>
      <c r="G265" s="5">
        <v>1999.0</v>
      </c>
      <c r="H265" s="6">
        <f t="shared" si="3"/>
        <v>0.6048024012</v>
      </c>
      <c r="I265" s="3">
        <f>IFERROR(__xludf.DUMMYFUNCTION("GOOGLEFINANCE(""CURRENCY:INRBRL"")*F265"),48.1120942369)</f>
        <v>48.11209424</v>
      </c>
      <c r="J265" s="1">
        <v>3.0</v>
      </c>
      <c r="K265" s="1">
        <v>103.0</v>
      </c>
      <c r="L265" s="1" t="s">
        <v>1074</v>
      </c>
      <c r="M265" s="7" t="s">
        <v>1075</v>
      </c>
    </row>
    <row r="266">
      <c r="A266" s="1" t="s">
        <v>1076</v>
      </c>
      <c r="B266" s="1" t="s">
        <v>1077</v>
      </c>
      <c r="C266" s="1" t="s">
        <v>1078</v>
      </c>
      <c r="D266" s="1" t="str">
        <f t="shared" si="1"/>
        <v>Electronics</v>
      </c>
      <c r="E266" s="1" t="str">
        <f t="shared" si="2"/>
        <v>HomeAudio</v>
      </c>
      <c r="F266" s="5">
        <v>4699.0</v>
      </c>
      <c r="G266" s="5">
        <v>4699.0</v>
      </c>
      <c r="H266" s="6">
        <f t="shared" si="3"/>
        <v>0</v>
      </c>
      <c r="I266" s="3">
        <f>IFERROR(__xludf.DUMMYFUNCTION("GOOGLEFINANCE(""CURRENCY:INRBRL"")*F266"),286.17560863189)</f>
        <v>286.1756086</v>
      </c>
      <c r="J266" s="1">
        <v>4.51</v>
      </c>
      <c r="K266" s="1">
        <v>224.0</v>
      </c>
      <c r="L266" s="1" t="s">
        <v>1079</v>
      </c>
      <c r="M266" s="7" t="s">
        <v>1080</v>
      </c>
    </row>
    <row r="267">
      <c r="A267" s="1" t="s">
        <v>1081</v>
      </c>
      <c r="B267" s="1" t="s">
        <v>1082</v>
      </c>
      <c r="C267" s="1" t="s">
        <v>88</v>
      </c>
      <c r="D267" s="1" t="str">
        <f t="shared" si="1"/>
        <v>Electronics</v>
      </c>
      <c r="E267" s="1" t="str">
        <f t="shared" si="2"/>
        <v>HomeTheater,TV&amp;Video</v>
      </c>
      <c r="F267" s="5">
        <v>18999.0</v>
      </c>
      <c r="G267" s="5">
        <v>24990.0</v>
      </c>
      <c r="H267" s="6">
        <f t="shared" si="3"/>
        <v>0.2397358944</v>
      </c>
      <c r="I267" s="3">
        <f>IFERROR(__xludf.DUMMYFUNCTION("GOOGLEFINANCE(""CURRENCY:INRBRL"")*F267"),1157.06541570489)</f>
        <v>1157.065416</v>
      </c>
      <c r="J267" s="1">
        <v>4.5</v>
      </c>
      <c r="K267" s="1">
        <v>4702.0</v>
      </c>
      <c r="L267" s="1" t="s">
        <v>1083</v>
      </c>
      <c r="M267" s="7" t="s">
        <v>1084</v>
      </c>
    </row>
    <row r="268">
      <c r="A268" s="1" t="s">
        <v>1085</v>
      </c>
      <c r="B268" s="1" t="s">
        <v>1086</v>
      </c>
      <c r="C268" s="1" t="s">
        <v>22</v>
      </c>
      <c r="D268" s="1" t="str">
        <f t="shared" si="1"/>
        <v>Computers&amp;Accessories</v>
      </c>
      <c r="E268" s="1" t="str">
        <f t="shared" si="2"/>
        <v>Accessories&amp;Peripherals</v>
      </c>
      <c r="F268" s="1">
        <v>199.0</v>
      </c>
      <c r="G268" s="1">
        <v>999.0</v>
      </c>
      <c r="H268" s="6">
        <f t="shared" si="3"/>
        <v>0.8008008008</v>
      </c>
      <c r="I268" s="3">
        <f>IFERROR(__xludf.DUMMYFUNCTION("GOOGLEFINANCE(""CURRENCY:INRBRL"")*F268"),12.11937563689)</f>
        <v>12.11937564</v>
      </c>
      <c r="J268" s="1">
        <v>4.5</v>
      </c>
      <c r="K268" s="1">
        <v>85.0</v>
      </c>
      <c r="L268" s="1" t="s">
        <v>1087</v>
      </c>
      <c r="M268" s="7" t="s">
        <v>1088</v>
      </c>
    </row>
    <row r="269">
      <c r="A269" s="1" t="s">
        <v>1089</v>
      </c>
      <c r="B269" s="1" t="s">
        <v>1090</v>
      </c>
      <c r="C269" s="1" t="s">
        <v>72</v>
      </c>
      <c r="D269" s="1" t="str">
        <f t="shared" si="1"/>
        <v>Electronics</v>
      </c>
      <c r="E269" s="1" t="str">
        <f t="shared" si="2"/>
        <v>HomeTheater,TV&amp;Video</v>
      </c>
      <c r="F269" s="1">
        <v>269.0</v>
      </c>
      <c r="G269" s="1">
        <v>650.0</v>
      </c>
      <c r="H269" s="6">
        <f t="shared" si="3"/>
        <v>0.5861538462</v>
      </c>
      <c r="I269" s="3">
        <f>IFERROR(__xludf.DUMMYFUNCTION("GOOGLEFINANCE(""CURRENCY:INRBRL"")*F269"),16.38247259459)</f>
        <v>16.38247259</v>
      </c>
      <c r="J269" s="1">
        <v>4.5</v>
      </c>
      <c r="K269" s="1">
        <v>35877.0</v>
      </c>
      <c r="L269" s="1" t="s">
        <v>1091</v>
      </c>
      <c r="M269" s="7" t="s">
        <v>1092</v>
      </c>
    </row>
    <row r="270">
      <c r="A270" s="1" t="s">
        <v>1093</v>
      </c>
      <c r="B270" s="1" t="s">
        <v>1094</v>
      </c>
      <c r="C270" s="1" t="s">
        <v>1095</v>
      </c>
      <c r="D270" s="1" t="str">
        <f t="shared" si="1"/>
        <v>Electronics</v>
      </c>
      <c r="E270" s="1" t="str">
        <f t="shared" si="2"/>
        <v>HomeTheater,TV&amp;Video</v>
      </c>
      <c r="F270" s="5">
        <v>1990.0</v>
      </c>
      <c r="G270" s="5">
        <v>3100.0</v>
      </c>
      <c r="H270" s="6">
        <f t="shared" si="3"/>
        <v>0.3580645161</v>
      </c>
      <c r="I270" s="3">
        <f>IFERROR(__xludf.DUMMYFUNCTION("GOOGLEFINANCE(""CURRENCY:INRBRL"")*F270"),121.1937563689)</f>
        <v>121.1937564</v>
      </c>
      <c r="J270" s="1">
        <v>4.0</v>
      </c>
      <c r="K270" s="1">
        <v>897.0</v>
      </c>
      <c r="L270" s="1" t="s">
        <v>1096</v>
      </c>
      <c r="M270" s="7" t="s">
        <v>1097</v>
      </c>
    </row>
    <row r="271">
      <c r="A271" s="1" t="s">
        <v>1098</v>
      </c>
      <c r="B271" s="1" t="s">
        <v>1099</v>
      </c>
      <c r="C271" s="1" t="s">
        <v>1100</v>
      </c>
      <c r="D271" s="1" t="str">
        <f t="shared" si="1"/>
        <v>Electronics</v>
      </c>
      <c r="E271" s="1" t="str">
        <f t="shared" si="2"/>
        <v>HomeAudio</v>
      </c>
      <c r="F271" s="5">
        <v>2299.0</v>
      </c>
      <c r="G271" s="5">
        <v>3999.0</v>
      </c>
      <c r="H271" s="6">
        <f t="shared" si="3"/>
        <v>0.4251062766</v>
      </c>
      <c r="I271" s="3">
        <f>IFERROR(__xludf.DUMMYFUNCTION("GOOGLEFINANCE(""CURRENCY:INRBRL"")*F271"),140.01228436789)</f>
        <v>140.0122844</v>
      </c>
      <c r="J271" s="1">
        <v>4.51</v>
      </c>
      <c r="K271" s="1">
        <v>282.0</v>
      </c>
      <c r="L271" s="1" t="s">
        <v>1101</v>
      </c>
      <c r="M271" s="7" t="s">
        <v>1102</v>
      </c>
    </row>
    <row r="272">
      <c r="A272" s="1" t="s">
        <v>1103</v>
      </c>
      <c r="B272" s="1" t="s">
        <v>1104</v>
      </c>
      <c r="C272" s="1" t="s">
        <v>88</v>
      </c>
      <c r="D272" s="1" t="str">
        <f t="shared" si="1"/>
        <v>Electronics</v>
      </c>
      <c r="E272" s="1" t="str">
        <f t="shared" si="2"/>
        <v>HomeTheater,TV&amp;Video</v>
      </c>
      <c r="F272" s="5">
        <v>35999.0</v>
      </c>
      <c r="G272" s="5">
        <v>49990.0</v>
      </c>
      <c r="H272" s="6">
        <f t="shared" si="3"/>
        <v>0.2798759752</v>
      </c>
      <c r="I272" s="3">
        <f>IFERROR(__xludf.DUMMYFUNCTION("GOOGLEFINANCE(""CURRENCY:INRBRL"")*F272"),2192.38896257489)</f>
        <v>2192.388963</v>
      </c>
      <c r="J272" s="1">
        <v>4.5</v>
      </c>
      <c r="K272" s="1">
        <v>1611.0</v>
      </c>
      <c r="L272" s="1" t="s">
        <v>1105</v>
      </c>
      <c r="M272" s="7" t="s">
        <v>1106</v>
      </c>
    </row>
    <row r="273">
      <c r="A273" s="1" t="s">
        <v>1107</v>
      </c>
      <c r="B273" s="1" t="s">
        <v>1108</v>
      </c>
      <c r="C273" s="1" t="s">
        <v>217</v>
      </c>
      <c r="D273" s="1" t="str">
        <f t="shared" si="1"/>
        <v>Electronics</v>
      </c>
      <c r="E273" s="1" t="str">
        <f t="shared" si="2"/>
        <v>HomeTheater,TV&amp;Video</v>
      </c>
      <c r="F273" s="1">
        <v>349.0</v>
      </c>
      <c r="G273" s="1">
        <v>999.0</v>
      </c>
      <c r="H273" s="6">
        <f t="shared" si="3"/>
        <v>0.6506506507</v>
      </c>
      <c r="I273" s="3">
        <f>IFERROR(__xludf.DUMMYFUNCTION("GOOGLEFINANCE(""CURRENCY:INRBRL"")*F273"),21.25458340339)</f>
        <v>21.2545834</v>
      </c>
      <c r="J273" s="1">
        <v>4.5</v>
      </c>
      <c r="K273" s="1">
        <v>513.0</v>
      </c>
      <c r="L273" s="1" t="s">
        <v>1109</v>
      </c>
      <c r="M273" s="7" t="s">
        <v>1110</v>
      </c>
    </row>
    <row r="274">
      <c r="A274" s="1" t="s">
        <v>1111</v>
      </c>
      <c r="B274" s="1" t="s">
        <v>1112</v>
      </c>
      <c r="C274" s="1" t="s">
        <v>22</v>
      </c>
      <c r="D274" s="1" t="str">
        <f t="shared" si="1"/>
        <v>Computers&amp;Accessories</v>
      </c>
      <c r="E274" s="1" t="str">
        <f t="shared" si="2"/>
        <v>Accessories&amp;Peripherals</v>
      </c>
      <c r="F274" s="1">
        <v>719.0</v>
      </c>
      <c r="G274" s="5">
        <v>1499.0</v>
      </c>
      <c r="H274" s="6">
        <f t="shared" si="3"/>
        <v>0.5203468979</v>
      </c>
      <c r="I274" s="3">
        <f>IFERROR(__xludf.DUMMYFUNCTION("GOOGLEFINANCE(""CURRENCY:INRBRL"")*F274"),43.78809589409)</f>
        <v>43.78809589</v>
      </c>
      <c r="J274" s="1">
        <v>4.49</v>
      </c>
      <c r="K274" s="1">
        <v>1045.0</v>
      </c>
      <c r="L274" s="1" t="s">
        <v>1113</v>
      </c>
      <c r="M274" s="7" t="s">
        <v>1114</v>
      </c>
    </row>
    <row r="275">
      <c r="A275" s="1" t="s">
        <v>1115</v>
      </c>
      <c r="B275" s="1" t="s">
        <v>1116</v>
      </c>
      <c r="C275" s="1" t="s">
        <v>88</v>
      </c>
      <c r="D275" s="1" t="str">
        <f t="shared" si="1"/>
        <v>Electronics</v>
      </c>
      <c r="E275" s="1" t="str">
        <f t="shared" si="2"/>
        <v>HomeTheater,TV&amp;Video</v>
      </c>
      <c r="F275" s="5">
        <v>8999.0</v>
      </c>
      <c r="G275" s="5">
        <v>18999.0</v>
      </c>
      <c r="H275" s="6">
        <f t="shared" si="3"/>
        <v>0.5263434918</v>
      </c>
      <c r="I275" s="3">
        <f>IFERROR(__xludf.DUMMYFUNCTION("GOOGLEFINANCE(""CURRENCY:INRBRL"")*F275"),548.05156460489)</f>
        <v>548.0515646</v>
      </c>
      <c r="J275" s="1">
        <v>4.0</v>
      </c>
      <c r="K275" s="1">
        <v>6347.0</v>
      </c>
      <c r="L275" s="1" t="s">
        <v>1117</v>
      </c>
      <c r="M275" s="7" t="s">
        <v>1118</v>
      </c>
    </row>
    <row r="276">
      <c r="A276" s="1" t="s">
        <v>1119</v>
      </c>
      <c r="B276" s="1" t="s">
        <v>1120</v>
      </c>
      <c r="C276" s="1" t="s">
        <v>920</v>
      </c>
      <c r="D276" s="1" t="str">
        <f t="shared" si="1"/>
        <v>Electronics</v>
      </c>
      <c r="E276" s="1" t="str">
        <f t="shared" si="2"/>
        <v>HomeTheater,TV&amp;Video</v>
      </c>
      <c r="F276" s="1">
        <v>917.0</v>
      </c>
      <c r="G276" s="5">
        <v>2299.0</v>
      </c>
      <c r="H276" s="6">
        <f t="shared" si="3"/>
        <v>0.6011309265</v>
      </c>
      <c r="I276" s="3">
        <f>IFERROR(__xludf.DUMMYFUNCTION("GOOGLEFINANCE(""CURRENCY:INRBRL"")*F276"),55.84657014587)</f>
        <v>55.84657015</v>
      </c>
      <c r="J276" s="1">
        <v>4.5</v>
      </c>
      <c r="K276" s="1">
        <v>33.0</v>
      </c>
      <c r="L276" s="1" t="s">
        <v>1121</v>
      </c>
      <c r="M276" s="7" t="s">
        <v>1122</v>
      </c>
    </row>
    <row r="277">
      <c r="A277" s="1" t="s">
        <v>1123</v>
      </c>
      <c r="B277" s="1" t="s">
        <v>1124</v>
      </c>
      <c r="C277" s="1" t="s">
        <v>217</v>
      </c>
      <c r="D277" s="1" t="str">
        <f t="shared" si="1"/>
        <v>Electronics</v>
      </c>
      <c r="E277" s="1" t="str">
        <f t="shared" si="2"/>
        <v>HomeTheater,TV&amp;Video</v>
      </c>
      <c r="F277" s="1">
        <v>399.0</v>
      </c>
      <c r="G277" s="1">
        <v>999.0</v>
      </c>
      <c r="H277" s="6">
        <f t="shared" si="3"/>
        <v>0.6006006006</v>
      </c>
      <c r="I277" s="3">
        <f>IFERROR(__xludf.DUMMYFUNCTION("GOOGLEFINANCE(""CURRENCY:INRBRL"")*F277"),24.29965265889)</f>
        <v>24.29965266</v>
      </c>
      <c r="J277" s="1">
        <v>4.5</v>
      </c>
      <c r="K277" s="1">
        <v>23.0</v>
      </c>
      <c r="L277" s="1" t="s">
        <v>1125</v>
      </c>
      <c r="M277" s="7" t="s">
        <v>1126</v>
      </c>
    </row>
    <row r="278">
      <c r="A278" s="1" t="s">
        <v>1127</v>
      </c>
      <c r="B278" s="1" t="s">
        <v>1128</v>
      </c>
      <c r="C278" s="1" t="s">
        <v>88</v>
      </c>
      <c r="D278" s="1" t="str">
        <f t="shared" si="1"/>
        <v>Electronics</v>
      </c>
      <c r="E278" s="1" t="str">
        <f t="shared" si="2"/>
        <v>HomeTheater,TV&amp;Video</v>
      </c>
      <c r="F278" s="5">
        <v>45999.0</v>
      </c>
      <c r="G278" s="5">
        <v>69899.0</v>
      </c>
      <c r="H278" s="6">
        <f t="shared" si="3"/>
        <v>0.3419219159</v>
      </c>
      <c r="I278" s="3">
        <f>IFERROR(__xludf.DUMMYFUNCTION("GOOGLEFINANCE(""CURRENCY:INRBRL"")*F278"),2801.40281367489)</f>
        <v>2801.402814</v>
      </c>
      <c r="J278" s="1">
        <v>4.5</v>
      </c>
      <c r="K278" s="1">
        <v>7109.0</v>
      </c>
      <c r="L278" s="1" t="s">
        <v>1129</v>
      </c>
      <c r="M278" s="7" t="s">
        <v>1130</v>
      </c>
    </row>
    <row r="279">
      <c r="A279" s="1" t="s">
        <v>1131</v>
      </c>
      <c r="B279" s="1" t="s">
        <v>1132</v>
      </c>
      <c r="C279" s="1" t="s">
        <v>22</v>
      </c>
      <c r="D279" s="1" t="str">
        <f t="shared" si="1"/>
        <v>Computers&amp;Accessories</v>
      </c>
      <c r="E279" s="1" t="str">
        <f t="shared" si="2"/>
        <v>Accessories&amp;Peripherals</v>
      </c>
      <c r="F279" s="1">
        <v>119.0</v>
      </c>
      <c r="G279" s="1">
        <v>299.0</v>
      </c>
      <c r="H279" s="6">
        <f t="shared" si="3"/>
        <v>0.602006689</v>
      </c>
      <c r="I279" s="3">
        <f>IFERROR(__xludf.DUMMYFUNCTION("GOOGLEFINANCE(""CURRENCY:INRBRL"")*F279"),7.24726482809)</f>
        <v>7.247264828</v>
      </c>
      <c r="J279" s="1">
        <v>4.51</v>
      </c>
      <c r="K279" s="1">
        <v>51.0</v>
      </c>
      <c r="L279" s="1" t="s">
        <v>1133</v>
      </c>
      <c r="M279" s="7" t="s">
        <v>1134</v>
      </c>
    </row>
    <row r="280">
      <c r="A280" s="1" t="s">
        <v>1135</v>
      </c>
      <c r="B280" s="1" t="s">
        <v>1136</v>
      </c>
      <c r="C280" s="1" t="s">
        <v>88</v>
      </c>
      <c r="D280" s="1" t="str">
        <f t="shared" si="1"/>
        <v>Electronics</v>
      </c>
      <c r="E280" s="1" t="str">
        <f t="shared" si="2"/>
        <v>HomeTheater,TV&amp;Video</v>
      </c>
      <c r="F280" s="5">
        <v>21999.0</v>
      </c>
      <c r="G280" s="5">
        <v>29999.0</v>
      </c>
      <c r="H280" s="6">
        <f t="shared" si="3"/>
        <v>0.2666755559</v>
      </c>
      <c r="I280" s="3">
        <f>IFERROR(__xludf.DUMMYFUNCTION("GOOGLEFINANCE(""CURRENCY:INRBRL"")*F280"),1339.7695710348899)</f>
        <v>1339.769571</v>
      </c>
      <c r="J280" s="1">
        <v>4.5</v>
      </c>
      <c r="K280" s="1">
        <v>3284.0</v>
      </c>
      <c r="L280" s="1" t="s">
        <v>1137</v>
      </c>
      <c r="M280" s="7" t="s">
        <v>1138</v>
      </c>
    </row>
    <row r="281">
      <c r="A281" s="1" t="s">
        <v>1139</v>
      </c>
      <c r="B281" s="1" t="s">
        <v>1140</v>
      </c>
      <c r="C281" s="1" t="s">
        <v>217</v>
      </c>
      <c r="D281" s="1" t="str">
        <f t="shared" si="1"/>
        <v>Electronics</v>
      </c>
      <c r="E281" s="1" t="str">
        <f t="shared" si="2"/>
        <v>HomeTheater,TV&amp;Video</v>
      </c>
      <c r="F281" s="1">
        <v>299.0</v>
      </c>
      <c r="G281" s="1">
        <v>599.0</v>
      </c>
      <c r="H281" s="6">
        <f t="shared" si="3"/>
        <v>0.5008347245</v>
      </c>
      <c r="I281" s="3">
        <f>IFERROR(__xludf.DUMMYFUNCTION("GOOGLEFINANCE(""CURRENCY:INRBRL"")*F281"),18.209514147889998)</f>
        <v>18.20951415</v>
      </c>
      <c r="J281" s="1">
        <v>4.51</v>
      </c>
      <c r="K281" s="1">
        <v>708.0</v>
      </c>
      <c r="L281" s="1" t="s">
        <v>1141</v>
      </c>
      <c r="M281" s="7" t="s">
        <v>1142</v>
      </c>
    </row>
    <row r="282">
      <c r="A282" s="1" t="s">
        <v>1143</v>
      </c>
      <c r="B282" s="1" t="s">
        <v>1144</v>
      </c>
      <c r="C282" s="1" t="s">
        <v>88</v>
      </c>
      <c r="D282" s="1" t="str">
        <f t="shared" si="1"/>
        <v>Electronics</v>
      </c>
      <c r="E282" s="1" t="str">
        <f t="shared" si="2"/>
        <v>HomeTheater,TV&amp;Video</v>
      </c>
      <c r="F282" s="5">
        <v>21990.0</v>
      </c>
      <c r="G282" s="5">
        <v>34990.0</v>
      </c>
      <c r="H282" s="6">
        <f t="shared" si="3"/>
        <v>0.3715347242</v>
      </c>
      <c r="I282" s="3">
        <f>IFERROR(__xludf.DUMMYFUNCTION("GOOGLEFINANCE(""CURRENCY:INRBRL"")*F282"),1339.2214585688998)</f>
        <v>1339.221459</v>
      </c>
      <c r="J282" s="1">
        <v>4.5</v>
      </c>
      <c r="K282" s="1">
        <v>1657.0</v>
      </c>
      <c r="L282" s="1" t="s">
        <v>1145</v>
      </c>
      <c r="M282" s="7" t="s">
        <v>1146</v>
      </c>
    </row>
    <row r="283">
      <c r="A283" s="1" t="s">
        <v>1147</v>
      </c>
      <c r="B283" s="1" t="s">
        <v>1148</v>
      </c>
      <c r="C283" s="1" t="s">
        <v>22</v>
      </c>
      <c r="D283" s="1" t="str">
        <f t="shared" si="1"/>
        <v>Computers&amp;Accessories</v>
      </c>
      <c r="E283" s="1" t="str">
        <f t="shared" si="2"/>
        <v>Accessories&amp;Peripherals</v>
      </c>
      <c r="F283" s="1">
        <v>417.44</v>
      </c>
      <c r="G283" s="1">
        <v>670.0</v>
      </c>
      <c r="H283" s="6">
        <f t="shared" si="3"/>
        <v>0.3769552239</v>
      </c>
      <c r="I283" s="3">
        <f>IFERROR(__xludf.DUMMYFUNCTION("GOOGLEFINANCE(""CURRENCY:INRBRL"")*F283"),25.422674200318397)</f>
        <v>25.4226742</v>
      </c>
      <c r="J283" s="1">
        <v>4.52</v>
      </c>
      <c r="K283" s="1">
        <v>523.0</v>
      </c>
      <c r="L283" s="1" t="s">
        <v>1149</v>
      </c>
      <c r="M283" s="7" t="s">
        <v>1150</v>
      </c>
    </row>
    <row r="284">
      <c r="A284" s="1" t="s">
        <v>1151</v>
      </c>
      <c r="B284" s="1" t="s">
        <v>1152</v>
      </c>
      <c r="C284" s="1" t="s">
        <v>22</v>
      </c>
      <c r="D284" s="1" t="str">
        <f t="shared" si="1"/>
        <v>Computers&amp;Accessories</v>
      </c>
      <c r="E284" s="1" t="str">
        <f t="shared" si="2"/>
        <v>Accessories&amp;Peripherals</v>
      </c>
      <c r="F284" s="1">
        <v>199.0</v>
      </c>
      <c r="G284" s="1">
        <v>999.0</v>
      </c>
      <c r="H284" s="6">
        <f t="shared" si="3"/>
        <v>0.8008008008</v>
      </c>
      <c r="I284" s="3">
        <f>IFERROR(__xludf.DUMMYFUNCTION("GOOGLEFINANCE(""CURRENCY:INRBRL"")*F284"),12.11937563689)</f>
        <v>12.11937564</v>
      </c>
      <c r="J284" s="1">
        <v>3.0</v>
      </c>
      <c r="K284" s="1">
        <v>0.0</v>
      </c>
      <c r="L284" s="1" t="s">
        <v>1153</v>
      </c>
      <c r="M284" s="7" t="s">
        <v>1154</v>
      </c>
    </row>
    <row r="285">
      <c r="A285" s="1" t="s">
        <v>1155</v>
      </c>
      <c r="B285" s="1" t="s">
        <v>1156</v>
      </c>
      <c r="C285" s="1" t="s">
        <v>88</v>
      </c>
      <c r="D285" s="1" t="str">
        <f t="shared" si="1"/>
        <v>Electronics</v>
      </c>
      <c r="E285" s="1" t="str">
        <f t="shared" si="2"/>
        <v>HomeTheater,TV&amp;Video</v>
      </c>
      <c r="F285" s="5">
        <v>47990.0</v>
      </c>
      <c r="G285" s="5">
        <v>79990.0</v>
      </c>
      <c r="H285" s="6">
        <f t="shared" si="3"/>
        <v>0.4000500063</v>
      </c>
      <c r="I285" s="3">
        <f>IFERROR(__xludf.DUMMYFUNCTION("GOOGLEFINANCE(""CURRENCY:INRBRL"")*F285"),2922.6574714289)</f>
        <v>2922.657471</v>
      </c>
      <c r="J285" s="1">
        <v>4.5</v>
      </c>
      <c r="K285" s="1">
        <v>1376.0</v>
      </c>
      <c r="L285" s="1" t="s">
        <v>566</v>
      </c>
      <c r="M285" s="7" t="s">
        <v>1157</v>
      </c>
    </row>
    <row r="286">
      <c r="A286" s="1" t="s">
        <v>1158</v>
      </c>
      <c r="B286" s="1" t="s">
        <v>1159</v>
      </c>
      <c r="C286" s="1" t="s">
        <v>217</v>
      </c>
      <c r="D286" s="1" t="str">
        <f t="shared" si="1"/>
        <v>Electronics</v>
      </c>
      <c r="E286" s="1" t="str">
        <f t="shared" si="2"/>
        <v>HomeTheater,TV&amp;Video</v>
      </c>
      <c r="F286" s="1">
        <v>215.0</v>
      </c>
      <c r="G286" s="1">
        <v>499.0</v>
      </c>
      <c r="H286" s="6">
        <f t="shared" si="3"/>
        <v>0.5691382766</v>
      </c>
      <c r="I286" s="3">
        <f>IFERROR(__xludf.DUMMYFUNCTION("GOOGLEFINANCE(""CURRENCY:INRBRL"")*F286"),13.09379779865)</f>
        <v>13.0937978</v>
      </c>
      <c r="J286" s="1">
        <v>4.5</v>
      </c>
      <c r="K286" s="1">
        <v>121.0</v>
      </c>
      <c r="L286" s="1" t="s">
        <v>1160</v>
      </c>
      <c r="M286" s="7" t="s">
        <v>1161</v>
      </c>
    </row>
    <row r="287">
      <c r="A287" s="1" t="s">
        <v>1162</v>
      </c>
      <c r="B287" s="1" t="s">
        <v>1163</v>
      </c>
      <c r="C287" s="1" t="s">
        <v>22</v>
      </c>
      <c r="D287" s="1" t="str">
        <f t="shared" si="1"/>
        <v>Computers&amp;Accessories</v>
      </c>
      <c r="E287" s="1" t="str">
        <f t="shared" si="2"/>
        <v>Accessories&amp;Peripherals</v>
      </c>
      <c r="F287" s="1">
        <v>99.0</v>
      </c>
      <c r="G287" s="1">
        <v>800.0</v>
      </c>
      <c r="H287" s="6">
        <f t="shared" si="3"/>
        <v>0.87625</v>
      </c>
      <c r="I287" s="3">
        <f>IFERROR(__xludf.DUMMYFUNCTION("GOOGLEFINANCE(""CURRENCY:INRBRL"")*F287"),6.02923712589)</f>
        <v>6.029237126</v>
      </c>
      <c r="J287" s="1">
        <v>4.52</v>
      </c>
      <c r="K287" s="1">
        <v>1075.0</v>
      </c>
      <c r="L287" s="1" t="s">
        <v>461</v>
      </c>
      <c r="M287" s="7" t="s">
        <v>1164</v>
      </c>
    </row>
    <row r="288">
      <c r="A288" s="1" t="s">
        <v>1165</v>
      </c>
      <c r="B288" s="1" t="s">
        <v>1166</v>
      </c>
      <c r="C288" s="1" t="s">
        <v>88</v>
      </c>
      <c r="D288" s="1" t="str">
        <f t="shared" si="1"/>
        <v>Electronics</v>
      </c>
      <c r="E288" s="1" t="str">
        <f t="shared" si="2"/>
        <v>HomeTheater,TV&amp;Video</v>
      </c>
      <c r="F288" s="5">
        <v>18999.0</v>
      </c>
      <c r="G288" s="5">
        <v>35000.0</v>
      </c>
      <c r="H288" s="6">
        <f t="shared" si="3"/>
        <v>0.4571714286</v>
      </c>
      <c r="I288" s="3">
        <f>IFERROR(__xludf.DUMMYFUNCTION("GOOGLEFINANCE(""CURRENCY:INRBRL"")*F288"),1157.06541570489)</f>
        <v>1157.065416</v>
      </c>
      <c r="J288" s="1">
        <v>4.0</v>
      </c>
      <c r="K288" s="1">
        <v>1001.0</v>
      </c>
      <c r="L288" s="1" t="s">
        <v>1167</v>
      </c>
      <c r="M288" s="7" t="s">
        <v>1168</v>
      </c>
    </row>
    <row r="289">
      <c r="A289" s="1" t="s">
        <v>1169</v>
      </c>
      <c r="B289" s="1" t="s">
        <v>1170</v>
      </c>
      <c r="C289" s="1" t="s">
        <v>22</v>
      </c>
      <c r="D289" s="1" t="str">
        <f t="shared" si="1"/>
        <v>Computers&amp;Accessories</v>
      </c>
      <c r="E289" s="1" t="str">
        <f t="shared" si="2"/>
        <v>Accessories&amp;Peripherals</v>
      </c>
      <c r="F289" s="1">
        <v>249.0</v>
      </c>
      <c r="G289" s="1">
        <v>999.0</v>
      </c>
      <c r="H289" s="6">
        <f t="shared" si="3"/>
        <v>0.7507507508</v>
      </c>
      <c r="I289" s="3">
        <f>IFERROR(__xludf.DUMMYFUNCTION("GOOGLEFINANCE(""CURRENCY:INRBRL"")*F289"),15.16444489239)</f>
        <v>15.16444489</v>
      </c>
      <c r="J289" s="1">
        <v>4.5</v>
      </c>
      <c r="K289" s="1">
        <v>112.0</v>
      </c>
      <c r="L289" s="1" t="s">
        <v>1171</v>
      </c>
      <c r="M289" s="7" t="s">
        <v>1172</v>
      </c>
    </row>
    <row r="290">
      <c r="A290" s="1" t="s">
        <v>1173</v>
      </c>
      <c r="B290" s="1" t="s">
        <v>1174</v>
      </c>
      <c r="C290" s="1" t="s">
        <v>238</v>
      </c>
      <c r="D290" s="1" t="str">
        <f t="shared" si="1"/>
        <v>Electronics</v>
      </c>
      <c r="E290" s="1" t="str">
        <f t="shared" si="2"/>
        <v>HomeTheater,TV&amp;Video</v>
      </c>
      <c r="F290" s="5">
        <v>7999.0</v>
      </c>
      <c r="G290" s="5">
        <v>15999.0</v>
      </c>
      <c r="H290" s="6">
        <f t="shared" si="3"/>
        <v>0.500031252</v>
      </c>
      <c r="I290" s="3">
        <f>IFERROR(__xludf.DUMMYFUNCTION("GOOGLEFINANCE(""CURRENCY:INRBRL"")*F290"),487.15017949489)</f>
        <v>487.1501795</v>
      </c>
      <c r="J290" s="1">
        <v>4.51</v>
      </c>
      <c r="K290" s="1">
        <v>3022.0</v>
      </c>
      <c r="L290" s="1" t="s">
        <v>1175</v>
      </c>
      <c r="M290" s="7" t="s">
        <v>1176</v>
      </c>
    </row>
    <row r="291">
      <c r="A291" s="1" t="s">
        <v>1177</v>
      </c>
      <c r="B291" s="1" t="s">
        <v>1178</v>
      </c>
      <c r="C291" s="1" t="s">
        <v>22</v>
      </c>
      <c r="D291" s="1" t="str">
        <f t="shared" si="1"/>
        <v>Computers&amp;Accessories</v>
      </c>
      <c r="E291" s="1" t="str">
        <f t="shared" si="2"/>
        <v>Accessories&amp;Peripherals</v>
      </c>
      <c r="F291" s="1">
        <v>649.0</v>
      </c>
      <c r="G291" s="5">
        <v>1600.0</v>
      </c>
      <c r="H291" s="6">
        <f t="shared" si="3"/>
        <v>0.594375</v>
      </c>
      <c r="I291" s="3">
        <f>IFERROR(__xludf.DUMMYFUNCTION("GOOGLEFINANCE(""CURRENCY:INRBRL"")*F291"),39.52499893639)</f>
        <v>39.52499894</v>
      </c>
      <c r="J291" s="1">
        <v>4.5</v>
      </c>
      <c r="K291" s="1">
        <v>5451.0</v>
      </c>
      <c r="L291" s="1" t="s">
        <v>1179</v>
      </c>
      <c r="M291" s="7" t="s">
        <v>1180</v>
      </c>
    </row>
    <row r="292">
      <c r="A292" s="1" t="s">
        <v>1181</v>
      </c>
      <c r="B292" s="1" t="s">
        <v>343</v>
      </c>
      <c r="C292" s="1" t="s">
        <v>217</v>
      </c>
      <c r="D292" s="1" t="str">
        <f t="shared" si="1"/>
        <v>Electronics</v>
      </c>
      <c r="E292" s="1" t="str">
        <f t="shared" si="2"/>
        <v>HomeTheater,TV&amp;Video</v>
      </c>
      <c r="F292" s="5">
        <v>1289.0</v>
      </c>
      <c r="G292" s="5">
        <v>2500.0</v>
      </c>
      <c r="H292" s="6">
        <f t="shared" si="3"/>
        <v>0.4844</v>
      </c>
      <c r="I292" s="3">
        <f>IFERROR(__xludf.DUMMYFUNCTION("GOOGLEFINANCE(""CURRENCY:INRBRL"")*F292"),78.50188540679)</f>
        <v>78.50188541</v>
      </c>
      <c r="J292" s="1">
        <v>4.5</v>
      </c>
      <c r="K292" s="1">
        <v>73.0</v>
      </c>
      <c r="L292" s="1" t="s">
        <v>1182</v>
      </c>
      <c r="M292" s="7" t="s">
        <v>1183</v>
      </c>
    </row>
    <row r="293">
      <c r="A293" s="1" t="s">
        <v>1184</v>
      </c>
      <c r="B293" s="1" t="s">
        <v>1185</v>
      </c>
      <c r="C293" s="1" t="s">
        <v>72</v>
      </c>
      <c r="D293" s="1" t="str">
        <f t="shared" si="1"/>
        <v>Electronics</v>
      </c>
      <c r="E293" s="1" t="str">
        <f t="shared" si="2"/>
        <v>HomeTheater,TV&amp;Video</v>
      </c>
      <c r="F293" s="1">
        <v>609.0</v>
      </c>
      <c r="G293" s="5">
        <v>1500.0</v>
      </c>
      <c r="H293" s="6">
        <f t="shared" si="3"/>
        <v>0.594</v>
      </c>
      <c r="I293" s="3">
        <f>IFERROR(__xludf.DUMMYFUNCTION("GOOGLEFINANCE(""CURRENCY:INRBRL"")*F293"),37.08894353199)</f>
        <v>37.08894353</v>
      </c>
      <c r="J293" s="1">
        <v>4.51</v>
      </c>
      <c r="K293" s="1">
        <v>1029.0</v>
      </c>
      <c r="L293" s="1" t="s">
        <v>1186</v>
      </c>
      <c r="M293" s="7" t="s">
        <v>1187</v>
      </c>
    </row>
    <row r="294">
      <c r="A294" s="1" t="s">
        <v>1188</v>
      </c>
      <c r="B294" s="1" t="s">
        <v>1189</v>
      </c>
      <c r="C294" s="1" t="s">
        <v>88</v>
      </c>
      <c r="D294" s="1" t="str">
        <f t="shared" si="1"/>
        <v>Electronics</v>
      </c>
      <c r="E294" s="1" t="str">
        <f t="shared" si="2"/>
        <v>HomeTheater,TV&amp;Video</v>
      </c>
      <c r="F294" s="5">
        <v>32990.0</v>
      </c>
      <c r="G294" s="5">
        <v>54990.0</v>
      </c>
      <c r="H294" s="6">
        <f t="shared" si="3"/>
        <v>0.4000727405</v>
      </c>
      <c r="I294" s="3">
        <f>IFERROR(__xludf.DUMMYFUNCTION("GOOGLEFINANCE(""CURRENCY:INRBRL"")*F294"),2009.1366947789)</f>
        <v>2009.136695</v>
      </c>
      <c r="J294" s="1">
        <v>4.49</v>
      </c>
      <c r="K294" s="1">
        <v>1555.0</v>
      </c>
      <c r="L294" s="1" t="s">
        <v>1190</v>
      </c>
      <c r="M294" s="7" t="s">
        <v>1191</v>
      </c>
    </row>
    <row r="295">
      <c r="A295" s="1" t="s">
        <v>1192</v>
      </c>
      <c r="B295" s="1" t="s">
        <v>1193</v>
      </c>
      <c r="C295" s="1" t="s">
        <v>72</v>
      </c>
      <c r="D295" s="1" t="str">
        <f t="shared" si="1"/>
        <v>Electronics</v>
      </c>
      <c r="E295" s="1" t="str">
        <f t="shared" si="2"/>
        <v>HomeTheater,TV&amp;Video</v>
      </c>
      <c r="F295" s="1">
        <v>599.0</v>
      </c>
      <c r="G295" s="5">
        <v>1999.0</v>
      </c>
      <c r="H295" s="6">
        <f t="shared" si="3"/>
        <v>0.7003501751</v>
      </c>
      <c r="I295" s="3">
        <f>IFERROR(__xludf.DUMMYFUNCTION("GOOGLEFINANCE(""CURRENCY:INRBRL"")*F295"),36.479929680889995)</f>
        <v>36.47992968</v>
      </c>
      <c r="J295" s="1">
        <v>4.5</v>
      </c>
      <c r="K295" s="1">
        <v>47.0</v>
      </c>
      <c r="L295" s="1" t="s">
        <v>1194</v>
      </c>
      <c r="M295" s="7" t="s">
        <v>1195</v>
      </c>
    </row>
    <row r="296">
      <c r="A296" s="1" t="s">
        <v>1196</v>
      </c>
      <c r="B296" s="1" t="s">
        <v>1197</v>
      </c>
      <c r="C296" s="1" t="s">
        <v>22</v>
      </c>
      <c r="D296" s="1" t="str">
        <f t="shared" si="1"/>
        <v>Computers&amp;Accessories</v>
      </c>
      <c r="E296" s="1" t="str">
        <f t="shared" si="2"/>
        <v>Accessories&amp;Peripherals</v>
      </c>
      <c r="F296" s="1">
        <v>349.0</v>
      </c>
      <c r="G296" s="1">
        <v>899.0</v>
      </c>
      <c r="H296" s="6">
        <f t="shared" si="3"/>
        <v>0.6117908788</v>
      </c>
      <c r="I296" s="3">
        <f>IFERROR(__xludf.DUMMYFUNCTION("GOOGLEFINANCE(""CURRENCY:INRBRL"")*F296"),21.25458340339)</f>
        <v>21.2545834</v>
      </c>
      <c r="J296" s="1">
        <v>4.49</v>
      </c>
      <c r="K296" s="1">
        <v>14896.0</v>
      </c>
      <c r="L296" s="1" t="s">
        <v>1198</v>
      </c>
      <c r="M296" s="7" t="s">
        <v>1199</v>
      </c>
    </row>
    <row r="297">
      <c r="A297" s="1" t="s">
        <v>1200</v>
      </c>
      <c r="B297" s="1" t="s">
        <v>1201</v>
      </c>
      <c r="C297" s="1" t="s">
        <v>88</v>
      </c>
      <c r="D297" s="1" t="str">
        <f t="shared" si="1"/>
        <v>Electronics</v>
      </c>
      <c r="E297" s="1" t="str">
        <f t="shared" si="2"/>
        <v>HomeTheater,TV&amp;Video</v>
      </c>
      <c r="F297" s="5">
        <v>29999.0</v>
      </c>
      <c r="G297" s="5">
        <v>50999.0</v>
      </c>
      <c r="H297" s="6">
        <f t="shared" si="3"/>
        <v>0.4117727799</v>
      </c>
      <c r="I297" s="3">
        <f>IFERROR(__xludf.DUMMYFUNCTION("GOOGLEFINANCE(""CURRENCY:INRBRL"")*F297"),1826.98065191489)</f>
        <v>1826.980652</v>
      </c>
      <c r="J297" s="1">
        <v>4.5</v>
      </c>
      <c r="K297" s="1">
        <v>1712.0</v>
      </c>
      <c r="L297" s="1" t="s">
        <v>1202</v>
      </c>
      <c r="M297" s="7" t="s">
        <v>1203</v>
      </c>
    </row>
    <row r="298">
      <c r="A298" s="1" t="s">
        <v>1204</v>
      </c>
      <c r="B298" s="1" t="s">
        <v>994</v>
      </c>
      <c r="C298" s="1" t="s">
        <v>217</v>
      </c>
      <c r="D298" s="1" t="str">
        <f t="shared" si="1"/>
        <v>Electronics</v>
      </c>
      <c r="E298" s="1" t="str">
        <f t="shared" si="2"/>
        <v>HomeTheater,TV&amp;Video</v>
      </c>
      <c r="F298" s="1">
        <v>199.0</v>
      </c>
      <c r="G298" s="1">
        <v>399.0</v>
      </c>
      <c r="H298" s="6">
        <f t="shared" si="3"/>
        <v>0.5012531328</v>
      </c>
      <c r="I298" s="3">
        <f>IFERROR(__xludf.DUMMYFUNCTION("GOOGLEFINANCE(""CURRENCY:INRBRL"")*F298"),12.11937563689)</f>
        <v>12.11937564</v>
      </c>
      <c r="J298" s="1">
        <v>4.5</v>
      </c>
      <c r="K298" s="1">
        <v>1335.0</v>
      </c>
      <c r="L298" s="1" t="s">
        <v>995</v>
      </c>
      <c r="M298" s="7" t="s">
        <v>1205</v>
      </c>
    </row>
    <row r="299">
      <c r="A299" s="1" t="s">
        <v>1206</v>
      </c>
      <c r="B299" s="1" t="s">
        <v>1207</v>
      </c>
      <c r="C299" s="1" t="s">
        <v>217</v>
      </c>
      <c r="D299" s="1" t="str">
        <f t="shared" si="1"/>
        <v>Electronics</v>
      </c>
      <c r="E299" s="1" t="str">
        <f t="shared" si="2"/>
        <v>HomeTheater,TV&amp;Video</v>
      </c>
      <c r="F299" s="1">
        <v>349.0</v>
      </c>
      <c r="G299" s="1">
        <v>699.0</v>
      </c>
      <c r="H299" s="6">
        <f t="shared" si="3"/>
        <v>0.5007153076</v>
      </c>
      <c r="I299" s="3">
        <f>IFERROR(__xludf.DUMMYFUNCTION("GOOGLEFINANCE(""CURRENCY:INRBRL"")*F299"),21.25458340339)</f>
        <v>21.2545834</v>
      </c>
      <c r="J299" s="1">
        <v>4.52</v>
      </c>
      <c r="K299" s="1">
        <v>214.0</v>
      </c>
      <c r="L299" s="1" t="s">
        <v>1208</v>
      </c>
      <c r="M299" s="7" t="s">
        <v>1209</v>
      </c>
    </row>
    <row r="300">
      <c r="A300" s="1" t="s">
        <v>1210</v>
      </c>
      <c r="B300" s="1" t="s">
        <v>1211</v>
      </c>
      <c r="C300" s="1" t="s">
        <v>299</v>
      </c>
      <c r="D300" s="1" t="str">
        <f t="shared" si="1"/>
        <v>Electronics</v>
      </c>
      <c r="E300" s="1" t="str">
        <f t="shared" si="2"/>
        <v>HomeTheater,TV&amp;Video</v>
      </c>
      <c r="F300" s="5">
        <v>1850.0</v>
      </c>
      <c r="G300" s="5">
        <v>4500.0</v>
      </c>
      <c r="H300" s="6">
        <f t="shared" si="3"/>
        <v>0.5888888889</v>
      </c>
      <c r="I300" s="3">
        <f>IFERROR(__xludf.DUMMYFUNCTION("GOOGLEFINANCE(""CURRENCY:INRBRL"")*F300"),112.6675624535)</f>
        <v>112.6675625</v>
      </c>
      <c r="J300" s="1">
        <v>4.0</v>
      </c>
      <c r="K300" s="1">
        <v>184.0</v>
      </c>
      <c r="L300" s="1" t="s">
        <v>1212</v>
      </c>
      <c r="M300" s="7" t="s">
        <v>1213</v>
      </c>
    </row>
    <row r="301">
      <c r="A301" s="1" t="s">
        <v>1214</v>
      </c>
      <c r="B301" s="1" t="s">
        <v>1215</v>
      </c>
      <c r="C301" s="1" t="s">
        <v>654</v>
      </c>
      <c r="D301" s="1" t="str">
        <f t="shared" si="1"/>
        <v>Electronics</v>
      </c>
      <c r="E301" s="1" t="str">
        <f t="shared" si="2"/>
        <v>HomeTheater,TV&amp;Video</v>
      </c>
      <c r="F301" s="5">
        <v>13990.0</v>
      </c>
      <c r="G301" s="5">
        <v>28900.0</v>
      </c>
      <c r="H301" s="6">
        <f t="shared" si="3"/>
        <v>0.515916955</v>
      </c>
      <c r="I301" s="3">
        <f>IFERROR(__xludf.DUMMYFUNCTION("GOOGLEFINANCE(""CURRENCY:INRBRL"")*F301"),852.0103776889)</f>
        <v>852.0103777</v>
      </c>
      <c r="J301" s="1">
        <v>4.51</v>
      </c>
      <c r="K301" s="1">
        <v>7.0</v>
      </c>
      <c r="L301" s="1" t="s">
        <v>1216</v>
      </c>
      <c r="M301" s="7" t="s">
        <v>1217</v>
      </c>
    </row>
    <row r="302">
      <c r="A302" s="1" t="s">
        <v>1218</v>
      </c>
      <c r="B302" s="1" t="s">
        <v>1219</v>
      </c>
      <c r="C302" s="1" t="s">
        <v>22</v>
      </c>
      <c r="D302" s="1" t="str">
        <f t="shared" si="1"/>
        <v>Computers&amp;Accessories</v>
      </c>
      <c r="E302" s="1" t="str">
        <f t="shared" si="2"/>
        <v>Accessories&amp;Peripherals</v>
      </c>
      <c r="F302" s="1">
        <v>129.0</v>
      </c>
      <c r="G302" s="1">
        <v>449.0</v>
      </c>
      <c r="H302" s="6">
        <f t="shared" si="3"/>
        <v>0.7126948775</v>
      </c>
      <c r="I302" s="3">
        <f>IFERROR(__xludf.DUMMYFUNCTION("GOOGLEFINANCE(""CURRENCY:INRBRL"")*F302"),7.85627867919)</f>
        <v>7.856278679</v>
      </c>
      <c r="J302" s="1">
        <v>4.51</v>
      </c>
      <c r="K302" s="1">
        <v>41.0</v>
      </c>
      <c r="L302" s="1" t="s">
        <v>1220</v>
      </c>
      <c r="M302" s="7" t="s">
        <v>1221</v>
      </c>
    </row>
    <row r="303">
      <c r="A303" s="1" t="s">
        <v>1222</v>
      </c>
      <c r="B303" s="1" t="s">
        <v>1223</v>
      </c>
      <c r="C303" s="1" t="s">
        <v>72</v>
      </c>
      <c r="D303" s="1" t="str">
        <f t="shared" si="1"/>
        <v>Electronics</v>
      </c>
      <c r="E303" s="1" t="str">
        <f t="shared" si="2"/>
        <v>HomeTheater,TV&amp;Video</v>
      </c>
      <c r="F303" s="1">
        <v>379.0</v>
      </c>
      <c r="G303" s="1">
        <v>999.0</v>
      </c>
      <c r="H303" s="6">
        <f t="shared" si="3"/>
        <v>0.6206206206</v>
      </c>
      <c r="I303" s="3">
        <f>IFERROR(__xludf.DUMMYFUNCTION("GOOGLEFINANCE(""CURRENCY:INRBRL"")*F303"),23.08162495669)</f>
        <v>23.08162496</v>
      </c>
      <c r="J303" s="1">
        <v>4.5</v>
      </c>
      <c r="K303" s="1">
        <v>12153.0</v>
      </c>
      <c r="L303" s="1" t="s">
        <v>1224</v>
      </c>
      <c r="M303" s="7" t="s">
        <v>1225</v>
      </c>
    </row>
    <row r="304">
      <c r="A304" s="1" t="s">
        <v>1226</v>
      </c>
      <c r="B304" s="1" t="s">
        <v>1227</v>
      </c>
      <c r="C304" s="1" t="s">
        <v>72</v>
      </c>
      <c r="D304" s="1" t="str">
        <f t="shared" si="1"/>
        <v>Electronics</v>
      </c>
      <c r="E304" s="1" t="str">
        <f t="shared" si="2"/>
        <v>HomeTheater,TV&amp;Video</v>
      </c>
      <c r="F304" s="1">
        <v>185.0</v>
      </c>
      <c r="G304" s="1">
        <v>499.0</v>
      </c>
      <c r="H304" s="6">
        <f t="shared" si="3"/>
        <v>0.629258517</v>
      </c>
      <c r="I304" s="3">
        <f>IFERROR(__xludf.DUMMYFUNCTION("GOOGLEFINANCE(""CURRENCY:INRBRL"")*F304"),11.266756245349999)</f>
        <v>11.26675625</v>
      </c>
      <c r="J304" s="1">
        <v>4.5</v>
      </c>
      <c r="K304" s="1">
        <v>25.0</v>
      </c>
      <c r="L304" s="1" t="s">
        <v>1228</v>
      </c>
      <c r="M304" s="7" t="s">
        <v>1229</v>
      </c>
    </row>
    <row r="305">
      <c r="A305" s="1" t="s">
        <v>1230</v>
      </c>
      <c r="B305" s="1" t="s">
        <v>1231</v>
      </c>
      <c r="C305" s="1" t="s">
        <v>55</v>
      </c>
      <c r="D305" s="1" t="str">
        <f t="shared" si="1"/>
        <v>Computers&amp;Accessories</v>
      </c>
      <c r="E305" s="1" t="str">
        <f t="shared" si="2"/>
        <v>NetworkingDevices</v>
      </c>
      <c r="F305" s="1">
        <v>218.0</v>
      </c>
      <c r="G305" s="1">
        <v>999.0</v>
      </c>
      <c r="H305" s="6">
        <f t="shared" si="3"/>
        <v>0.7817817818</v>
      </c>
      <c r="I305" s="3">
        <f>IFERROR(__xludf.DUMMYFUNCTION("GOOGLEFINANCE(""CURRENCY:INRBRL"")*F305"),13.276501953979999)</f>
        <v>13.27650195</v>
      </c>
      <c r="J305" s="1">
        <v>4.5</v>
      </c>
      <c r="K305" s="1">
        <v>163.0</v>
      </c>
      <c r="L305" s="1" t="s">
        <v>1232</v>
      </c>
      <c r="M305" s="7" t="s">
        <v>1233</v>
      </c>
    </row>
    <row r="306">
      <c r="A306" s="1" t="s">
        <v>1234</v>
      </c>
      <c r="B306" s="1" t="s">
        <v>1235</v>
      </c>
      <c r="C306" s="1" t="s">
        <v>22</v>
      </c>
      <c r="D306" s="1" t="str">
        <f t="shared" si="1"/>
        <v>Computers&amp;Accessories</v>
      </c>
      <c r="E306" s="1" t="str">
        <f t="shared" si="2"/>
        <v>Accessories&amp;Peripherals</v>
      </c>
      <c r="F306" s="1">
        <v>199.0</v>
      </c>
      <c r="G306" s="1">
        <v>999.0</v>
      </c>
      <c r="H306" s="6">
        <f t="shared" si="3"/>
        <v>0.8008008008</v>
      </c>
      <c r="I306" s="3">
        <f>IFERROR(__xludf.DUMMYFUNCTION("GOOGLEFINANCE(""CURRENCY:INRBRL"")*F306"),12.11937563689)</f>
        <v>12.11937564</v>
      </c>
      <c r="J306" s="1">
        <v>4.5</v>
      </c>
      <c r="K306" s="1">
        <v>87.0</v>
      </c>
      <c r="L306" s="1" t="s">
        <v>1236</v>
      </c>
      <c r="M306" s="7" t="s">
        <v>1237</v>
      </c>
    </row>
    <row r="307">
      <c r="A307" s="1" t="s">
        <v>1238</v>
      </c>
      <c r="B307" s="1" t="s">
        <v>1239</v>
      </c>
      <c r="C307" s="1" t="s">
        <v>72</v>
      </c>
      <c r="D307" s="1" t="str">
        <f t="shared" si="1"/>
        <v>Electronics</v>
      </c>
      <c r="E307" s="1" t="str">
        <f t="shared" si="2"/>
        <v>HomeTheater,TV&amp;Video</v>
      </c>
      <c r="F307" s="1">
        <v>499.0</v>
      </c>
      <c r="G307" s="1">
        <v>900.0</v>
      </c>
      <c r="H307" s="6">
        <f t="shared" si="3"/>
        <v>0.4455555556</v>
      </c>
      <c r="I307" s="3">
        <f>IFERROR(__xludf.DUMMYFUNCTION("GOOGLEFINANCE(""CURRENCY:INRBRL"")*F307"),30.38979116989)</f>
        <v>30.38979117</v>
      </c>
      <c r="J307" s="1">
        <v>4.5</v>
      </c>
      <c r="K307" s="1">
        <v>2165.0</v>
      </c>
      <c r="L307" s="1" t="s">
        <v>1240</v>
      </c>
      <c r="M307" s="7" t="s">
        <v>1241</v>
      </c>
    </row>
    <row r="308">
      <c r="A308" s="1" t="s">
        <v>1242</v>
      </c>
      <c r="B308" s="1" t="s">
        <v>1243</v>
      </c>
      <c r="C308" s="1" t="s">
        <v>88</v>
      </c>
      <c r="D308" s="1" t="str">
        <f t="shared" si="1"/>
        <v>Electronics</v>
      </c>
      <c r="E308" s="1" t="str">
        <f t="shared" si="2"/>
        <v>HomeTheater,TV&amp;Video</v>
      </c>
      <c r="F308" s="5">
        <v>26999.0</v>
      </c>
      <c r="G308" s="5">
        <v>42999.0</v>
      </c>
      <c r="H308" s="6">
        <f t="shared" si="3"/>
        <v>0.3721016768</v>
      </c>
      <c r="I308" s="3">
        <f>IFERROR(__xludf.DUMMYFUNCTION("GOOGLEFINANCE(""CURRENCY:INRBRL"")*F308"),1644.2764965848899)</f>
        <v>1644.276497</v>
      </c>
      <c r="J308" s="1">
        <v>4.5</v>
      </c>
      <c r="K308" s="1">
        <v>151.0</v>
      </c>
      <c r="L308" s="1" t="s">
        <v>1244</v>
      </c>
      <c r="M308" s="7" t="s">
        <v>1245</v>
      </c>
    </row>
    <row r="309">
      <c r="A309" s="1" t="s">
        <v>1246</v>
      </c>
      <c r="B309" s="1" t="s">
        <v>1247</v>
      </c>
      <c r="C309" s="1" t="s">
        <v>299</v>
      </c>
      <c r="D309" s="1" t="str">
        <f t="shared" si="1"/>
        <v>Electronics</v>
      </c>
      <c r="E309" s="1" t="str">
        <f t="shared" si="2"/>
        <v>HomeTheater,TV&amp;Video</v>
      </c>
      <c r="F309" s="1">
        <v>893.0</v>
      </c>
      <c r="G309" s="5">
        <v>1052.0</v>
      </c>
      <c r="H309" s="6">
        <f t="shared" si="3"/>
        <v>0.1511406844</v>
      </c>
      <c r="I309" s="3">
        <f>IFERROR(__xludf.DUMMYFUNCTION("GOOGLEFINANCE(""CURRENCY:INRBRL"")*F309"),54.38493690323)</f>
        <v>54.3849369</v>
      </c>
      <c r="J309" s="1">
        <v>4.5</v>
      </c>
      <c r="K309" s="1">
        <v>106.0</v>
      </c>
      <c r="L309" s="1" t="s">
        <v>1248</v>
      </c>
      <c r="M309" s="7" t="s">
        <v>1249</v>
      </c>
    </row>
    <row r="310">
      <c r="A310" s="1" t="s">
        <v>1250</v>
      </c>
      <c r="B310" s="1" t="s">
        <v>1251</v>
      </c>
      <c r="C310" s="1" t="s">
        <v>88</v>
      </c>
      <c r="D310" s="1" t="str">
        <f t="shared" si="1"/>
        <v>Electronics</v>
      </c>
      <c r="E310" s="1" t="str">
        <f t="shared" si="2"/>
        <v>HomeTheater,TV&amp;Video</v>
      </c>
      <c r="F310" s="5">
        <v>10990.0</v>
      </c>
      <c r="G310" s="5">
        <v>19990.0</v>
      </c>
      <c r="H310" s="6">
        <f t="shared" si="3"/>
        <v>0.4502251126</v>
      </c>
      <c r="I310" s="3">
        <f>IFERROR(__xludf.DUMMYFUNCTION("GOOGLEFINANCE(""CURRENCY:INRBRL"")*F310"),669.3062223589)</f>
        <v>669.3062224</v>
      </c>
      <c r="J310" s="1">
        <v>4.51</v>
      </c>
      <c r="K310" s="1">
        <v>129.0</v>
      </c>
      <c r="L310" s="1" t="s">
        <v>1252</v>
      </c>
      <c r="M310" s="7" t="s">
        <v>1253</v>
      </c>
    </row>
    <row r="311">
      <c r="A311" s="1" t="s">
        <v>1254</v>
      </c>
      <c r="B311" s="1" t="s">
        <v>1255</v>
      </c>
      <c r="C311" s="1" t="s">
        <v>22</v>
      </c>
      <c r="D311" s="1" t="str">
        <f t="shared" si="1"/>
        <v>Computers&amp;Accessories</v>
      </c>
      <c r="E311" s="1" t="str">
        <f t="shared" si="2"/>
        <v>Accessories&amp;Peripherals</v>
      </c>
      <c r="F311" s="1">
        <v>379.0</v>
      </c>
      <c r="G311" s="5">
        <v>1099.0</v>
      </c>
      <c r="H311" s="6">
        <f t="shared" si="3"/>
        <v>0.6551410373</v>
      </c>
      <c r="I311" s="3">
        <f>IFERROR(__xludf.DUMMYFUNCTION("GOOGLEFINANCE(""CURRENCY:INRBRL"")*F311"),23.08162495669)</f>
        <v>23.08162496</v>
      </c>
      <c r="J311" s="1">
        <v>4.5</v>
      </c>
      <c r="K311" s="1">
        <v>3049.0</v>
      </c>
      <c r="L311" s="1" t="s">
        <v>1256</v>
      </c>
      <c r="M311" s="7" t="s">
        <v>1257</v>
      </c>
    </row>
    <row r="312">
      <c r="A312" s="1" t="s">
        <v>1258</v>
      </c>
      <c r="B312" s="1" t="s">
        <v>1259</v>
      </c>
      <c r="C312" s="1" t="s">
        <v>88</v>
      </c>
      <c r="D312" s="1" t="str">
        <f t="shared" si="1"/>
        <v>Electronics</v>
      </c>
      <c r="E312" s="1" t="str">
        <f t="shared" si="2"/>
        <v>HomeTheater,TV&amp;Video</v>
      </c>
      <c r="F312" s="5">
        <v>16999.0</v>
      </c>
      <c r="G312" s="5">
        <v>25999.0</v>
      </c>
      <c r="H312" s="6">
        <f t="shared" si="3"/>
        <v>0.3461671603</v>
      </c>
      <c r="I312" s="3">
        <f>IFERROR(__xludf.DUMMYFUNCTION("GOOGLEFINANCE(""CURRENCY:INRBRL"")*F312"),1035.2626454848898)</f>
        <v>1035.262645</v>
      </c>
      <c r="J312" s="1">
        <v>4.5</v>
      </c>
      <c r="K312" s="1">
        <v>3284.0</v>
      </c>
      <c r="L312" s="1" t="s">
        <v>1260</v>
      </c>
      <c r="M312" s="7" t="s">
        <v>1261</v>
      </c>
    </row>
    <row r="313">
      <c r="A313" s="1" t="s">
        <v>1262</v>
      </c>
      <c r="B313" s="1" t="s">
        <v>1263</v>
      </c>
      <c r="C313" s="1" t="s">
        <v>72</v>
      </c>
      <c r="D313" s="1" t="str">
        <f t="shared" si="1"/>
        <v>Electronics</v>
      </c>
      <c r="E313" s="1" t="str">
        <f t="shared" si="2"/>
        <v>HomeTheater,TV&amp;Video</v>
      </c>
      <c r="F313" s="1">
        <v>699.0</v>
      </c>
      <c r="G313" s="5">
        <v>1899.0</v>
      </c>
      <c r="H313" s="6">
        <f t="shared" si="3"/>
        <v>0.6319115324</v>
      </c>
      <c r="I313" s="3">
        <f>IFERROR(__xludf.DUMMYFUNCTION("GOOGLEFINANCE(""CURRENCY:INRBRL"")*F313"),42.57006819189)</f>
        <v>42.57006819</v>
      </c>
      <c r="J313" s="1">
        <v>4.5</v>
      </c>
      <c r="K313" s="1">
        <v>390.0</v>
      </c>
      <c r="L313" s="1" t="s">
        <v>1264</v>
      </c>
      <c r="M313" s="7" t="s">
        <v>1265</v>
      </c>
    </row>
    <row r="314">
      <c r="A314" s="1" t="s">
        <v>1266</v>
      </c>
      <c r="B314" s="1" t="s">
        <v>1267</v>
      </c>
      <c r="C314" s="1" t="s">
        <v>1268</v>
      </c>
      <c r="D314" s="1" t="str">
        <f t="shared" si="1"/>
        <v>Electronics</v>
      </c>
      <c r="E314" s="1" t="str">
        <f t="shared" si="2"/>
        <v>HomeTheater,TV&amp;Video</v>
      </c>
      <c r="F314" s="5">
        <v>2699.0</v>
      </c>
      <c r="G314" s="5">
        <v>3500.0</v>
      </c>
      <c r="H314" s="6">
        <f t="shared" si="3"/>
        <v>0.2288571429</v>
      </c>
      <c r="I314" s="3">
        <f>IFERROR(__xludf.DUMMYFUNCTION("GOOGLEFINANCE(""CURRENCY:INRBRL"")*F314"),164.37283841189)</f>
        <v>164.3728384</v>
      </c>
      <c r="J314" s="1">
        <v>4.5</v>
      </c>
      <c r="K314" s="1">
        <v>621.0</v>
      </c>
      <c r="L314" s="1" t="s">
        <v>1269</v>
      </c>
      <c r="M314" s="7" t="s">
        <v>1270</v>
      </c>
    </row>
    <row r="315">
      <c r="A315" s="1" t="s">
        <v>1271</v>
      </c>
      <c r="B315" s="1" t="s">
        <v>1272</v>
      </c>
      <c r="C315" s="1" t="s">
        <v>22</v>
      </c>
      <c r="D315" s="1" t="str">
        <f t="shared" si="1"/>
        <v>Computers&amp;Accessories</v>
      </c>
      <c r="E315" s="1" t="str">
        <f t="shared" si="2"/>
        <v>Accessories&amp;Peripherals</v>
      </c>
      <c r="F315" s="1">
        <v>129.0</v>
      </c>
      <c r="G315" s="1">
        <v>599.0</v>
      </c>
      <c r="H315" s="6">
        <f t="shared" si="3"/>
        <v>0.7846410684</v>
      </c>
      <c r="I315" s="3">
        <f>IFERROR(__xludf.DUMMYFUNCTION("GOOGLEFINANCE(""CURRENCY:INRBRL"")*F315"),7.85627867919)</f>
        <v>7.856278679</v>
      </c>
      <c r="J315" s="1">
        <v>4.49</v>
      </c>
      <c r="K315" s="1">
        <v>265.0</v>
      </c>
      <c r="L315" s="1" t="s">
        <v>1273</v>
      </c>
      <c r="M315" s="7" t="s">
        <v>1274</v>
      </c>
    </row>
    <row r="316">
      <c r="A316" s="1" t="s">
        <v>1275</v>
      </c>
      <c r="B316" s="1" t="s">
        <v>1276</v>
      </c>
      <c r="C316" s="1" t="s">
        <v>22</v>
      </c>
      <c r="D316" s="1" t="str">
        <f t="shared" si="1"/>
        <v>Computers&amp;Accessories</v>
      </c>
      <c r="E316" s="1" t="str">
        <f t="shared" si="2"/>
        <v>Accessories&amp;Peripherals</v>
      </c>
      <c r="F316" s="1">
        <v>389.0</v>
      </c>
      <c r="G316" s="1">
        <v>999.0</v>
      </c>
      <c r="H316" s="6">
        <f t="shared" si="3"/>
        <v>0.6106106106</v>
      </c>
      <c r="I316" s="3">
        <f>IFERROR(__xludf.DUMMYFUNCTION("GOOGLEFINANCE(""CURRENCY:INRBRL"")*F316"),23.69063880779)</f>
        <v>23.69063881</v>
      </c>
      <c r="J316" s="1">
        <v>4.5</v>
      </c>
      <c r="K316" s="1">
        <v>838.0</v>
      </c>
      <c r="L316" s="1" t="s">
        <v>1277</v>
      </c>
      <c r="M316" s="7" t="s">
        <v>1278</v>
      </c>
    </row>
    <row r="317">
      <c r="A317" s="1" t="s">
        <v>1279</v>
      </c>
      <c r="B317" s="1" t="s">
        <v>1280</v>
      </c>
      <c r="C317" s="1" t="s">
        <v>217</v>
      </c>
      <c r="D317" s="1" t="str">
        <f t="shared" si="1"/>
        <v>Electronics</v>
      </c>
      <c r="E317" s="1" t="str">
        <f t="shared" si="2"/>
        <v>HomeTheater,TV&amp;Video</v>
      </c>
      <c r="F317" s="1">
        <v>246.0</v>
      </c>
      <c r="G317" s="1">
        <v>600.0</v>
      </c>
      <c r="H317" s="6">
        <f t="shared" si="3"/>
        <v>0.59</v>
      </c>
      <c r="I317" s="3">
        <f>IFERROR(__xludf.DUMMYFUNCTION("GOOGLEFINANCE(""CURRENCY:INRBRL"")*F317"),14.981740737059999)</f>
        <v>14.98174074</v>
      </c>
      <c r="J317" s="1">
        <v>4.5</v>
      </c>
      <c r="K317" s="1">
        <v>143.0</v>
      </c>
      <c r="L317" s="1" t="s">
        <v>1281</v>
      </c>
      <c r="M317" s="7" t="s">
        <v>1282</v>
      </c>
    </row>
    <row r="318">
      <c r="A318" s="1" t="s">
        <v>1283</v>
      </c>
      <c r="B318" s="1" t="s">
        <v>1284</v>
      </c>
      <c r="C318" s="1" t="s">
        <v>22</v>
      </c>
      <c r="D318" s="1" t="str">
        <f t="shared" si="1"/>
        <v>Computers&amp;Accessories</v>
      </c>
      <c r="E318" s="1" t="str">
        <f t="shared" si="2"/>
        <v>Accessories&amp;Peripherals</v>
      </c>
      <c r="F318" s="1">
        <v>299.0</v>
      </c>
      <c r="G318" s="1">
        <v>799.0</v>
      </c>
      <c r="H318" s="6">
        <f t="shared" si="3"/>
        <v>0.6257822278</v>
      </c>
      <c r="I318" s="3">
        <f>IFERROR(__xludf.DUMMYFUNCTION("GOOGLEFINANCE(""CURRENCY:INRBRL"")*F318"),18.209514147889998)</f>
        <v>18.20951415</v>
      </c>
      <c r="J318" s="1">
        <v>4.0</v>
      </c>
      <c r="K318" s="1">
        <v>151.0</v>
      </c>
      <c r="L318" s="1" t="s">
        <v>1285</v>
      </c>
      <c r="M318" s="7" t="s">
        <v>1286</v>
      </c>
    </row>
    <row r="319">
      <c r="A319" s="1" t="s">
        <v>1287</v>
      </c>
      <c r="B319" s="1" t="s">
        <v>1288</v>
      </c>
      <c r="C319" s="1" t="s">
        <v>217</v>
      </c>
      <c r="D319" s="1" t="str">
        <f t="shared" si="1"/>
        <v>Electronics</v>
      </c>
      <c r="E319" s="1" t="str">
        <f t="shared" si="2"/>
        <v>HomeTheater,TV&amp;Video</v>
      </c>
      <c r="F319" s="1">
        <v>247.0</v>
      </c>
      <c r="G319" s="1">
        <v>399.0</v>
      </c>
      <c r="H319" s="6">
        <f t="shared" si="3"/>
        <v>0.380952381</v>
      </c>
      <c r="I319" s="3">
        <f>IFERROR(__xludf.DUMMYFUNCTION("GOOGLEFINANCE(""CURRENCY:INRBRL"")*F319"),15.04264212217)</f>
        <v>15.04264212</v>
      </c>
      <c r="J319" s="1">
        <v>4.52</v>
      </c>
      <c r="K319" s="1">
        <v>200.0</v>
      </c>
      <c r="L319" s="1" t="s">
        <v>1289</v>
      </c>
      <c r="M319" s="7" t="s">
        <v>1290</v>
      </c>
    </row>
    <row r="320">
      <c r="A320" s="1" t="s">
        <v>1291</v>
      </c>
      <c r="B320" s="1" t="s">
        <v>1292</v>
      </c>
      <c r="C320" s="1" t="s">
        <v>217</v>
      </c>
      <c r="D320" s="1" t="str">
        <f t="shared" si="1"/>
        <v>Electronics</v>
      </c>
      <c r="E320" s="1" t="str">
        <f t="shared" si="2"/>
        <v>HomeTheater,TV&amp;Video</v>
      </c>
      <c r="F320" s="5">
        <v>1369.0</v>
      </c>
      <c r="G320" s="5">
        <v>2999.0</v>
      </c>
      <c r="H320" s="6">
        <f t="shared" si="3"/>
        <v>0.5435145048</v>
      </c>
      <c r="I320" s="3">
        <f>IFERROR(__xludf.DUMMYFUNCTION("GOOGLEFINANCE(""CURRENCY:INRBRL"")*F320"),83.37399621559)</f>
        <v>83.37399622</v>
      </c>
      <c r="J320" s="1">
        <v>4.5</v>
      </c>
      <c r="K320" s="1">
        <v>227.0</v>
      </c>
      <c r="L320" s="1" t="s">
        <v>1293</v>
      </c>
      <c r="M320" s="7" t="s">
        <v>1294</v>
      </c>
    </row>
    <row r="321">
      <c r="A321" s="1" t="s">
        <v>1295</v>
      </c>
      <c r="B321" s="1" t="s">
        <v>1296</v>
      </c>
      <c r="C321" s="1" t="s">
        <v>217</v>
      </c>
      <c r="D321" s="1" t="str">
        <f t="shared" si="1"/>
        <v>Electronics</v>
      </c>
      <c r="E321" s="1" t="str">
        <f t="shared" si="2"/>
        <v>HomeTheater,TV&amp;Video</v>
      </c>
      <c r="F321" s="1">
        <v>199.0</v>
      </c>
      <c r="G321" s="1">
        <v>499.0</v>
      </c>
      <c r="H321" s="6">
        <f t="shared" si="3"/>
        <v>0.6012024048</v>
      </c>
      <c r="I321" s="3">
        <f>IFERROR(__xludf.DUMMYFUNCTION("GOOGLEFINANCE(""CURRENCY:INRBRL"")*F321"),12.11937563689)</f>
        <v>12.11937564</v>
      </c>
      <c r="J321" s="1">
        <v>4.51</v>
      </c>
      <c r="K321" s="1">
        <v>538.0</v>
      </c>
      <c r="L321" s="1" t="s">
        <v>1297</v>
      </c>
      <c r="M321" s="7" t="s">
        <v>1298</v>
      </c>
    </row>
    <row r="322">
      <c r="A322" s="1" t="s">
        <v>1299</v>
      </c>
      <c r="B322" s="1" t="s">
        <v>1300</v>
      </c>
      <c r="C322" s="1" t="s">
        <v>72</v>
      </c>
      <c r="D322" s="1" t="str">
        <f t="shared" si="1"/>
        <v>Electronics</v>
      </c>
      <c r="E322" s="1" t="str">
        <f t="shared" si="2"/>
        <v>HomeTheater,TV&amp;Video</v>
      </c>
      <c r="F322" s="1">
        <v>299.0</v>
      </c>
      <c r="G322" s="1">
        <v>599.0</v>
      </c>
      <c r="H322" s="6">
        <f t="shared" si="3"/>
        <v>0.5008347245</v>
      </c>
      <c r="I322" s="3">
        <f>IFERROR(__xludf.DUMMYFUNCTION("GOOGLEFINANCE(""CURRENCY:INRBRL"")*F322"),18.209514147889998)</f>
        <v>18.20951415</v>
      </c>
      <c r="J322" s="1">
        <v>4.0</v>
      </c>
      <c r="K322" s="1">
        <v>171.0</v>
      </c>
      <c r="L322" s="1" t="s">
        <v>1301</v>
      </c>
      <c r="M322" s="7" t="s">
        <v>1302</v>
      </c>
    </row>
    <row r="323">
      <c r="A323" s="1" t="s">
        <v>1303</v>
      </c>
      <c r="B323" s="1" t="s">
        <v>1304</v>
      </c>
      <c r="C323" s="1" t="s">
        <v>88</v>
      </c>
      <c r="D323" s="1" t="str">
        <f t="shared" si="1"/>
        <v>Electronics</v>
      </c>
      <c r="E323" s="1" t="str">
        <f t="shared" si="2"/>
        <v>HomeTheater,TV&amp;Video</v>
      </c>
      <c r="F323" s="5">
        <v>14999.0</v>
      </c>
      <c r="G323" s="5">
        <v>14999.0</v>
      </c>
      <c r="H323" s="6">
        <f t="shared" si="3"/>
        <v>0</v>
      </c>
      <c r="I323" s="3">
        <f>IFERROR(__xludf.DUMMYFUNCTION("GOOGLEFINANCE(""CURRENCY:INRBRL"")*F323"),913.45987526489)</f>
        <v>913.4598753</v>
      </c>
      <c r="J323" s="1">
        <v>4.5</v>
      </c>
      <c r="K323" s="1">
        <v>27508.0</v>
      </c>
      <c r="L323" s="1" t="s">
        <v>1305</v>
      </c>
      <c r="M323" s="7" t="s">
        <v>1306</v>
      </c>
    </row>
    <row r="324">
      <c r="A324" s="1" t="s">
        <v>1307</v>
      </c>
      <c r="B324" s="1" t="s">
        <v>1308</v>
      </c>
      <c r="C324" s="1" t="s">
        <v>22</v>
      </c>
      <c r="D324" s="1" t="str">
        <f t="shared" si="1"/>
        <v>Computers&amp;Accessories</v>
      </c>
      <c r="E324" s="1" t="str">
        <f t="shared" si="2"/>
        <v>Accessories&amp;Peripherals</v>
      </c>
      <c r="F324" s="1">
        <v>299.0</v>
      </c>
      <c r="G324" s="1">
        <v>699.0</v>
      </c>
      <c r="H324" s="6">
        <f t="shared" si="3"/>
        <v>0.5722460658</v>
      </c>
      <c r="I324" s="3">
        <f>IFERROR(__xludf.DUMMYFUNCTION("GOOGLEFINANCE(""CURRENCY:INRBRL"")*F324"),18.209514147889998)</f>
        <v>18.20951415</v>
      </c>
      <c r="J324" s="1">
        <v>4.52</v>
      </c>
      <c r="K324" s="1">
        <v>1454.0</v>
      </c>
      <c r="L324" s="1" t="s">
        <v>1309</v>
      </c>
      <c r="M324" s="7" t="s">
        <v>1310</v>
      </c>
    </row>
    <row r="325">
      <c r="A325" s="1" t="s">
        <v>1311</v>
      </c>
      <c r="B325" s="1" t="s">
        <v>1312</v>
      </c>
      <c r="C325" s="1" t="s">
        <v>88</v>
      </c>
      <c r="D325" s="1" t="str">
        <f t="shared" si="1"/>
        <v>Electronics</v>
      </c>
      <c r="E325" s="1" t="str">
        <f t="shared" si="2"/>
        <v>HomeTheater,TV&amp;Video</v>
      </c>
      <c r="F325" s="5">
        <v>24990.0</v>
      </c>
      <c r="G325" s="5">
        <v>51990.0</v>
      </c>
      <c r="H325" s="6">
        <f t="shared" si="3"/>
        <v>0.5193306405</v>
      </c>
      <c r="I325" s="3">
        <f>IFERROR(__xludf.DUMMYFUNCTION("GOOGLEFINANCE(""CURRENCY:INRBRL"")*F325"),1521.9256138988999)</f>
        <v>1521.925614</v>
      </c>
      <c r="J325" s="1">
        <v>4.5</v>
      </c>
      <c r="K325" s="1">
        <v>2951.0</v>
      </c>
      <c r="L325" s="1" t="s">
        <v>1313</v>
      </c>
      <c r="M325" s="7" t="s">
        <v>1314</v>
      </c>
    </row>
    <row r="326">
      <c r="A326" s="1" t="s">
        <v>1315</v>
      </c>
      <c r="B326" s="1" t="s">
        <v>1316</v>
      </c>
      <c r="C326" s="1" t="s">
        <v>22</v>
      </c>
      <c r="D326" s="1" t="str">
        <f t="shared" si="1"/>
        <v>Computers&amp;Accessories</v>
      </c>
      <c r="E326" s="1" t="str">
        <f t="shared" si="2"/>
        <v>Accessories&amp;Peripherals</v>
      </c>
      <c r="F326" s="1">
        <v>249.0</v>
      </c>
      <c r="G326" s="1">
        <v>999.0</v>
      </c>
      <c r="H326" s="6">
        <f t="shared" si="3"/>
        <v>0.7507507508</v>
      </c>
      <c r="I326" s="3">
        <f>IFERROR(__xludf.DUMMYFUNCTION("GOOGLEFINANCE(""CURRENCY:INRBRL"")*F326"),15.16444489239)</f>
        <v>15.16444489</v>
      </c>
      <c r="J326" s="1">
        <v>5.0</v>
      </c>
      <c r="K326" s="1">
        <v>0.0</v>
      </c>
      <c r="L326" s="1" t="s">
        <v>1317</v>
      </c>
      <c r="M326" s="7" t="s">
        <v>1318</v>
      </c>
    </row>
    <row r="327">
      <c r="A327" s="1" t="s">
        <v>1319</v>
      </c>
      <c r="B327" s="1" t="s">
        <v>1320</v>
      </c>
      <c r="C327" s="1" t="s">
        <v>88</v>
      </c>
      <c r="D327" s="1" t="str">
        <f t="shared" si="1"/>
        <v>Electronics</v>
      </c>
      <c r="E327" s="1" t="str">
        <f t="shared" si="2"/>
        <v>HomeTheater,TV&amp;Video</v>
      </c>
      <c r="F327" s="5">
        <v>61999.0</v>
      </c>
      <c r="G327" s="5">
        <v>69999.0</v>
      </c>
      <c r="H327" s="6">
        <f t="shared" si="3"/>
        <v>0.114287347</v>
      </c>
      <c r="I327" s="3">
        <f>IFERROR(__xludf.DUMMYFUNCTION("GOOGLEFINANCE(""CURRENCY:INRBRL"")*F327"),3775.82497543489)</f>
        <v>3775.824975</v>
      </c>
      <c r="J327" s="1">
        <v>4.49</v>
      </c>
      <c r="K327" s="1">
        <v>6753.0</v>
      </c>
      <c r="L327" s="1" t="s">
        <v>1321</v>
      </c>
      <c r="M327" s="7" t="s">
        <v>1322</v>
      </c>
    </row>
    <row r="328">
      <c r="A328" s="1" t="s">
        <v>1323</v>
      </c>
      <c r="B328" s="1" t="s">
        <v>1324</v>
      </c>
      <c r="C328" s="1" t="s">
        <v>88</v>
      </c>
      <c r="D328" s="1" t="str">
        <f t="shared" si="1"/>
        <v>Electronics</v>
      </c>
      <c r="E328" s="1" t="str">
        <f t="shared" si="2"/>
        <v>HomeTheater,TV&amp;Video</v>
      </c>
      <c r="F328" s="5">
        <v>24499.0</v>
      </c>
      <c r="G328" s="5">
        <v>50000.0</v>
      </c>
      <c r="H328" s="6">
        <f t="shared" si="3"/>
        <v>0.51002</v>
      </c>
      <c r="I328" s="3">
        <f>IFERROR(__xludf.DUMMYFUNCTION("GOOGLEFINANCE(""CURRENCY:INRBRL"")*F328"),1492.02303380989)</f>
        <v>1492.023034</v>
      </c>
      <c r="J328" s="1">
        <v>4.52</v>
      </c>
      <c r="K328" s="1">
        <v>3518.0</v>
      </c>
      <c r="L328" s="1" t="s">
        <v>1325</v>
      </c>
      <c r="M328" s="7" t="s">
        <v>1326</v>
      </c>
    </row>
    <row r="329">
      <c r="A329" s="1" t="s">
        <v>1327</v>
      </c>
      <c r="B329" s="1" t="s">
        <v>1328</v>
      </c>
      <c r="C329" s="1" t="s">
        <v>88</v>
      </c>
      <c r="D329" s="1" t="str">
        <f t="shared" si="1"/>
        <v>Electronics</v>
      </c>
      <c r="E329" s="1" t="str">
        <f t="shared" si="2"/>
        <v>HomeTheater,TV&amp;Video</v>
      </c>
      <c r="F329" s="5">
        <v>10499.0</v>
      </c>
      <c r="G329" s="5">
        <v>19499.0</v>
      </c>
      <c r="H329" s="6">
        <f t="shared" si="3"/>
        <v>0.4615621314</v>
      </c>
      <c r="I329" s="3">
        <f>IFERROR(__xludf.DUMMYFUNCTION("GOOGLEFINANCE(""CURRENCY:INRBRL"")*F329"),639.4036422698899)</f>
        <v>639.4036423</v>
      </c>
      <c r="J329" s="1">
        <v>4.5</v>
      </c>
      <c r="K329" s="1">
        <v>151.0</v>
      </c>
      <c r="L329" s="1" t="s">
        <v>1329</v>
      </c>
      <c r="M329" s="7" t="s">
        <v>1330</v>
      </c>
    </row>
    <row r="330">
      <c r="A330" s="1" t="s">
        <v>1331</v>
      </c>
      <c r="B330" s="1" t="s">
        <v>1332</v>
      </c>
      <c r="C330" s="1" t="s">
        <v>22</v>
      </c>
      <c r="D330" s="1" t="str">
        <f t="shared" si="1"/>
        <v>Computers&amp;Accessories</v>
      </c>
      <c r="E330" s="1" t="str">
        <f t="shared" si="2"/>
        <v>Accessories&amp;Peripherals</v>
      </c>
      <c r="F330" s="1">
        <v>349.0</v>
      </c>
      <c r="G330" s="1">
        <v>999.0</v>
      </c>
      <c r="H330" s="6">
        <f t="shared" si="3"/>
        <v>0.6506506507</v>
      </c>
      <c r="I330" s="3">
        <f>IFERROR(__xludf.DUMMYFUNCTION("GOOGLEFINANCE(""CURRENCY:INRBRL"")*F330"),21.25458340339)</f>
        <v>21.2545834</v>
      </c>
      <c r="J330" s="1">
        <v>4.5</v>
      </c>
      <c r="K330" s="1">
        <v>838.0</v>
      </c>
      <c r="L330" s="1" t="s">
        <v>1333</v>
      </c>
      <c r="M330" s="7" t="s">
        <v>1334</v>
      </c>
    </row>
    <row r="331">
      <c r="A331" s="1" t="s">
        <v>1335</v>
      </c>
      <c r="B331" s="1" t="s">
        <v>1336</v>
      </c>
      <c r="C331" s="1" t="s">
        <v>217</v>
      </c>
      <c r="D331" s="1" t="str">
        <f t="shared" si="1"/>
        <v>Electronics</v>
      </c>
      <c r="E331" s="1" t="str">
        <f t="shared" si="2"/>
        <v>HomeTheater,TV&amp;Video</v>
      </c>
      <c r="F331" s="1">
        <v>197.0</v>
      </c>
      <c r="G331" s="1">
        <v>499.0</v>
      </c>
      <c r="H331" s="6">
        <f t="shared" si="3"/>
        <v>0.6052104208</v>
      </c>
      <c r="I331" s="3">
        <f>IFERROR(__xludf.DUMMYFUNCTION("GOOGLEFINANCE(""CURRENCY:INRBRL"")*F331"),11.99757286667)</f>
        <v>11.99757287</v>
      </c>
      <c r="J331" s="1">
        <v>4.51</v>
      </c>
      <c r="K331" s="1">
        <v>136.0</v>
      </c>
      <c r="L331" s="1" t="s">
        <v>1337</v>
      </c>
      <c r="M331" s="7" t="s">
        <v>1338</v>
      </c>
    </row>
    <row r="332">
      <c r="A332" s="1" t="s">
        <v>1339</v>
      </c>
      <c r="B332" s="1" t="s">
        <v>1340</v>
      </c>
      <c r="C332" s="1" t="s">
        <v>920</v>
      </c>
      <c r="D332" s="1" t="str">
        <f t="shared" si="1"/>
        <v>Electronics</v>
      </c>
      <c r="E332" s="1" t="str">
        <f t="shared" si="2"/>
        <v>HomeTheater,TV&amp;Video</v>
      </c>
      <c r="F332" s="5">
        <v>1299.0</v>
      </c>
      <c r="G332" s="5">
        <v>2499.0</v>
      </c>
      <c r="H332" s="6">
        <f t="shared" si="3"/>
        <v>0.4801920768</v>
      </c>
      <c r="I332" s="3">
        <f>IFERROR(__xludf.DUMMYFUNCTION("GOOGLEFINANCE(""CURRENCY:INRBRL"")*F332"),79.11089925789)</f>
        <v>79.11089926</v>
      </c>
      <c r="J332" s="1">
        <v>4.5</v>
      </c>
      <c r="K332" s="1">
        <v>301.0</v>
      </c>
      <c r="L332" s="1" t="s">
        <v>1341</v>
      </c>
      <c r="M332" s="7" t="s">
        <v>1342</v>
      </c>
    </row>
    <row r="333">
      <c r="A333" s="1" t="s">
        <v>1343</v>
      </c>
      <c r="B333" s="1" t="s">
        <v>1344</v>
      </c>
      <c r="C333" s="1" t="s">
        <v>22</v>
      </c>
      <c r="D333" s="1" t="str">
        <f t="shared" si="1"/>
        <v>Computers&amp;Accessories</v>
      </c>
      <c r="E333" s="1" t="str">
        <f t="shared" si="2"/>
        <v>Accessories&amp;Peripherals</v>
      </c>
      <c r="F333" s="5">
        <v>1519.0</v>
      </c>
      <c r="G333" s="5">
        <v>1899.0</v>
      </c>
      <c r="H333" s="6">
        <f t="shared" si="3"/>
        <v>0.2001053186</v>
      </c>
      <c r="I333" s="3">
        <f>IFERROR(__xludf.DUMMYFUNCTION("GOOGLEFINANCE(""CURRENCY:INRBRL"")*F333"),92.50920398209)</f>
        <v>92.50920398</v>
      </c>
      <c r="J333" s="1">
        <v>4.5</v>
      </c>
      <c r="K333" s="1">
        <v>19763.0</v>
      </c>
      <c r="L333" s="1" t="s">
        <v>1345</v>
      </c>
      <c r="M333" s="7" t="s">
        <v>1346</v>
      </c>
    </row>
    <row r="334">
      <c r="A334" s="1" t="s">
        <v>1347</v>
      </c>
      <c r="B334" s="1" t="s">
        <v>1348</v>
      </c>
      <c r="C334" s="1" t="s">
        <v>88</v>
      </c>
      <c r="D334" s="1" t="str">
        <f t="shared" si="1"/>
        <v>Electronics</v>
      </c>
      <c r="E334" s="1" t="str">
        <f t="shared" si="2"/>
        <v>HomeTheater,TV&amp;Video</v>
      </c>
      <c r="F334" s="5">
        <v>46999.0</v>
      </c>
      <c r="G334" s="5">
        <v>69999.0</v>
      </c>
      <c r="H334" s="6">
        <f t="shared" si="3"/>
        <v>0.3285761225</v>
      </c>
      <c r="I334" s="3">
        <f>IFERROR(__xludf.DUMMYFUNCTION("GOOGLEFINANCE(""CURRENCY:INRBRL"")*F334"),2862.30419878489)</f>
        <v>2862.304199</v>
      </c>
      <c r="J334" s="1">
        <v>4.5</v>
      </c>
      <c r="K334" s="1">
        <v>21252.0</v>
      </c>
      <c r="L334" s="1" t="s">
        <v>1349</v>
      </c>
      <c r="M334" s="7" t="s">
        <v>1350</v>
      </c>
    </row>
    <row r="335">
      <c r="A335" s="1" t="s">
        <v>1351</v>
      </c>
      <c r="B335" s="1" t="s">
        <v>1352</v>
      </c>
      <c r="C335" s="1" t="s">
        <v>22</v>
      </c>
      <c r="D335" s="1" t="str">
        <f t="shared" si="1"/>
        <v>Computers&amp;Accessories</v>
      </c>
      <c r="E335" s="1" t="str">
        <f t="shared" si="2"/>
        <v>Accessories&amp;Peripherals</v>
      </c>
      <c r="F335" s="1">
        <v>299.0</v>
      </c>
      <c r="G335" s="1">
        <v>799.0</v>
      </c>
      <c r="H335" s="6">
        <f t="shared" si="3"/>
        <v>0.6257822278</v>
      </c>
      <c r="I335" s="3">
        <f>IFERROR(__xludf.DUMMYFUNCTION("GOOGLEFINANCE(""CURRENCY:INRBRL"")*F335"),18.209514147889998)</f>
        <v>18.20951415</v>
      </c>
      <c r="J335" s="1">
        <v>4.5</v>
      </c>
      <c r="K335" s="1">
        <v>1902.0</v>
      </c>
      <c r="L335" s="1" t="s">
        <v>1353</v>
      </c>
      <c r="M335" s="7" t="s">
        <v>1354</v>
      </c>
    </row>
    <row r="336">
      <c r="A336" s="1" t="s">
        <v>1355</v>
      </c>
      <c r="B336" s="1" t="s">
        <v>1356</v>
      </c>
      <c r="C336" s="1" t="s">
        <v>1357</v>
      </c>
      <c r="D336" s="1" t="str">
        <f t="shared" si="1"/>
        <v>Electronics</v>
      </c>
      <c r="E336" s="1" t="str">
        <f t="shared" si="2"/>
        <v>WearableTechnology</v>
      </c>
      <c r="F336" s="5">
        <v>1799.0</v>
      </c>
      <c r="G336" s="5">
        <v>1999.0</v>
      </c>
      <c r="H336" s="6">
        <f t="shared" si="3"/>
        <v>0.100050025</v>
      </c>
      <c r="I336" s="3">
        <f>IFERROR(__xludf.DUMMYFUNCTION("GOOGLEFINANCE(""CURRENCY:INRBRL"")*F336"),109.56159181289)</f>
        <v>109.5615918</v>
      </c>
      <c r="J336" s="1">
        <v>4.5</v>
      </c>
      <c r="K336" s="1">
        <v>13937.0</v>
      </c>
      <c r="L336" s="1" t="s">
        <v>1358</v>
      </c>
      <c r="M336" s="7" t="s">
        <v>1359</v>
      </c>
    </row>
    <row r="337">
      <c r="A337" s="1" t="s">
        <v>1360</v>
      </c>
      <c r="B337" s="1" t="s">
        <v>1361</v>
      </c>
      <c r="C337" s="1" t="s">
        <v>1357</v>
      </c>
      <c r="D337" s="1" t="str">
        <f t="shared" si="1"/>
        <v>Electronics</v>
      </c>
      <c r="E337" s="1" t="str">
        <f t="shared" si="2"/>
        <v>WearableTechnology</v>
      </c>
      <c r="F337" s="5">
        <v>1998.0</v>
      </c>
      <c r="G337" s="5">
        <v>9999.0</v>
      </c>
      <c r="H337" s="6">
        <f t="shared" si="3"/>
        <v>0.800180018</v>
      </c>
      <c r="I337" s="3">
        <f>IFERROR(__xludf.DUMMYFUNCTION("GOOGLEFINANCE(""CURRENCY:INRBRL"")*F337"),121.68096744978)</f>
        <v>121.6809674</v>
      </c>
      <c r="J337" s="1">
        <v>4.5</v>
      </c>
      <c r="K337" s="1">
        <v>27696.0</v>
      </c>
      <c r="L337" s="1" t="s">
        <v>1362</v>
      </c>
      <c r="M337" s="7" t="s">
        <v>1363</v>
      </c>
    </row>
    <row r="338">
      <c r="A338" s="1" t="s">
        <v>1364</v>
      </c>
      <c r="B338" s="1" t="s">
        <v>1365</v>
      </c>
      <c r="C338" s="1" t="s">
        <v>1357</v>
      </c>
      <c r="D338" s="1" t="str">
        <f t="shared" si="1"/>
        <v>Electronics</v>
      </c>
      <c r="E338" s="1" t="str">
        <f t="shared" si="2"/>
        <v>WearableTechnology</v>
      </c>
      <c r="F338" s="5">
        <v>1999.0</v>
      </c>
      <c r="G338" s="5">
        <v>7990.0</v>
      </c>
      <c r="H338" s="6">
        <f t="shared" si="3"/>
        <v>0.7498122653</v>
      </c>
      <c r="I338" s="3">
        <f>IFERROR(__xludf.DUMMYFUNCTION("GOOGLEFINANCE(""CURRENCY:INRBRL"")*F338"),121.74186883489)</f>
        <v>121.7418688</v>
      </c>
      <c r="J338" s="1">
        <v>4.51</v>
      </c>
      <c r="K338" s="1">
        <v>17831.0</v>
      </c>
      <c r="L338" s="1" t="s">
        <v>1366</v>
      </c>
      <c r="M338" s="7" t="s">
        <v>1367</v>
      </c>
    </row>
    <row r="339">
      <c r="A339" s="1" t="s">
        <v>1368</v>
      </c>
      <c r="B339" s="1" t="s">
        <v>1369</v>
      </c>
      <c r="C339" s="1" t="s">
        <v>1370</v>
      </c>
      <c r="D339" s="1" t="str">
        <f t="shared" si="1"/>
        <v>Electronics</v>
      </c>
      <c r="E339" s="1" t="str">
        <f t="shared" si="2"/>
        <v>Mobiles&amp;Accessories</v>
      </c>
      <c r="F339" s="5">
        <v>2049.0</v>
      </c>
      <c r="G339" s="5">
        <v>2199.0</v>
      </c>
      <c r="H339" s="6">
        <f t="shared" si="3"/>
        <v>0.06821282401</v>
      </c>
      <c r="I339" s="3">
        <f>IFERROR(__xludf.DUMMYFUNCTION("GOOGLEFINANCE(""CURRENCY:INRBRL"")*F339"),124.78693809039)</f>
        <v>124.7869381</v>
      </c>
      <c r="J339" s="1">
        <v>4.5</v>
      </c>
      <c r="K339" s="1">
        <v>178912.0</v>
      </c>
      <c r="L339" s="1" t="s">
        <v>1371</v>
      </c>
      <c r="M339" s="7" t="s">
        <v>1372</v>
      </c>
    </row>
    <row r="340">
      <c r="A340" s="1" t="s">
        <v>1373</v>
      </c>
      <c r="B340" s="1" t="s">
        <v>1374</v>
      </c>
      <c r="C340" s="1" t="s">
        <v>1375</v>
      </c>
      <c r="D340" s="1" t="str">
        <f t="shared" si="1"/>
        <v>Electronics</v>
      </c>
      <c r="E340" s="1" t="str">
        <f t="shared" si="2"/>
        <v>Mobiles&amp;Accessories</v>
      </c>
      <c r="F340" s="5">
        <v>6499.0</v>
      </c>
      <c r="G340" s="5">
        <v>8999.0</v>
      </c>
      <c r="H340" s="6">
        <f t="shared" si="3"/>
        <v>0.2778086454</v>
      </c>
      <c r="I340" s="3">
        <f>IFERROR(__xludf.DUMMYFUNCTION("GOOGLEFINANCE(""CURRENCY:INRBRL"")*F340"),395.79810182988996)</f>
        <v>395.7981018</v>
      </c>
      <c r="J340" s="1">
        <v>4.0</v>
      </c>
      <c r="K340" s="1">
        <v>7807.0</v>
      </c>
      <c r="L340" s="1" t="s">
        <v>1376</v>
      </c>
      <c r="M340" s="7" t="s">
        <v>1377</v>
      </c>
    </row>
    <row r="341">
      <c r="A341" s="1" t="s">
        <v>1378</v>
      </c>
      <c r="B341" s="1" t="s">
        <v>1379</v>
      </c>
      <c r="C341" s="1" t="s">
        <v>1375</v>
      </c>
      <c r="D341" s="1" t="str">
        <f t="shared" si="1"/>
        <v>Electronics</v>
      </c>
      <c r="E341" s="1" t="str">
        <f t="shared" si="2"/>
        <v>Mobiles&amp;Accessories</v>
      </c>
      <c r="F341" s="5">
        <v>28999.0</v>
      </c>
      <c r="G341" s="5">
        <v>28999.0</v>
      </c>
      <c r="H341" s="6">
        <f t="shared" si="3"/>
        <v>0</v>
      </c>
      <c r="I341" s="3">
        <f>IFERROR(__xludf.DUMMYFUNCTION("GOOGLEFINANCE(""CURRENCY:INRBRL"")*F341"),1766.07926680489)</f>
        <v>1766.079267</v>
      </c>
      <c r="J341" s="1">
        <v>4.5</v>
      </c>
      <c r="K341" s="1">
        <v>17415.0</v>
      </c>
      <c r="L341" s="1" t="s">
        <v>1380</v>
      </c>
      <c r="M341" s="7" t="s">
        <v>1381</v>
      </c>
    </row>
    <row r="342">
      <c r="A342" s="1" t="s">
        <v>1382</v>
      </c>
      <c r="B342" s="1" t="s">
        <v>1383</v>
      </c>
      <c r="C342" s="1" t="s">
        <v>1375</v>
      </c>
      <c r="D342" s="1" t="str">
        <f t="shared" si="1"/>
        <v>Electronics</v>
      </c>
      <c r="E342" s="1" t="str">
        <f t="shared" si="2"/>
        <v>Mobiles&amp;Accessories</v>
      </c>
      <c r="F342" s="5">
        <v>28999.0</v>
      </c>
      <c r="G342" s="5">
        <v>28999.0</v>
      </c>
      <c r="H342" s="6">
        <f t="shared" si="3"/>
        <v>0</v>
      </c>
      <c r="I342" s="3">
        <f>IFERROR(__xludf.DUMMYFUNCTION("GOOGLEFINANCE(""CURRENCY:INRBRL"")*F342"),1766.07926680489)</f>
        <v>1766.079267</v>
      </c>
      <c r="J342" s="1">
        <v>4.5</v>
      </c>
      <c r="K342" s="1">
        <v>17415.0</v>
      </c>
      <c r="L342" s="1" t="s">
        <v>1384</v>
      </c>
      <c r="M342" s="7" t="s">
        <v>1385</v>
      </c>
    </row>
    <row r="343">
      <c r="A343" s="1" t="s">
        <v>1386</v>
      </c>
      <c r="B343" s="1" t="s">
        <v>1387</v>
      </c>
      <c r="C343" s="1" t="s">
        <v>1375</v>
      </c>
      <c r="D343" s="1" t="str">
        <f t="shared" si="1"/>
        <v>Electronics</v>
      </c>
      <c r="E343" s="1" t="str">
        <f t="shared" si="2"/>
        <v>Mobiles&amp;Accessories</v>
      </c>
      <c r="F343" s="5">
        <v>6499.0</v>
      </c>
      <c r="G343" s="5">
        <v>8999.0</v>
      </c>
      <c r="H343" s="6">
        <f t="shared" si="3"/>
        <v>0.2778086454</v>
      </c>
      <c r="I343" s="3">
        <f>IFERROR(__xludf.DUMMYFUNCTION("GOOGLEFINANCE(""CURRENCY:INRBRL"")*F343"),395.79810182988996)</f>
        <v>395.7981018</v>
      </c>
      <c r="J343" s="1">
        <v>4.0</v>
      </c>
      <c r="K343" s="1">
        <v>7807.0</v>
      </c>
      <c r="L343" s="1" t="s">
        <v>1376</v>
      </c>
      <c r="M343" s="7" t="s">
        <v>1388</v>
      </c>
    </row>
    <row r="344">
      <c r="A344" s="1" t="s">
        <v>1389</v>
      </c>
      <c r="B344" s="1" t="s">
        <v>1390</v>
      </c>
      <c r="C344" s="1" t="s">
        <v>1375</v>
      </c>
      <c r="D344" s="1" t="str">
        <f t="shared" si="1"/>
        <v>Electronics</v>
      </c>
      <c r="E344" s="1" t="str">
        <f t="shared" si="2"/>
        <v>Mobiles&amp;Accessories</v>
      </c>
      <c r="F344" s="5">
        <v>6499.0</v>
      </c>
      <c r="G344" s="5">
        <v>8999.0</v>
      </c>
      <c r="H344" s="6">
        <f t="shared" si="3"/>
        <v>0.2778086454</v>
      </c>
      <c r="I344" s="3">
        <f>IFERROR(__xludf.DUMMYFUNCTION("GOOGLEFINANCE(""CURRENCY:INRBRL"")*F344"),395.79810182988996)</f>
        <v>395.7981018</v>
      </c>
      <c r="J344" s="1">
        <v>4.0</v>
      </c>
      <c r="K344" s="1">
        <v>7807.0</v>
      </c>
      <c r="L344" s="1" t="s">
        <v>1376</v>
      </c>
      <c r="M344" s="7" t="s">
        <v>1391</v>
      </c>
    </row>
    <row r="345">
      <c r="A345" s="1" t="s">
        <v>1392</v>
      </c>
      <c r="B345" s="1" t="s">
        <v>1393</v>
      </c>
      <c r="C345" s="1" t="s">
        <v>1394</v>
      </c>
      <c r="D345" s="1" t="str">
        <f t="shared" si="1"/>
        <v>Electronics</v>
      </c>
      <c r="E345" s="1" t="str">
        <f t="shared" si="2"/>
        <v>Accessories</v>
      </c>
      <c r="F345" s="1">
        <v>569.0</v>
      </c>
      <c r="G345" s="5">
        <v>1000.0</v>
      </c>
      <c r="H345" s="6">
        <f t="shared" si="3"/>
        <v>0.431</v>
      </c>
      <c r="I345" s="3">
        <f>IFERROR(__xludf.DUMMYFUNCTION("GOOGLEFINANCE(""CURRENCY:INRBRL"")*F345"),34.652888127589996)</f>
        <v>34.65288813</v>
      </c>
      <c r="J345" s="1">
        <v>4.5</v>
      </c>
      <c r="K345" s="1">
        <v>67259.0</v>
      </c>
      <c r="L345" s="1" t="s">
        <v>1395</v>
      </c>
      <c r="M345" s="7" t="s">
        <v>1396</v>
      </c>
    </row>
    <row r="346">
      <c r="A346" s="1" t="s">
        <v>1397</v>
      </c>
      <c r="B346" s="1" t="s">
        <v>1398</v>
      </c>
      <c r="C346" s="1" t="s">
        <v>1357</v>
      </c>
      <c r="D346" s="1" t="str">
        <f t="shared" si="1"/>
        <v>Electronics</v>
      </c>
      <c r="E346" s="1" t="str">
        <f t="shared" si="2"/>
        <v>WearableTechnology</v>
      </c>
      <c r="F346" s="5">
        <v>1898.0</v>
      </c>
      <c r="G346" s="5">
        <v>4999.0</v>
      </c>
      <c r="H346" s="6">
        <f t="shared" si="3"/>
        <v>0.6203240648</v>
      </c>
      <c r="I346" s="3">
        <f>IFERROR(__xludf.DUMMYFUNCTION("GOOGLEFINANCE(""CURRENCY:INRBRL"")*F346"),115.59082893877999)</f>
        <v>115.5908289</v>
      </c>
      <c r="J346" s="1">
        <v>4.49</v>
      </c>
      <c r="K346" s="1">
        <v>10689.0</v>
      </c>
      <c r="L346" s="1" t="s">
        <v>1399</v>
      </c>
      <c r="M346" s="7" t="s">
        <v>1400</v>
      </c>
    </row>
    <row r="347">
      <c r="A347" s="1" t="s">
        <v>1401</v>
      </c>
      <c r="B347" s="1" t="s">
        <v>1402</v>
      </c>
      <c r="C347" s="1" t="s">
        <v>1403</v>
      </c>
      <c r="D347" s="1" t="str">
        <f t="shared" si="1"/>
        <v>Electronics</v>
      </c>
      <c r="E347" s="1" t="str">
        <f t="shared" si="2"/>
        <v>Mobiles&amp;Accessories</v>
      </c>
      <c r="F347" s="5">
        <v>1299.0</v>
      </c>
      <c r="G347" s="5">
        <v>1599.0</v>
      </c>
      <c r="H347" s="6">
        <f t="shared" si="3"/>
        <v>0.1876172608</v>
      </c>
      <c r="I347" s="3">
        <f>IFERROR(__xludf.DUMMYFUNCTION("GOOGLEFINANCE(""CURRENCY:INRBRL"")*F347"),79.11089925789)</f>
        <v>79.11089926</v>
      </c>
      <c r="J347" s="1">
        <v>4.0</v>
      </c>
      <c r="K347" s="1">
        <v>128311.0</v>
      </c>
      <c r="L347" s="1" t="s">
        <v>1404</v>
      </c>
      <c r="M347" s="7" t="s">
        <v>1405</v>
      </c>
    </row>
    <row r="348">
      <c r="A348" s="1" t="s">
        <v>1406</v>
      </c>
      <c r="B348" s="1" t="s">
        <v>1407</v>
      </c>
      <c r="C348" s="1" t="s">
        <v>1357</v>
      </c>
      <c r="D348" s="1" t="str">
        <f t="shared" si="1"/>
        <v>Electronics</v>
      </c>
      <c r="E348" s="1" t="str">
        <f t="shared" si="2"/>
        <v>WearableTechnology</v>
      </c>
      <c r="F348" s="5">
        <v>1499.0</v>
      </c>
      <c r="G348" s="5">
        <v>6990.0</v>
      </c>
      <c r="H348" s="6">
        <f t="shared" si="3"/>
        <v>0.7855507868</v>
      </c>
      <c r="I348" s="3">
        <f>IFERROR(__xludf.DUMMYFUNCTION("GOOGLEFINANCE(""CURRENCY:INRBRL"")*F348"),91.29117627989)</f>
        <v>91.29117628</v>
      </c>
      <c r="J348" s="1">
        <v>4.52</v>
      </c>
      <c r="K348" s="1">
        <v>21796.0</v>
      </c>
      <c r="L348" s="1" t="s">
        <v>1408</v>
      </c>
      <c r="M348" s="7" t="s">
        <v>1409</v>
      </c>
    </row>
    <row r="349">
      <c r="A349" s="1" t="s">
        <v>1410</v>
      </c>
      <c r="B349" s="1" t="s">
        <v>1411</v>
      </c>
      <c r="C349" s="1" t="s">
        <v>1412</v>
      </c>
      <c r="D349" s="1" t="str">
        <f t="shared" si="1"/>
        <v>Electronics</v>
      </c>
      <c r="E349" s="1" t="str">
        <f t="shared" si="2"/>
        <v>Headphones,Earbuds&amp;Accessories</v>
      </c>
      <c r="F349" s="1">
        <v>599.0</v>
      </c>
      <c r="G349" s="1">
        <v>999.0</v>
      </c>
      <c r="H349" s="6">
        <f t="shared" si="3"/>
        <v>0.4004004004</v>
      </c>
      <c r="I349" s="3">
        <f>IFERROR(__xludf.DUMMYFUNCTION("GOOGLEFINANCE(""CURRENCY:INRBRL"")*F349"),36.479929680889995)</f>
        <v>36.47992968</v>
      </c>
      <c r="J349" s="1">
        <v>4.49</v>
      </c>
      <c r="K349" s="1">
        <v>192590.0</v>
      </c>
      <c r="L349" s="1" t="s">
        <v>1413</v>
      </c>
      <c r="M349" s="7" t="s">
        <v>1414</v>
      </c>
    </row>
    <row r="350">
      <c r="A350" s="1" t="s">
        <v>1415</v>
      </c>
      <c r="B350" s="1" t="s">
        <v>1416</v>
      </c>
      <c r="C350" s="1" t="s">
        <v>1375</v>
      </c>
      <c r="D350" s="1" t="str">
        <f t="shared" si="1"/>
        <v>Electronics</v>
      </c>
      <c r="E350" s="1" t="str">
        <f t="shared" si="2"/>
        <v>Mobiles&amp;Accessories</v>
      </c>
      <c r="F350" s="5">
        <v>9499.0</v>
      </c>
      <c r="G350" s="5">
        <v>11999.0</v>
      </c>
      <c r="H350" s="6">
        <f t="shared" si="3"/>
        <v>0.2083506959</v>
      </c>
      <c r="I350" s="3">
        <f>IFERROR(__xludf.DUMMYFUNCTION("GOOGLEFINANCE(""CURRENCY:INRBRL"")*F350"),578.50225715989)</f>
        <v>578.5022572</v>
      </c>
      <c r="J350" s="1">
        <v>4.5</v>
      </c>
      <c r="K350" s="1">
        <v>284.0</v>
      </c>
      <c r="L350" s="1" t="s">
        <v>1417</v>
      </c>
      <c r="M350" s="7" t="s">
        <v>1418</v>
      </c>
    </row>
    <row r="351">
      <c r="A351" s="1" t="s">
        <v>1419</v>
      </c>
      <c r="B351" s="1" t="s">
        <v>1420</v>
      </c>
      <c r="C351" s="1" t="s">
        <v>1412</v>
      </c>
      <c r="D351" s="1" t="str">
        <f t="shared" si="1"/>
        <v>Electronics</v>
      </c>
      <c r="E351" s="1" t="str">
        <f t="shared" si="2"/>
        <v>Headphones,Earbuds&amp;Accessories</v>
      </c>
      <c r="F351" s="1">
        <v>599.0</v>
      </c>
      <c r="G351" s="5">
        <v>2499.0</v>
      </c>
      <c r="H351" s="6">
        <f t="shared" si="3"/>
        <v>0.7603041216</v>
      </c>
      <c r="I351" s="3">
        <f>IFERROR(__xludf.DUMMYFUNCTION("GOOGLEFINANCE(""CURRENCY:INRBRL"")*F351"),36.479929680889995)</f>
        <v>36.47992968</v>
      </c>
      <c r="J351" s="1">
        <v>4.52</v>
      </c>
      <c r="K351" s="1">
        <v>58162.0</v>
      </c>
      <c r="L351" s="1" t="s">
        <v>1421</v>
      </c>
      <c r="M351" s="7" t="s">
        <v>1422</v>
      </c>
    </row>
    <row r="352">
      <c r="A352" s="1" t="s">
        <v>1423</v>
      </c>
      <c r="B352" s="1" t="s">
        <v>1424</v>
      </c>
      <c r="C352" s="1" t="s">
        <v>1375</v>
      </c>
      <c r="D352" s="1" t="str">
        <f t="shared" si="1"/>
        <v>Electronics</v>
      </c>
      <c r="E352" s="1" t="str">
        <f t="shared" si="2"/>
        <v>Mobiles&amp;Accessories</v>
      </c>
      <c r="F352" s="5">
        <v>8999.0</v>
      </c>
      <c r="G352" s="5">
        <v>11999.0</v>
      </c>
      <c r="H352" s="6">
        <f t="shared" si="3"/>
        <v>0.2500208351</v>
      </c>
      <c r="I352" s="3">
        <f>IFERROR(__xludf.DUMMYFUNCTION("GOOGLEFINANCE(""CURRENCY:INRBRL"")*F352"),548.05156460489)</f>
        <v>548.0515646</v>
      </c>
      <c r="J352" s="1">
        <v>4.0</v>
      </c>
      <c r="K352" s="1">
        <v>12796.0</v>
      </c>
      <c r="L352" s="1" t="s">
        <v>1425</v>
      </c>
      <c r="M352" s="7" t="s">
        <v>1426</v>
      </c>
    </row>
    <row r="353">
      <c r="A353" s="1" t="s">
        <v>1427</v>
      </c>
      <c r="B353" s="1" t="s">
        <v>1428</v>
      </c>
      <c r="C353" s="1" t="s">
        <v>1429</v>
      </c>
      <c r="D353" s="1" t="str">
        <f t="shared" si="1"/>
        <v>Electronics</v>
      </c>
      <c r="E353" s="1" t="str">
        <f t="shared" si="2"/>
        <v>Mobiles&amp;Accessories</v>
      </c>
      <c r="F353" s="1">
        <v>349.0</v>
      </c>
      <c r="G353" s="5">
        <v>1299.0</v>
      </c>
      <c r="H353" s="6">
        <f t="shared" si="3"/>
        <v>0.7313317937</v>
      </c>
      <c r="I353" s="3">
        <f>IFERROR(__xludf.DUMMYFUNCTION("GOOGLEFINANCE(""CURRENCY:INRBRL"")*F353"),21.25458340339)</f>
        <v>21.2545834</v>
      </c>
      <c r="J353" s="1">
        <v>4.0</v>
      </c>
      <c r="K353" s="1">
        <v>14282.0</v>
      </c>
      <c r="L353" s="1" t="s">
        <v>1430</v>
      </c>
      <c r="M353" s="7" t="s">
        <v>1431</v>
      </c>
    </row>
    <row r="354">
      <c r="A354" s="1" t="s">
        <v>1432</v>
      </c>
      <c r="B354" s="1" t="s">
        <v>1433</v>
      </c>
      <c r="C354" s="1" t="s">
        <v>1412</v>
      </c>
      <c r="D354" s="1" t="str">
        <f t="shared" si="1"/>
        <v>Electronics</v>
      </c>
      <c r="E354" s="1" t="str">
        <f t="shared" si="2"/>
        <v>Headphones,Earbuds&amp;Accessories</v>
      </c>
      <c r="F354" s="1">
        <v>349.0</v>
      </c>
      <c r="G354" s="1">
        <v>999.0</v>
      </c>
      <c r="H354" s="6">
        <f t="shared" si="3"/>
        <v>0.6506506507</v>
      </c>
      <c r="I354" s="3">
        <f>IFERROR(__xludf.DUMMYFUNCTION("GOOGLEFINANCE(""CURRENCY:INRBRL"")*F354"),21.25458340339)</f>
        <v>21.2545834</v>
      </c>
      <c r="J354" s="1">
        <v>4.49</v>
      </c>
      <c r="K354" s="1">
        <v>363713.0</v>
      </c>
      <c r="L354" s="1" t="s">
        <v>1434</v>
      </c>
      <c r="M354" s="7" t="s">
        <v>1435</v>
      </c>
    </row>
    <row r="355">
      <c r="A355" s="1" t="s">
        <v>1436</v>
      </c>
      <c r="B355" s="1" t="s">
        <v>1437</v>
      </c>
      <c r="C355" s="1" t="s">
        <v>1394</v>
      </c>
      <c r="D355" s="1" t="str">
        <f t="shared" si="1"/>
        <v>Electronics</v>
      </c>
      <c r="E355" s="1" t="str">
        <f t="shared" si="2"/>
        <v>Accessories</v>
      </c>
      <c r="F355" s="1">
        <v>959.0</v>
      </c>
      <c r="G355" s="5">
        <v>1800.0</v>
      </c>
      <c r="H355" s="6">
        <f t="shared" si="3"/>
        <v>0.4672222222</v>
      </c>
      <c r="I355" s="3">
        <f>IFERROR(__xludf.DUMMYFUNCTION("GOOGLEFINANCE(""CURRENCY:INRBRL"")*F355"),58.40442832049)</f>
        <v>58.40442832</v>
      </c>
      <c r="J355" s="1">
        <v>4.5</v>
      </c>
      <c r="K355" s="1">
        <v>67259.0</v>
      </c>
      <c r="L355" s="1" t="s">
        <v>1395</v>
      </c>
      <c r="M355" s="7" t="s">
        <v>1438</v>
      </c>
    </row>
    <row r="356">
      <c r="A356" s="1" t="s">
        <v>1439</v>
      </c>
      <c r="B356" s="1" t="s">
        <v>1440</v>
      </c>
      <c r="C356" s="1" t="s">
        <v>1375</v>
      </c>
      <c r="D356" s="1" t="str">
        <f t="shared" si="1"/>
        <v>Electronics</v>
      </c>
      <c r="E356" s="1" t="str">
        <f t="shared" si="2"/>
        <v>Mobiles&amp;Accessories</v>
      </c>
      <c r="F356" s="5">
        <v>9499.0</v>
      </c>
      <c r="G356" s="5">
        <v>11999.0</v>
      </c>
      <c r="H356" s="6">
        <f t="shared" si="3"/>
        <v>0.2083506959</v>
      </c>
      <c r="I356" s="3">
        <f>IFERROR(__xludf.DUMMYFUNCTION("GOOGLEFINANCE(""CURRENCY:INRBRL"")*F356"),578.50225715989)</f>
        <v>578.5022572</v>
      </c>
      <c r="J356" s="1">
        <v>4.5</v>
      </c>
      <c r="K356" s="1">
        <v>284.0</v>
      </c>
      <c r="L356" s="1" t="s">
        <v>1417</v>
      </c>
      <c r="M356" s="7" t="s">
        <v>1441</v>
      </c>
    </row>
    <row r="357">
      <c r="A357" s="1" t="s">
        <v>1442</v>
      </c>
      <c r="B357" s="1" t="s">
        <v>1443</v>
      </c>
      <c r="C357" s="1" t="s">
        <v>1370</v>
      </c>
      <c r="D357" s="1" t="str">
        <f t="shared" si="1"/>
        <v>Electronics</v>
      </c>
      <c r="E357" s="1" t="str">
        <f t="shared" si="2"/>
        <v>Mobiles&amp;Accessories</v>
      </c>
      <c r="F357" s="5">
        <v>1499.0</v>
      </c>
      <c r="G357" s="5">
        <v>2499.0</v>
      </c>
      <c r="H357" s="6">
        <f t="shared" si="3"/>
        <v>0.400160064</v>
      </c>
      <c r="I357" s="3">
        <f>IFERROR(__xludf.DUMMYFUNCTION("GOOGLEFINANCE(""CURRENCY:INRBRL"")*F357"),91.29117627989)</f>
        <v>91.29117628</v>
      </c>
      <c r="J357" s="1">
        <v>4.5</v>
      </c>
      <c r="K357" s="1">
        <v>1597.0</v>
      </c>
      <c r="L357" s="1" t="s">
        <v>1444</v>
      </c>
      <c r="M357" s="7" t="s">
        <v>1445</v>
      </c>
    </row>
    <row r="358">
      <c r="A358" s="1" t="s">
        <v>1446</v>
      </c>
      <c r="B358" s="1" t="s">
        <v>1447</v>
      </c>
      <c r="C358" s="1" t="s">
        <v>1370</v>
      </c>
      <c r="D358" s="1" t="str">
        <f t="shared" si="1"/>
        <v>Electronics</v>
      </c>
      <c r="E358" s="1" t="str">
        <f t="shared" si="2"/>
        <v>Mobiles&amp;Accessories</v>
      </c>
      <c r="F358" s="5">
        <v>1149.0</v>
      </c>
      <c r="G358" s="5">
        <v>2199.0</v>
      </c>
      <c r="H358" s="6">
        <f t="shared" si="3"/>
        <v>0.4774897681</v>
      </c>
      <c r="I358" s="3">
        <f>IFERROR(__xludf.DUMMYFUNCTION("GOOGLEFINANCE(""CURRENCY:INRBRL"")*F358"),69.97569149139)</f>
        <v>69.97569149</v>
      </c>
      <c r="J358" s="1">
        <v>4.5</v>
      </c>
      <c r="K358" s="1">
        <v>178912.0</v>
      </c>
      <c r="L358" s="1" t="s">
        <v>1448</v>
      </c>
      <c r="M358" s="7" t="s">
        <v>1449</v>
      </c>
    </row>
    <row r="359">
      <c r="A359" s="1" t="s">
        <v>1450</v>
      </c>
      <c r="B359" s="1" t="s">
        <v>1451</v>
      </c>
      <c r="C359" s="1" t="s">
        <v>1452</v>
      </c>
      <c r="D359" s="1" t="str">
        <f t="shared" si="1"/>
        <v>Electronics</v>
      </c>
      <c r="E359" s="1" t="str">
        <f t="shared" si="2"/>
        <v>Mobiles&amp;Accessories</v>
      </c>
      <c r="F359" s="1">
        <v>349.0</v>
      </c>
      <c r="G359" s="1">
        <v>999.0</v>
      </c>
      <c r="H359" s="6">
        <f t="shared" si="3"/>
        <v>0.6506506507</v>
      </c>
      <c r="I359" s="3">
        <f>IFERROR(__xludf.DUMMYFUNCTION("GOOGLEFINANCE(""CURRENCY:INRBRL"")*F359"),21.25458340339)</f>
        <v>21.2545834</v>
      </c>
      <c r="J359" s="1">
        <v>4.52</v>
      </c>
      <c r="K359" s="1">
        <v>46399.0</v>
      </c>
      <c r="L359" s="1" t="s">
        <v>1453</v>
      </c>
      <c r="M359" s="7" t="s">
        <v>1454</v>
      </c>
    </row>
    <row r="360">
      <c r="A360" s="1" t="s">
        <v>1455</v>
      </c>
      <c r="B360" s="1" t="s">
        <v>1456</v>
      </c>
      <c r="C360" s="1" t="s">
        <v>1457</v>
      </c>
      <c r="D360" s="1" t="str">
        <f t="shared" si="1"/>
        <v>Electronics</v>
      </c>
      <c r="E360" s="1" t="str">
        <f t="shared" si="2"/>
        <v>Mobiles&amp;Accessories</v>
      </c>
      <c r="F360" s="5">
        <v>1219.0</v>
      </c>
      <c r="G360" s="5">
        <v>1699.0</v>
      </c>
      <c r="H360" s="6">
        <f t="shared" si="3"/>
        <v>0.2825191289</v>
      </c>
      <c r="I360" s="3">
        <f>IFERROR(__xludf.DUMMYFUNCTION("GOOGLEFINANCE(""CURRENCY:INRBRL"")*F360"),74.23878844909)</f>
        <v>74.23878845</v>
      </c>
      <c r="J360" s="1">
        <v>4.5</v>
      </c>
      <c r="K360" s="1">
        <v>8891.0</v>
      </c>
      <c r="L360" s="1" t="s">
        <v>1458</v>
      </c>
      <c r="M360" s="7" t="s">
        <v>1459</v>
      </c>
    </row>
    <row r="361">
      <c r="A361" s="1" t="s">
        <v>1460</v>
      </c>
      <c r="B361" s="1" t="s">
        <v>1461</v>
      </c>
      <c r="C361" s="1" t="s">
        <v>1357</v>
      </c>
      <c r="D361" s="1" t="str">
        <f t="shared" si="1"/>
        <v>Electronics</v>
      </c>
      <c r="E361" s="1" t="str">
        <f t="shared" si="2"/>
        <v>WearableTechnology</v>
      </c>
      <c r="F361" s="5">
        <v>1599.0</v>
      </c>
      <c r="G361" s="5">
        <v>3999.0</v>
      </c>
      <c r="H361" s="6">
        <f t="shared" si="3"/>
        <v>0.6001500375</v>
      </c>
      <c r="I361" s="3">
        <f>IFERROR(__xludf.DUMMYFUNCTION("GOOGLEFINANCE(""CURRENCY:INRBRL"")*F361"),97.38131479089)</f>
        <v>97.38131479</v>
      </c>
      <c r="J361" s="1">
        <v>4.0</v>
      </c>
      <c r="K361" s="1">
        <v>30254.0</v>
      </c>
      <c r="L361" s="1" t="s">
        <v>1462</v>
      </c>
      <c r="M361" s="7" t="s">
        <v>1463</v>
      </c>
    </row>
    <row r="362">
      <c r="A362" s="1" t="s">
        <v>1464</v>
      </c>
      <c r="B362" s="1" t="s">
        <v>1465</v>
      </c>
      <c r="C362" s="1" t="s">
        <v>1357</v>
      </c>
      <c r="D362" s="1" t="str">
        <f t="shared" si="1"/>
        <v>Electronics</v>
      </c>
      <c r="E362" s="1" t="str">
        <f t="shared" si="2"/>
        <v>WearableTechnology</v>
      </c>
      <c r="F362" s="5">
        <v>1499.0</v>
      </c>
      <c r="G362" s="5">
        <v>7999.0</v>
      </c>
      <c r="H362" s="6">
        <f t="shared" si="3"/>
        <v>0.8126015752</v>
      </c>
      <c r="I362" s="3">
        <f>IFERROR(__xludf.DUMMYFUNCTION("GOOGLEFINANCE(""CURRENCY:INRBRL"")*F362"),91.29117627989)</f>
        <v>91.29117628</v>
      </c>
      <c r="J362" s="1">
        <v>4.5</v>
      </c>
      <c r="K362" s="1">
        <v>22636.0</v>
      </c>
      <c r="L362" s="1" t="s">
        <v>1466</v>
      </c>
      <c r="M362" s="7" t="s">
        <v>1467</v>
      </c>
    </row>
    <row r="363">
      <c r="A363" s="1" t="s">
        <v>1468</v>
      </c>
      <c r="B363" s="1" t="s">
        <v>1469</v>
      </c>
      <c r="C363" s="1" t="s">
        <v>1375</v>
      </c>
      <c r="D363" s="1" t="str">
        <f t="shared" si="1"/>
        <v>Electronics</v>
      </c>
      <c r="E363" s="1" t="str">
        <f t="shared" si="2"/>
        <v>Mobiles&amp;Accessories</v>
      </c>
      <c r="F363" s="5">
        <v>18499.0</v>
      </c>
      <c r="G363" s="5">
        <v>25999.0</v>
      </c>
      <c r="H363" s="6">
        <f t="shared" si="3"/>
        <v>0.2884726336</v>
      </c>
      <c r="I363" s="3">
        <f>IFERROR(__xludf.DUMMYFUNCTION("GOOGLEFINANCE(""CURRENCY:INRBRL"")*F363"),1126.6147231498899)</f>
        <v>1126.614723</v>
      </c>
      <c r="J363" s="1">
        <v>4.49</v>
      </c>
      <c r="K363" s="1">
        <v>22318.0</v>
      </c>
      <c r="L363" s="1" t="s">
        <v>1470</v>
      </c>
      <c r="M363" s="7" t="s">
        <v>1471</v>
      </c>
    </row>
    <row r="364">
      <c r="A364" s="1" t="s">
        <v>1472</v>
      </c>
      <c r="B364" s="1" t="s">
        <v>1473</v>
      </c>
      <c r="C364" s="1" t="s">
        <v>1394</v>
      </c>
      <c r="D364" s="1" t="str">
        <f t="shared" si="1"/>
        <v>Electronics</v>
      </c>
      <c r="E364" s="1" t="str">
        <f t="shared" si="2"/>
        <v>Accessories</v>
      </c>
      <c r="F364" s="1">
        <v>369.0</v>
      </c>
      <c r="G364" s="1">
        <v>700.0</v>
      </c>
      <c r="H364" s="6">
        <f t="shared" si="3"/>
        <v>0.4728571429</v>
      </c>
      <c r="I364" s="3">
        <f>IFERROR(__xludf.DUMMYFUNCTION("GOOGLEFINANCE(""CURRENCY:INRBRL"")*F364"),22.472611105589998)</f>
        <v>22.47261111</v>
      </c>
      <c r="J364" s="1">
        <v>4.5</v>
      </c>
      <c r="K364" s="1">
        <v>67259.0</v>
      </c>
      <c r="L364" s="1" t="s">
        <v>1474</v>
      </c>
      <c r="M364" s="7" t="s">
        <v>1475</v>
      </c>
    </row>
    <row r="365">
      <c r="A365" s="1" t="s">
        <v>1476</v>
      </c>
      <c r="B365" s="1" t="s">
        <v>1477</v>
      </c>
      <c r="C365" s="1" t="s">
        <v>1375</v>
      </c>
      <c r="D365" s="1" t="str">
        <f t="shared" si="1"/>
        <v>Electronics</v>
      </c>
      <c r="E365" s="1" t="str">
        <f t="shared" si="2"/>
        <v>Mobiles&amp;Accessories</v>
      </c>
      <c r="F365" s="5">
        <v>12999.0</v>
      </c>
      <c r="G365" s="5">
        <v>17999.0</v>
      </c>
      <c r="H365" s="6">
        <f t="shared" si="3"/>
        <v>0.2777932107</v>
      </c>
      <c r="I365" s="3">
        <f>IFERROR(__xludf.DUMMYFUNCTION("GOOGLEFINANCE(""CURRENCY:INRBRL"")*F365"),791.6571050448899)</f>
        <v>791.657105</v>
      </c>
      <c r="J365" s="1">
        <v>4.49</v>
      </c>
      <c r="K365" s="1">
        <v>18998.0</v>
      </c>
      <c r="L365" s="1" t="s">
        <v>1478</v>
      </c>
      <c r="M365" s="7" t="s">
        <v>1479</v>
      </c>
    </row>
    <row r="366">
      <c r="A366" s="1" t="s">
        <v>1480</v>
      </c>
      <c r="B366" s="1" t="s">
        <v>1356</v>
      </c>
      <c r="C366" s="1" t="s">
        <v>1357</v>
      </c>
      <c r="D366" s="1" t="str">
        <f t="shared" si="1"/>
        <v>Electronics</v>
      </c>
      <c r="E366" s="1" t="str">
        <f t="shared" si="2"/>
        <v>WearableTechnology</v>
      </c>
      <c r="F366" s="5">
        <v>1799.0</v>
      </c>
      <c r="G366" s="5">
        <v>19999.0</v>
      </c>
      <c r="H366" s="6">
        <f t="shared" si="3"/>
        <v>0.9100455023</v>
      </c>
      <c r="I366" s="3">
        <f>IFERROR(__xludf.DUMMYFUNCTION("GOOGLEFINANCE(""CURRENCY:INRBRL"")*F366"),109.56159181289)</f>
        <v>109.5615918</v>
      </c>
      <c r="J366" s="1">
        <v>4.5</v>
      </c>
      <c r="K366" s="1">
        <v>13937.0</v>
      </c>
      <c r="L366" s="1" t="s">
        <v>1481</v>
      </c>
      <c r="M366" s="7" t="s">
        <v>1482</v>
      </c>
    </row>
    <row r="367">
      <c r="A367" s="1" t="s">
        <v>1483</v>
      </c>
      <c r="B367" s="1" t="s">
        <v>1484</v>
      </c>
      <c r="C367" s="1" t="s">
        <v>1357</v>
      </c>
      <c r="D367" s="1" t="str">
        <f t="shared" si="1"/>
        <v>Electronics</v>
      </c>
      <c r="E367" s="1" t="str">
        <f t="shared" si="2"/>
        <v>WearableTechnology</v>
      </c>
      <c r="F367" s="5">
        <v>2199.0</v>
      </c>
      <c r="G367" s="5">
        <v>9999.0</v>
      </c>
      <c r="H367" s="6">
        <f t="shared" si="3"/>
        <v>0.7800780078</v>
      </c>
      <c r="I367" s="3">
        <f>IFERROR(__xludf.DUMMYFUNCTION("GOOGLEFINANCE(""CURRENCY:INRBRL"")*F367"),133.92214585688998)</f>
        <v>133.9221459</v>
      </c>
      <c r="J367" s="1">
        <v>4.5</v>
      </c>
      <c r="K367" s="1">
        <v>29471.0</v>
      </c>
      <c r="L367" s="1" t="s">
        <v>1485</v>
      </c>
      <c r="M367" s="7" t="s">
        <v>1486</v>
      </c>
    </row>
    <row r="368">
      <c r="A368" s="1" t="s">
        <v>1487</v>
      </c>
      <c r="B368" s="1" t="s">
        <v>1488</v>
      </c>
      <c r="C368" s="1" t="s">
        <v>1375</v>
      </c>
      <c r="D368" s="1" t="str">
        <f t="shared" si="1"/>
        <v>Electronics</v>
      </c>
      <c r="E368" s="1" t="str">
        <f t="shared" si="2"/>
        <v>Mobiles&amp;Accessories</v>
      </c>
      <c r="F368" s="5">
        <v>16999.0</v>
      </c>
      <c r="G368" s="5">
        <v>24999.0</v>
      </c>
      <c r="H368" s="6">
        <f t="shared" si="3"/>
        <v>0.3200128005</v>
      </c>
      <c r="I368" s="3">
        <f>IFERROR(__xludf.DUMMYFUNCTION("GOOGLEFINANCE(""CURRENCY:INRBRL"")*F368"),1035.2626454848898)</f>
        <v>1035.262645</v>
      </c>
      <c r="J368" s="1">
        <v>4.49</v>
      </c>
      <c r="K368" s="1">
        <v>22318.0</v>
      </c>
      <c r="L368" s="1" t="s">
        <v>1489</v>
      </c>
      <c r="M368" s="7" t="s">
        <v>1490</v>
      </c>
    </row>
    <row r="369">
      <c r="A369" s="1" t="s">
        <v>1491</v>
      </c>
      <c r="B369" s="1" t="s">
        <v>1492</v>
      </c>
      <c r="C369" s="1" t="s">
        <v>1375</v>
      </c>
      <c r="D369" s="1" t="str">
        <f t="shared" si="1"/>
        <v>Electronics</v>
      </c>
      <c r="E369" s="1" t="str">
        <f t="shared" si="2"/>
        <v>Mobiles&amp;Accessories</v>
      </c>
      <c r="F369" s="5">
        <v>16499.0</v>
      </c>
      <c r="G369" s="5">
        <v>20999.0</v>
      </c>
      <c r="H369" s="6">
        <f t="shared" si="3"/>
        <v>0.2142959189</v>
      </c>
      <c r="I369" s="3">
        <f>IFERROR(__xludf.DUMMYFUNCTION("GOOGLEFINANCE(""CURRENCY:INRBRL"")*F369"),1004.8119529298899)</f>
        <v>1004.811953</v>
      </c>
      <c r="J369" s="1">
        <v>4.0</v>
      </c>
      <c r="K369" s="1">
        <v>2135.0</v>
      </c>
      <c r="L369" s="1" t="s">
        <v>1493</v>
      </c>
      <c r="M369" s="7" t="s">
        <v>1494</v>
      </c>
    </row>
    <row r="370">
      <c r="A370" s="1" t="s">
        <v>1495</v>
      </c>
      <c r="B370" s="1" t="s">
        <v>1356</v>
      </c>
      <c r="C370" s="1" t="s">
        <v>1357</v>
      </c>
      <c r="D370" s="1" t="str">
        <f t="shared" si="1"/>
        <v>Electronics</v>
      </c>
      <c r="E370" s="1" t="str">
        <f t="shared" si="2"/>
        <v>WearableTechnology</v>
      </c>
      <c r="F370" s="5">
        <v>1799.0</v>
      </c>
      <c r="G370" s="5">
        <v>19999.0</v>
      </c>
      <c r="H370" s="6">
        <f t="shared" si="3"/>
        <v>0.9100455023</v>
      </c>
      <c r="I370" s="3">
        <f>IFERROR(__xludf.DUMMYFUNCTION("GOOGLEFINANCE(""CURRENCY:INRBRL"")*F370"),109.56159181289)</f>
        <v>109.5615918</v>
      </c>
      <c r="J370" s="1">
        <v>4.5</v>
      </c>
      <c r="K370" s="1">
        <v>13937.0</v>
      </c>
      <c r="L370" s="1" t="s">
        <v>1481</v>
      </c>
      <c r="M370" s="7" t="s">
        <v>1496</v>
      </c>
    </row>
    <row r="371">
      <c r="A371" s="1" t="s">
        <v>20</v>
      </c>
      <c r="B371" s="1" t="s">
        <v>21</v>
      </c>
      <c r="C371" s="1" t="s">
        <v>22</v>
      </c>
      <c r="D371" s="1" t="str">
        <f t="shared" si="1"/>
        <v>Computers&amp;Accessories</v>
      </c>
      <c r="E371" s="1" t="str">
        <f t="shared" si="2"/>
        <v>Accessories&amp;Peripherals</v>
      </c>
      <c r="F371" s="1">
        <v>399.0</v>
      </c>
      <c r="G371" s="5">
        <v>1099.0</v>
      </c>
      <c r="H371" s="6">
        <f t="shared" si="3"/>
        <v>0.6369426752</v>
      </c>
      <c r="I371" s="3">
        <f>IFERROR(__xludf.DUMMYFUNCTION("GOOGLEFINANCE(""CURRENCY:INRBRL"")*F371"),24.29965265889)</f>
        <v>24.29965266</v>
      </c>
      <c r="J371" s="1">
        <v>4.5</v>
      </c>
      <c r="K371" s="1">
        <v>2427.0</v>
      </c>
      <c r="L371" s="1" t="s">
        <v>23</v>
      </c>
      <c r="M371" s="7" t="s">
        <v>1497</v>
      </c>
    </row>
    <row r="372">
      <c r="A372" s="1" t="s">
        <v>1498</v>
      </c>
      <c r="B372" s="1" t="s">
        <v>1499</v>
      </c>
      <c r="C372" s="1" t="s">
        <v>1375</v>
      </c>
      <c r="D372" s="1" t="str">
        <f t="shared" si="1"/>
        <v>Electronics</v>
      </c>
      <c r="E372" s="1" t="str">
        <f t="shared" si="2"/>
        <v>Mobiles&amp;Accessories</v>
      </c>
      <c r="F372" s="5">
        <v>8499.0</v>
      </c>
      <c r="G372" s="5">
        <v>10999.0</v>
      </c>
      <c r="H372" s="6">
        <f t="shared" si="3"/>
        <v>0.2272933903</v>
      </c>
      <c r="I372" s="3">
        <f>IFERROR(__xludf.DUMMYFUNCTION("GOOGLEFINANCE(""CURRENCY:INRBRL"")*F372"),517.60087204989)</f>
        <v>517.600872</v>
      </c>
      <c r="J372" s="1">
        <v>4.49</v>
      </c>
      <c r="K372" s="1">
        <v>313836.0</v>
      </c>
      <c r="L372" s="1" t="s">
        <v>1500</v>
      </c>
      <c r="M372" s="7" t="s">
        <v>1501</v>
      </c>
    </row>
    <row r="373">
      <c r="A373" s="1" t="s">
        <v>1502</v>
      </c>
      <c r="B373" s="1" t="s">
        <v>1503</v>
      </c>
      <c r="C373" s="1" t="s">
        <v>1375</v>
      </c>
      <c r="D373" s="1" t="str">
        <f t="shared" si="1"/>
        <v>Electronics</v>
      </c>
      <c r="E373" s="1" t="str">
        <f t="shared" si="2"/>
        <v>Mobiles&amp;Accessories</v>
      </c>
      <c r="F373" s="5">
        <v>6499.0</v>
      </c>
      <c r="G373" s="5">
        <v>8499.0</v>
      </c>
      <c r="H373" s="6">
        <f t="shared" si="3"/>
        <v>0.2353218026</v>
      </c>
      <c r="I373" s="3">
        <f>IFERROR(__xludf.DUMMYFUNCTION("GOOGLEFINANCE(""CURRENCY:INRBRL"")*F373"),395.79810182988996)</f>
        <v>395.7981018</v>
      </c>
      <c r="J373" s="1">
        <v>4.49</v>
      </c>
      <c r="K373" s="1">
        <v>313836.0</v>
      </c>
      <c r="L373" s="1" t="s">
        <v>1504</v>
      </c>
      <c r="M373" s="7" t="s">
        <v>1505</v>
      </c>
    </row>
    <row r="374">
      <c r="A374" s="1" t="s">
        <v>1506</v>
      </c>
      <c r="B374" s="1" t="s">
        <v>1356</v>
      </c>
      <c r="C374" s="1" t="s">
        <v>1357</v>
      </c>
      <c r="D374" s="1" t="str">
        <f t="shared" si="1"/>
        <v>Electronics</v>
      </c>
      <c r="E374" s="1" t="str">
        <f t="shared" si="2"/>
        <v>WearableTechnology</v>
      </c>
      <c r="F374" s="5">
        <v>1799.0</v>
      </c>
      <c r="G374" s="5">
        <v>19999.0</v>
      </c>
      <c r="H374" s="6">
        <f t="shared" si="3"/>
        <v>0.9100455023</v>
      </c>
      <c r="I374" s="3">
        <f>IFERROR(__xludf.DUMMYFUNCTION("GOOGLEFINANCE(""CURRENCY:INRBRL"")*F374"),109.56159181289)</f>
        <v>109.5615918</v>
      </c>
      <c r="J374" s="1">
        <v>4.5</v>
      </c>
      <c r="K374" s="1">
        <v>13937.0</v>
      </c>
      <c r="L374" s="1" t="s">
        <v>1507</v>
      </c>
      <c r="M374" s="7" t="s">
        <v>1508</v>
      </c>
    </row>
    <row r="375">
      <c r="A375" s="1" t="s">
        <v>1509</v>
      </c>
      <c r="B375" s="1" t="s">
        <v>1510</v>
      </c>
      <c r="C375" s="1" t="s">
        <v>1375</v>
      </c>
      <c r="D375" s="1" t="str">
        <f t="shared" si="1"/>
        <v>Electronics</v>
      </c>
      <c r="E375" s="1" t="str">
        <f t="shared" si="2"/>
        <v>Mobiles&amp;Accessories</v>
      </c>
      <c r="F375" s="5">
        <v>8999.0</v>
      </c>
      <c r="G375" s="5">
        <v>11999.0</v>
      </c>
      <c r="H375" s="6">
        <f t="shared" si="3"/>
        <v>0.2500208351</v>
      </c>
      <c r="I375" s="3">
        <f>IFERROR(__xludf.DUMMYFUNCTION("GOOGLEFINANCE(""CURRENCY:INRBRL"")*F375"),548.05156460489)</f>
        <v>548.0515646</v>
      </c>
      <c r="J375" s="1">
        <v>4.0</v>
      </c>
      <c r="K375" s="1">
        <v>12796.0</v>
      </c>
      <c r="L375" s="1" t="s">
        <v>1425</v>
      </c>
      <c r="M375" s="7" t="s">
        <v>1511</v>
      </c>
    </row>
    <row r="376">
      <c r="A376" s="1" t="s">
        <v>1512</v>
      </c>
      <c r="B376" s="1" t="s">
        <v>1513</v>
      </c>
      <c r="C376" s="1" t="s">
        <v>1514</v>
      </c>
      <c r="D376" s="1" t="str">
        <f t="shared" si="1"/>
        <v>Electronics</v>
      </c>
      <c r="E376" s="1" t="str">
        <f t="shared" si="2"/>
        <v>Mobiles&amp;Accessories</v>
      </c>
      <c r="F376" s="1">
        <v>139.0</v>
      </c>
      <c r="G376" s="1">
        <v>495.0</v>
      </c>
      <c r="H376" s="6">
        <f t="shared" si="3"/>
        <v>0.7191919192</v>
      </c>
      <c r="I376" s="3">
        <f>IFERROR(__xludf.DUMMYFUNCTION("GOOGLEFINANCE(""CURRENCY:INRBRL"")*F376"),8.46529253029)</f>
        <v>8.46529253</v>
      </c>
      <c r="J376" s="1">
        <v>4.5</v>
      </c>
      <c r="K376" s="1">
        <v>14185.0</v>
      </c>
      <c r="L376" s="1" t="s">
        <v>1515</v>
      </c>
      <c r="M376" s="7" t="s">
        <v>1516</v>
      </c>
    </row>
    <row r="377">
      <c r="A377" s="1" t="s">
        <v>1517</v>
      </c>
      <c r="B377" s="1" t="s">
        <v>1518</v>
      </c>
      <c r="C377" s="1" t="s">
        <v>1357</v>
      </c>
      <c r="D377" s="1" t="str">
        <f t="shared" si="1"/>
        <v>Electronics</v>
      </c>
      <c r="E377" s="1" t="str">
        <f t="shared" si="2"/>
        <v>WearableTechnology</v>
      </c>
      <c r="F377" s="5">
        <v>3999.0</v>
      </c>
      <c r="G377" s="5">
        <v>16999.0</v>
      </c>
      <c r="H377" s="6">
        <f t="shared" si="3"/>
        <v>0.7647508677</v>
      </c>
      <c r="I377" s="3">
        <f>IFERROR(__xludf.DUMMYFUNCTION("GOOGLEFINANCE(""CURRENCY:INRBRL"")*F377"),243.54463905488998)</f>
        <v>243.5446391</v>
      </c>
      <c r="J377" s="1">
        <v>4.5</v>
      </c>
      <c r="K377" s="1">
        <v>17159.0</v>
      </c>
      <c r="L377" s="1" t="s">
        <v>1519</v>
      </c>
      <c r="M377" s="7" t="s">
        <v>1520</v>
      </c>
    </row>
    <row r="378">
      <c r="A378" s="1" t="s">
        <v>1521</v>
      </c>
      <c r="B378" s="1" t="s">
        <v>1522</v>
      </c>
      <c r="C378" s="1" t="s">
        <v>1357</v>
      </c>
      <c r="D378" s="1" t="str">
        <f t="shared" si="1"/>
        <v>Electronics</v>
      </c>
      <c r="E378" s="1" t="str">
        <f t="shared" si="2"/>
        <v>WearableTechnology</v>
      </c>
      <c r="F378" s="5">
        <v>2998.0</v>
      </c>
      <c r="G378" s="5">
        <v>5999.0</v>
      </c>
      <c r="H378" s="6">
        <f t="shared" si="3"/>
        <v>0.5002500417</v>
      </c>
      <c r="I378" s="3">
        <f>IFERROR(__xludf.DUMMYFUNCTION("GOOGLEFINANCE(""CURRENCY:INRBRL"")*F378"),182.58235255978)</f>
        <v>182.5823526</v>
      </c>
      <c r="J378" s="1">
        <v>4.49</v>
      </c>
      <c r="K378" s="1">
        <v>5179.0</v>
      </c>
      <c r="L378" s="1" t="s">
        <v>1523</v>
      </c>
      <c r="M378" s="7" t="s">
        <v>1524</v>
      </c>
    </row>
    <row r="379">
      <c r="A379" s="1" t="s">
        <v>25</v>
      </c>
      <c r="B379" s="1" t="s">
        <v>26</v>
      </c>
      <c r="C379" s="1" t="s">
        <v>22</v>
      </c>
      <c r="D379" s="1" t="str">
        <f t="shared" si="1"/>
        <v>Computers&amp;Accessories</v>
      </c>
      <c r="E379" s="1" t="str">
        <f t="shared" si="2"/>
        <v>Accessories&amp;Peripherals</v>
      </c>
      <c r="F379" s="1">
        <v>199.0</v>
      </c>
      <c r="G379" s="1">
        <v>349.0</v>
      </c>
      <c r="H379" s="6">
        <f t="shared" si="3"/>
        <v>0.4297994269</v>
      </c>
      <c r="I379" s="3">
        <f>IFERROR(__xludf.DUMMYFUNCTION("GOOGLEFINANCE(""CURRENCY:INRBRL"")*F379"),12.11937563689)</f>
        <v>12.11937564</v>
      </c>
      <c r="J379" s="1">
        <v>4.0</v>
      </c>
      <c r="K379" s="1">
        <v>43993.0</v>
      </c>
      <c r="L379" s="1" t="s">
        <v>27</v>
      </c>
      <c r="M379" s="7" t="s">
        <v>1525</v>
      </c>
    </row>
    <row r="380">
      <c r="A380" s="1" t="s">
        <v>1526</v>
      </c>
      <c r="B380" s="1" t="s">
        <v>1527</v>
      </c>
      <c r="C380" s="1" t="s">
        <v>1375</v>
      </c>
      <c r="D380" s="1" t="str">
        <f t="shared" si="1"/>
        <v>Electronics</v>
      </c>
      <c r="E380" s="1" t="str">
        <f t="shared" si="2"/>
        <v>Mobiles&amp;Accessories</v>
      </c>
      <c r="F380" s="5">
        <v>15499.0</v>
      </c>
      <c r="G380" s="5">
        <v>18999.0</v>
      </c>
      <c r="H380" s="6">
        <f t="shared" si="3"/>
        <v>0.1842202221</v>
      </c>
      <c r="I380" s="3">
        <f>IFERROR(__xludf.DUMMYFUNCTION("GOOGLEFINANCE(""CURRENCY:INRBRL"")*F380"),943.9105678198899)</f>
        <v>943.9105678</v>
      </c>
      <c r="J380" s="1">
        <v>4.49</v>
      </c>
      <c r="K380" s="1">
        <v>19252.0</v>
      </c>
      <c r="L380" s="1" t="s">
        <v>1528</v>
      </c>
      <c r="M380" s="7" t="s">
        <v>1529</v>
      </c>
    </row>
    <row r="381">
      <c r="A381" s="1" t="s">
        <v>29</v>
      </c>
      <c r="B381" s="1" t="s">
        <v>30</v>
      </c>
      <c r="C381" s="1" t="s">
        <v>22</v>
      </c>
      <c r="D381" s="1" t="str">
        <f t="shared" si="1"/>
        <v>Computers&amp;Accessories</v>
      </c>
      <c r="E381" s="1" t="str">
        <f t="shared" si="2"/>
        <v>Accessories&amp;Peripherals</v>
      </c>
      <c r="F381" s="1">
        <v>199.0</v>
      </c>
      <c r="G381" s="1">
        <v>999.0</v>
      </c>
      <c r="H381" s="6">
        <f t="shared" si="3"/>
        <v>0.8008008008</v>
      </c>
      <c r="I381" s="3">
        <f>IFERROR(__xludf.DUMMYFUNCTION("GOOGLEFINANCE(""CURRENCY:INRBRL"")*F381"),12.11937563689)</f>
        <v>12.11937564</v>
      </c>
      <c r="J381" s="1">
        <v>4.52</v>
      </c>
      <c r="K381" s="1">
        <v>7928.0</v>
      </c>
      <c r="L381" s="1" t="s">
        <v>1530</v>
      </c>
      <c r="M381" s="7" t="s">
        <v>1531</v>
      </c>
    </row>
    <row r="382">
      <c r="A382" s="1" t="s">
        <v>1532</v>
      </c>
      <c r="B382" s="1" t="s">
        <v>1356</v>
      </c>
      <c r="C382" s="1" t="s">
        <v>1357</v>
      </c>
      <c r="D382" s="1" t="str">
        <f t="shared" si="1"/>
        <v>Electronics</v>
      </c>
      <c r="E382" s="1" t="str">
        <f t="shared" si="2"/>
        <v>WearableTechnology</v>
      </c>
      <c r="F382" s="5">
        <v>1799.0</v>
      </c>
      <c r="G382" s="5">
        <v>19999.0</v>
      </c>
      <c r="H382" s="6">
        <f t="shared" si="3"/>
        <v>0.9100455023</v>
      </c>
      <c r="I382" s="3">
        <f>IFERROR(__xludf.DUMMYFUNCTION("GOOGLEFINANCE(""CURRENCY:INRBRL"")*F382"),109.56159181289)</f>
        <v>109.5615918</v>
      </c>
      <c r="J382" s="1">
        <v>4.5</v>
      </c>
      <c r="K382" s="1">
        <v>13937.0</v>
      </c>
      <c r="L382" s="1" t="s">
        <v>1358</v>
      </c>
      <c r="M382" s="7" t="s">
        <v>1533</v>
      </c>
    </row>
    <row r="383">
      <c r="A383" s="1" t="s">
        <v>1534</v>
      </c>
      <c r="B383" s="1" t="s">
        <v>1535</v>
      </c>
      <c r="C383" s="1" t="s">
        <v>1375</v>
      </c>
      <c r="D383" s="1" t="str">
        <f t="shared" si="1"/>
        <v>Electronics</v>
      </c>
      <c r="E383" s="1" t="str">
        <f t="shared" si="2"/>
        <v>Mobiles&amp;Accessories</v>
      </c>
      <c r="F383" s="5">
        <v>8999.0</v>
      </c>
      <c r="G383" s="5">
        <v>11999.0</v>
      </c>
      <c r="H383" s="6">
        <f t="shared" si="3"/>
        <v>0.2500208351</v>
      </c>
      <c r="I383" s="3">
        <f>IFERROR(__xludf.DUMMYFUNCTION("GOOGLEFINANCE(""CURRENCY:INRBRL"")*F383"),548.05156460489)</f>
        <v>548.0515646</v>
      </c>
      <c r="J383" s="1">
        <v>4.0</v>
      </c>
      <c r="K383" s="1">
        <v>12796.0</v>
      </c>
      <c r="L383" s="1" t="s">
        <v>1425</v>
      </c>
      <c r="M383" s="7" t="s">
        <v>1536</v>
      </c>
    </row>
    <row r="384">
      <c r="A384" s="1" t="s">
        <v>1537</v>
      </c>
      <c r="B384" s="1" t="s">
        <v>1538</v>
      </c>
      <c r="C384" s="1" t="s">
        <v>1429</v>
      </c>
      <c r="D384" s="1" t="str">
        <f t="shared" si="1"/>
        <v>Electronics</v>
      </c>
      <c r="E384" s="1" t="str">
        <f t="shared" si="2"/>
        <v>Mobiles&amp;Accessories</v>
      </c>
      <c r="F384" s="1">
        <v>873.0</v>
      </c>
      <c r="G384" s="5">
        <v>1699.0</v>
      </c>
      <c r="H384" s="6">
        <f t="shared" si="3"/>
        <v>0.4861683343</v>
      </c>
      <c r="I384" s="3">
        <f>IFERROR(__xludf.DUMMYFUNCTION("GOOGLEFINANCE(""CURRENCY:INRBRL"")*F384"),53.166909201029995)</f>
        <v>53.1669092</v>
      </c>
      <c r="J384" s="1">
        <v>4.5</v>
      </c>
      <c r="K384" s="1">
        <v>168.0</v>
      </c>
      <c r="L384" s="1" t="s">
        <v>1539</v>
      </c>
      <c r="M384" s="7" t="s">
        <v>1540</v>
      </c>
    </row>
    <row r="385">
      <c r="A385" s="1" t="s">
        <v>1541</v>
      </c>
      <c r="B385" s="1" t="s">
        <v>1542</v>
      </c>
      <c r="C385" s="1" t="s">
        <v>1375</v>
      </c>
      <c r="D385" s="1" t="str">
        <f t="shared" si="1"/>
        <v>Electronics</v>
      </c>
      <c r="E385" s="1" t="str">
        <f t="shared" si="2"/>
        <v>Mobiles&amp;Accessories</v>
      </c>
      <c r="F385" s="5">
        <v>12999.0</v>
      </c>
      <c r="G385" s="5">
        <v>15999.0</v>
      </c>
      <c r="H385" s="6">
        <f t="shared" si="3"/>
        <v>0.1875117195</v>
      </c>
      <c r="I385" s="3">
        <f>IFERROR(__xludf.DUMMYFUNCTION("GOOGLEFINANCE(""CURRENCY:INRBRL"")*F385"),791.6571050448899)</f>
        <v>791.657105</v>
      </c>
      <c r="J385" s="1">
        <v>4.5</v>
      </c>
      <c r="K385" s="1">
        <v>13246.0</v>
      </c>
      <c r="L385" s="1" t="s">
        <v>1543</v>
      </c>
      <c r="M385" s="7" t="s">
        <v>1544</v>
      </c>
    </row>
    <row r="386">
      <c r="A386" s="1" t="s">
        <v>1545</v>
      </c>
      <c r="B386" s="1" t="s">
        <v>1546</v>
      </c>
      <c r="C386" s="1" t="s">
        <v>1547</v>
      </c>
      <c r="D386" s="1" t="str">
        <f t="shared" si="1"/>
        <v>Electronics</v>
      </c>
      <c r="E386" s="1" t="str">
        <f t="shared" si="2"/>
        <v>Mobiles&amp;Accessories</v>
      </c>
      <c r="F386" s="1">
        <v>539.0</v>
      </c>
      <c r="G386" s="5">
        <v>1599.0</v>
      </c>
      <c r="H386" s="6">
        <f t="shared" si="3"/>
        <v>0.6629143215</v>
      </c>
      <c r="I386" s="3">
        <f>IFERROR(__xludf.DUMMYFUNCTION("GOOGLEFINANCE(""CURRENCY:INRBRL"")*F386"),32.82584657429)</f>
        <v>32.82584657</v>
      </c>
      <c r="J386" s="1">
        <v>4.51</v>
      </c>
      <c r="K386" s="1">
        <v>14648.0</v>
      </c>
      <c r="L386" s="1" t="s">
        <v>1548</v>
      </c>
      <c r="M386" s="7" t="s">
        <v>1549</v>
      </c>
    </row>
    <row r="387">
      <c r="A387" s="1" t="s">
        <v>1550</v>
      </c>
      <c r="B387" s="1" t="s">
        <v>1361</v>
      </c>
      <c r="C387" s="1" t="s">
        <v>1357</v>
      </c>
      <c r="D387" s="1" t="str">
        <f t="shared" si="1"/>
        <v>Electronics</v>
      </c>
      <c r="E387" s="1" t="str">
        <f t="shared" si="2"/>
        <v>WearableTechnology</v>
      </c>
      <c r="F387" s="5">
        <v>1999.0</v>
      </c>
      <c r="G387" s="5">
        <v>9999.0</v>
      </c>
      <c r="H387" s="6">
        <f t="shared" si="3"/>
        <v>0.800080008</v>
      </c>
      <c r="I387" s="3">
        <f>IFERROR(__xludf.DUMMYFUNCTION("GOOGLEFINANCE(""CURRENCY:INRBRL"")*F387"),121.74186883489)</f>
        <v>121.7418688</v>
      </c>
      <c r="J387" s="1">
        <v>4.5</v>
      </c>
      <c r="K387" s="1">
        <v>27696.0</v>
      </c>
      <c r="L387" s="1" t="s">
        <v>1551</v>
      </c>
      <c r="M387" s="7" t="s">
        <v>1552</v>
      </c>
    </row>
    <row r="388">
      <c r="A388" s="1" t="s">
        <v>1553</v>
      </c>
      <c r="B388" s="1" t="s">
        <v>1554</v>
      </c>
      <c r="C388" s="1" t="s">
        <v>1375</v>
      </c>
      <c r="D388" s="1" t="str">
        <f t="shared" si="1"/>
        <v>Electronics</v>
      </c>
      <c r="E388" s="1" t="str">
        <f t="shared" si="2"/>
        <v>Mobiles&amp;Accessories</v>
      </c>
      <c r="F388" s="5">
        <v>15490.0</v>
      </c>
      <c r="G388" s="5">
        <v>20990.0</v>
      </c>
      <c r="H388" s="6">
        <f t="shared" si="3"/>
        <v>0.2620295379</v>
      </c>
      <c r="I388" s="3">
        <f>IFERROR(__xludf.DUMMYFUNCTION("GOOGLEFINANCE(""CURRENCY:INRBRL"")*F388"),943.3624553538999)</f>
        <v>943.3624554</v>
      </c>
      <c r="J388" s="1">
        <v>4.5</v>
      </c>
      <c r="K388" s="1">
        <v>32916.0</v>
      </c>
      <c r="L388" s="1" t="s">
        <v>1555</v>
      </c>
      <c r="M388" s="7" t="s">
        <v>1556</v>
      </c>
    </row>
    <row r="389">
      <c r="A389" s="1" t="s">
        <v>1557</v>
      </c>
      <c r="B389" s="1" t="s">
        <v>1558</v>
      </c>
      <c r="C389" s="1" t="s">
        <v>1375</v>
      </c>
      <c r="D389" s="1" t="str">
        <f t="shared" si="1"/>
        <v>Electronics</v>
      </c>
      <c r="E389" s="1" t="str">
        <f t="shared" si="2"/>
        <v>Mobiles&amp;Accessories</v>
      </c>
      <c r="F389" s="5">
        <v>19999.0</v>
      </c>
      <c r="G389" s="5">
        <v>24999.0</v>
      </c>
      <c r="H389" s="6">
        <f t="shared" si="3"/>
        <v>0.2000080003</v>
      </c>
      <c r="I389" s="3">
        <f>IFERROR(__xludf.DUMMYFUNCTION("GOOGLEFINANCE(""CURRENCY:INRBRL"")*F389"),1217.96680081489)</f>
        <v>1217.966801</v>
      </c>
      <c r="J389" s="1">
        <v>4.52</v>
      </c>
      <c r="K389" s="1">
        <v>25824.0</v>
      </c>
      <c r="L389" s="1" t="s">
        <v>1559</v>
      </c>
      <c r="M389" s="7" t="s">
        <v>1560</v>
      </c>
    </row>
    <row r="390">
      <c r="A390" s="1" t="s">
        <v>1561</v>
      </c>
      <c r="B390" s="1" t="s">
        <v>1562</v>
      </c>
      <c r="C390" s="1" t="s">
        <v>1457</v>
      </c>
      <c r="D390" s="1" t="str">
        <f t="shared" si="1"/>
        <v>Electronics</v>
      </c>
      <c r="E390" s="1" t="str">
        <f t="shared" si="2"/>
        <v>Mobiles&amp;Accessories</v>
      </c>
      <c r="F390" s="5">
        <v>1075.0</v>
      </c>
      <c r="G390" s="5">
        <v>1699.0</v>
      </c>
      <c r="H390" s="6">
        <f t="shared" si="3"/>
        <v>0.3672748676</v>
      </c>
      <c r="I390" s="3">
        <f>IFERROR(__xludf.DUMMYFUNCTION("GOOGLEFINANCE(""CURRENCY:INRBRL"")*F390"),65.46898899325)</f>
        <v>65.46898899</v>
      </c>
      <c r="J390" s="1">
        <v>4.5</v>
      </c>
      <c r="K390" s="1">
        <v>7462.0</v>
      </c>
      <c r="L390" s="1" t="s">
        <v>1563</v>
      </c>
      <c r="M390" s="7" t="s">
        <v>1564</v>
      </c>
    </row>
    <row r="391">
      <c r="A391" s="1" t="s">
        <v>1565</v>
      </c>
      <c r="B391" s="1" t="s">
        <v>1566</v>
      </c>
      <c r="C391" s="1" t="s">
        <v>1412</v>
      </c>
      <c r="D391" s="1" t="str">
        <f t="shared" si="1"/>
        <v>Electronics</v>
      </c>
      <c r="E391" s="1" t="str">
        <f t="shared" si="2"/>
        <v>Headphones,Earbuds&amp;Accessories</v>
      </c>
      <c r="F391" s="1">
        <v>399.0</v>
      </c>
      <c r="G391" s="1">
        <v>699.0</v>
      </c>
      <c r="H391" s="6">
        <f t="shared" si="3"/>
        <v>0.4291845494</v>
      </c>
      <c r="I391" s="3">
        <f>IFERROR(__xludf.DUMMYFUNCTION("GOOGLEFINANCE(""CURRENCY:INRBRL"")*F391"),24.29965265889)</f>
        <v>24.29965266</v>
      </c>
      <c r="J391" s="1">
        <v>4.0</v>
      </c>
      <c r="K391" s="1">
        <v>37817.0</v>
      </c>
      <c r="L391" s="1" t="s">
        <v>1567</v>
      </c>
      <c r="M391" s="7" t="s">
        <v>1568</v>
      </c>
    </row>
    <row r="392">
      <c r="A392" s="1" t="s">
        <v>1569</v>
      </c>
      <c r="B392" s="1" t="s">
        <v>1570</v>
      </c>
      <c r="C392" s="1" t="s">
        <v>1357</v>
      </c>
      <c r="D392" s="1" t="str">
        <f t="shared" si="1"/>
        <v>Electronics</v>
      </c>
      <c r="E392" s="1" t="str">
        <f t="shared" si="2"/>
        <v>WearableTechnology</v>
      </c>
      <c r="F392" s="5">
        <v>1999.0</v>
      </c>
      <c r="G392" s="5">
        <v>3990.0</v>
      </c>
      <c r="H392" s="6">
        <f t="shared" si="3"/>
        <v>0.4989974937</v>
      </c>
      <c r="I392" s="3">
        <f>IFERROR(__xludf.DUMMYFUNCTION("GOOGLEFINANCE(""CURRENCY:INRBRL"")*F392"),121.74186883489)</f>
        <v>121.7418688</v>
      </c>
      <c r="J392" s="1">
        <v>4.0</v>
      </c>
      <c r="K392" s="1">
        <v>30254.0</v>
      </c>
      <c r="L392" s="1" t="s">
        <v>1571</v>
      </c>
      <c r="M392" s="7" t="s">
        <v>1572</v>
      </c>
    </row>
    <row r="393">
      <c r="A393" s="1" t="s">
        <v>1573</v>
      </c>
      <c r="B393" s="1" t="s">
        <v>1574</v>
      </c>
      <c r="C393" s="1" t="s">
        <v>1357</v>
      </c>
      <c r="D393" s="1" t="str">
        <f t="shared" si="1"/>
        <v>Electronics</v>
      </c>
      <c r="E393" s="1" t="str">
        <f t="shared" si="2"/>
        <v>WearableTechnology</v>
      </c>
      <c r="F393" s="5">
        <v>1999.0</v>
      </c>
      <c r="G393" s="5">
        <v>7990.0</v>
      </c>
      <c r="H393" s="6">
        <f t="shared" si="3"/>
        <v>0.7498122653</v>
      </c>
      <c r="I393" s="3">
        <f>IFERROR(__xludf.DUMMYFUNCTION("GOOGLEFINANCE(""CURRENCY:INRBRL"")*F393"),121.74186883489)</f>
        <v>121.7418688</v>
      </c>
      <c r="J393" s="1">
        <v>4.51</v>
      </c>
      <c r="K393" s="1">
        <v>17831.0</v>
      </c>
      <c r="L393" s="1" t="s">
        <v>1366</v>
      </c>
      <c r="M393" s="7" t="s">
        <v>1575</v>
      </c>
    </row>
    <row r="394">
      <c r="A394" s="1" t="s">
        <v>33</v>
      </c>
      <c r="B394" s="1" t="s">
        <v>34</v>
      </c>
      <c r="C394" s="1" t="s">
        <v>22</v>
      </c>
      <c r="D394" s="1" t="str">
        <f t="shared" si="1"/>
        <v>Computers&amp;Accessories</v>
      </c>
      <c r="E394" s="1" t="str">
        <f t="shared" si="2"/>
        <v>Accessories&amp;Peripherals</v>
      </c>
      <c r="F394" s="1">
        <v>329.0</v>
      </c>
      <c r="G394" s="1">
        <v>699.0</v>
      </c>
      <c r="H394" s="6">
        <f t="shared" si="3"/>
        <v>0.5293276109</v>
      </c>
      <c r="I394" s="3">
        <f>IFERROR(__xludf.DUMMYFUNCTION("GOOGLEFINANCE(""CURRENCY:INRBRL"")*F394"),20.03655570119)</f>
        <v>20.0365557</v>
      </c>
      <c r="J394" s="1">
        <v>4.5</v>
      </c>
      <c r="K394" s="1">
        <v>94364.0</v>
      </c>
      <c r="L394" s="1" t="s">
        <v>35</v>
      </c>
      <c r="M394" s="7" t="s">
        <v>1576</v>
      </c>
    </row>
    <row r="395">
      <c r="A395" s="1" t="s">
        <v>37</v>
      </c>
      <c r="B395" s="1" t="s">
        <v>38</v>
      </c>
      <c r="C395" s="1" t="s">
        <v>22</v>
      </c>
      <c r="D395" s="1" t="str">
        <f t="shared" si="1"/>
        <v>Computers&amp;Accessories</v>
      </c>
      <c r="E395" s="1" t="str">
        <f t="shared" si="2"/>
        <v>Accessories&amp;Peripherals</v>
      </c>
      <c r="F395" s="1">
        <v>154.0</v>
      </c>
      <c r="G395" s="1">
        <v>399.0</v>
      </c>
      <c r="H395" s="6">
        <f t="shared" si="3"/>
        <v>0.6140350877</v>
      </c>
      <c r="I395" s="3">
        <f>IFERROR(__xludf.DUMMYFUNCTION("GOOGLEFINANCE(""CURRENCY:INRBRL"")*F395"),9.37881330694)</f>
        <v>9.378813307</v>
      </c>
      <c r="J395" s="1">
        <v>4.5</v>
      </c>
      <c r="K395" s="1">
        <v>16905.0</v>
      </c>
      <c r="L395" s="1" t="s">
        <v>39</v>
      </c>
      <c r="M395" s="7" t="s">
        <v>1577</v>
      </c>
    </row>
    <row r="396">
      <c r="A396" s="1" t="s">
        <v>1578</v>
      </c>
      <c r="B396" s="1" t="s">
        <v>1579</v>
      </c>
      <c r="C396" s="1" t="s">
        <v>1375</v>
      </c>
      <c r="D396" s="1" t="str">
        <f t="shared" si="1"/>
        <v>Electronics</v>
      </c>
      <c r="E396" s="1" t="str">
        <f t="shared" si="2"/>
        <v>Mobiles&amp;Accessories</v>
      </c>
      <c r="F396" s="5">
        <v>28999.0</v>
      </c>
      <c r="G396" s="5">
        <v>34999.0</v>
      </c>
      <c r="H396" s="6">
        <f t="shared" si="3"/>
        <v>0.1714334695</v>
      </c>
      <c r="I396" s="3">
        <f>IFERROR(__xludf.DUMMYFUNCTION("GOOGLEFINANCE(""CURRENCY:INRBRL"")*F396"),1766.07926680489)</f>
        <v>1766.079267</v>
      </c>
      <c r="J396" s="1">
        <v>4.5</v>
      </c>
      <c r="K396" s="1">
        <v>20311.0</v>
      </c>
      <c r="L396" s="1" t="s">
        <v>1580</v>
      </c>
      <c r="M396" s="7" t="s">
        <v>1581</v>
      </c>
    </row>
    <row r="397">
      <c r="A397" s="1" t="s">
        <v>1582</v>
      </c>
      <c r="B397" s="1" t="s">
        <v>1583</v>
      </c>
      <c r="C397" s="1" t="s">
        <v>1357</v>
      </c>
      <c r="D397" s="1" t="str">
        <f t="shared" si="1"/>
        <v>Electronics</v>
      </c>
      <c r="E397" s="1" t="str">
        <f t="shared" si="2"/>
        <v>WearableTechnology</v>
      </c>
      <c r="F397" s="5">
        <v>2299.0</v>
      </c>
      <c r="G397" s="5">
        <v>7999.0</v>
      </c>
      <c r="H397" s="6">
        <f t="shared" si="3"/>
        <v>0.7125890736</v>
      </c>
      <c r="I397" s="3">
        <f>IFERROR(__xludf.DUMMYFUNCTION("GOOGLEFINANCE(""CURRENCY:INRBRL"")*F397"),140.01228436789)</f>
        <v>140.0122844</v>
      </c>
      <c r="J397" s="1">
        <v>4.5</v>
      </c>
      <c r="K397" s="1">
        <v>69622.0</v>
      </c>
      <c r="L397" s="1" t="s">
        <v>1584</v>
      </c>
      <c r="M397" s="7" t="s">
        <v>1585</v>
      </c>
    </row>
    <row r="398">
      <c r="A398" s="1" t="s">
        <v>1586</v>
      </c>
      <c r="B398" s="1" t="s">
        <v>1587</v>
      </c>
      <c r="C398" s="1" t="s">
        <v>1588</v>
      </c>
      <c r="D398" s="1" t="str">
        <f t="shared" si="1"/>
        <v>Electronics</v>
      </c>
      <c r="E398" s="1" t="str">
        <f t="shared" si="2"/>
        <v>Mobiles&amp;Accessories</v>
      </c>
      <c r="F398" s="1">
        <v>399.0</v>
      </c>
      <c r="G398" s="5">
        <v>1999.0</v>
      </c>
      <c r="H398" s="6">
        <f t="shared" si="3"/>
        <v>0.8004002001</v>
      </c>
      <c r="I398" s="3">
        <f>IFERROR(__xludf.DUMMYFUNCTION("GOOGLEFINANCE(""CURRENCY:INRBRL"")*F398"),24.29965265889)</f>
        <v>24.29965266</v>
      </c>
      <c r="J398" s="1">
        <v>4.0</v>
      </c>
      <c r="K398" s="1">
        <v>3382.0</v>
      </c>
      <c r="L398" s="1" t="s">
        <v>1589</v>
      </c>
      <c r="M398" s="7" t="s">
        <v>1590</v>
      </c>
    </row>
    <row r="399">
      <c r="A399" s="1" t="s">
        <v>1591</v>
      </c>
      <c r="B399" s="1" t="s">
        <v>1592</v>
      </c>
      <c r="C399" s="1" t="s">
        <v>1394</v>
      </c>
      <c r="D399" s="1" t="str">
        <f t="shared" si="1"/>
        <v>Electronics</v>
      </c>
      <c r="E399" s="1" t="str">
        <f t="shared" si="2"/>
        <v>Accessories</v>
      </c>
      <c r="F399" s="5">
        <v>1149.0</v>
      </c>
      <c r="G399" s="5">
        <v>3999.0</v>
      </c>
      <c r="H399" s="6">
        <f t="shared" si="3"/>
        <v>0.7126781695</v>
      </c>
      <c r="I399" s="3">
        <f>IFERROR(__xludf.DUMMYFUNCTION("GOOGLEFINANCE(""CURRENCY:INRBRL"")*F399"),69.97569149139)</f>
        <v>69.97569149</v>
      </c>
      <c r="J399" s="1">
        <v>4.5</v>
      </c>
      <c r="K399" s="1">
        <v>140036.0</v>
      </c>
      <c r="L399" s="1" t="s">
        <v>1593</v>
      </c>
      <c r="M399" s="7" t="s">
        <v>1594</v>
      </c>
    </row>
    <row r="400">
      <c r="A400" s="1" t="s">
        <v>1595</v>
      </c>
      <c r="B400" s="1" t="s">
        <v>1596</v>
      </c>
      <c r="C400" s="1" t="s">
        <v>1457</v>
      </c>
      <c r="D400" s="1" t="str">
        <f t="shared" si="1"/>
        <v>Electronics</v>
      </c>
      <c r="E400" s="1" t="str">
        <f t="shared" si="2"/>
        <v>Mobiles&amp;Accessories</v>
      </c>
      <c r="F400" s="1">
        <v>529.0</v>
      </c>
      <c r="G400" s="5">
        <v>1499.0</v>
      </c>
      <c r="H400" s="6">
        <f t="shared" si="3"/>
        <v>0.6470980654</v>
      </c>
      <c r="I400" s="3">
        <f>IFERROR(__xludf.DUMMYFUNCTION("GOOGLEFINANCE(""CURRENCY:INRBRL"")*F400"),32.21683272319)</f>
        <v>32.21683272</v>
      </c>
      <c r="J400" s="1">
        <v>4.49</v>
      </c>
      <c r="K400" s="1">
        <v>8599.0</v>
      </c>
      <c r="L400" s="1" t="s">
        <v>1597</v>
      </c>
      <c r="M400" s="7" t="s">
        <v>1598</v>
      </c>
    </row>
    <row r="401">
      <c r="A401" s="1" t="s">
        <v>1599</v>
      </c>
      <c r="B401" s="1" t="s">
        <v>1600</v>
      </c>
      <c r="C401" s="1" t="s">
        <v>1375</v>
      </c>
      <c r="D401" s="1" t="str">
        <f t="shared" si="1"/>
        <v>Electronics</v>
      </c>
      <c r="E401" s="1" t="str">
        <f t="shared" si="2"/>
        <v>Mobiles&amp;Accessories</v>
      </c>
      <c r="F401" s="5">
        <v>13999.0</v>
      </c>
      <c r="G401" s="5">
        <v>19499.0</v>
      </c>
      <c r="H401" s="6">
        <f t="shared" si="3"/>
        <v>0.282065747</v>
      </c>
      <c r="I401" s="3">
        <f>IFERROR(__xludf.DUMMYFUNCTION("GOOGLEFINANCE(""CURRENCY:INRBRL"")*F401"),852.5584901548899)</f>
        <v>852.5584902</v>
      </c>
      <c r="J401" s="1">
        <v>4.49</v>
      </c>
      <c r="K401" s="1">
        <v>18998.0</v>
      </c>
      <c r="L401" s="1" t="s">
        <v>1601</v>
      </c>
      <c r="M401" s="7" t="s">
        <v>1602</v>
      </c>
    </row>
    <row r="402">
      <c r="A402" s="1" t="s">
        <v>1603</v>
      </c>
      <c r="B402" s="1" t="s">
        <v>1604</v>
      </c>
      <c r="C402" s="1" t="s">
        <v>1412</v>
      </c>
      <c r="D402" s="1" t="str">
        <f t="shared" si="1"/>
        <v>Electronics</v>
      </c>
      <c r="E402" s="1" t="str">
        <f t="shared" si="2"/>
        <v>Headphones,Earbuds&amp;Accessories</v>
      </c>
      <c r="F402" s="1">
        <v>379.0</v>
      </c>
      <c r="G402" s="1">
        <v>999.0</v>
      </c>
      <c r="H402" s="6">
        <f t="shared" si="3"/>
        <v>0.6206206206</v>
      </c>
      <c r="I402" s="3">
        <f>IFERROR(__xludf.DUMMYFUNCTION("GOOGLEFINANCE(""CURRENCY:INRBRL"")*F402"),23.08162495669)</f>
        <v>23.08162496</v>
      </c>
      <c r="J402" s="1">
        <v>4.49</v>
      </c>
      <c r="K402" s="1">
        <v>363713.0</v>
      </c>
      <c r="L402" s="1" t="s">
        <v>1605</v>
      </c>
      <c r="M402" s="7" t="s">
        <v>1606</v>
      </c>
    </row>
    <row r="403">
      <c r="A403" s="1" t="s">
        <v>1607</v>
      </c>
      <c r="B403" s="1" t="s">
        <v>1608</v>
      </c>
      <c r="C403" s="1" t="s">
        <v>1375</v>
      </c>
      <c r="D403" s="1" t="str">
        <f t="shared" si="1"/>
        <v>Electronics</v>
      </c>
      <c r="E403" s="1" t="str">
        <f t="shared" si="2"/>
        <v>Mobiles&amp;Accessories</v>
      </c>
      <c r="F403" s="5">
        <v>13999.0</v>
      </c>
      <c r="G403" s="5">
        <v>19999.0</v>
      </c>
      <c r="H403" s="6">
        <f t="shared" si="3"/>
        <v>0.3000150008</v>
      </c>
      <c r="I403" s="3">
        <f>IFERROR(__xludf.DUMMYFUNCTION("GOOGLEFINANCE(""CURRENCY:INRBRL"")*F403"),852.5584901548899)</f>
        <v>852.5584902</v>
      </c>
      <c r="J403" s="1">
        <v>4.49</v>
      </c>
      <c r="K403" s="1">
        <v>19252.0</v>
      </c>
      <c r="L403" s="1" t="s">
        <v>1609</v>
      </c>
      <c r="M403" s="7" t="s">
        <v>1610</v>
      </c>
    </row>
    <row r="404">
      <c r="A404" s="1" t="s">
        <v>1611</v>
      </c>
      <c r="B404" s="1" t="s">
        <v>1612</v>
      </c>
      <c r="C404" s="1" t="s">
        <v>1357</v>
      </c>
      <c r="D404" s="1" t="str">
        <f t="shared" si="1"/>
        <v>Electronics</v>
      </c>
      <c r="E404" s="1" t="str">
        <f t="shared" si="2"/>
        <v>WearableTechnology</v>
      </c>
      <c r="F404" s="5">
        <v>3999.0</v>
      </c>
      <c r="G404" s="5">
        <v>9999.0</v>
      </c>
      <c r="H404" s="6">
        <f t="shared" si="3"/>
        <v>0.600060006</v>
      </c>
      <c r="I404" s="3">
        <f>IFERROR(__xludf.DUMMYFUNCTION("GOOGLEFINANCE(""CURRENCY:INRBRL"")*F404"),243.54463905488998)</f>
        <v>243.5446391</v>
      </c>
      <c r="J404" s="1">
        <v>4.5</v>
      </c>
      <c r="K404" s="1">
        <v>73.0</v>
      </c>
      <c r="L404" s="1" t="s">
        <v>1613</v>
      </c>
      <c r="M404" s="7" t="s">
        <v>1614</v>
      </c>
    </row>
    <row r="405">
      <c r="A405" s="1" t="s">
        <v>41</v>
      </c>
      <c r="B405" s="1" t="s">
        <v>42</v>
      </c>
      <c r="C405" s="1" t="s">
        <v>22</v>
      </c>
      <c r="D405" s="1" t="str">
        <f t="shared" si="1"/>
        <v>Computers&amp;Accessories</v>
      </c>
      <c r="E405" s="1" t="str">
        <f t="shared" si="2"/>
        <v>Accessories&amp;Peripherals</v>
      </c>
      <c r="F405" s="1">
        <v>149.0</v>
      </c>
      <c r="G405" s="5">
        <v>1000.0</v>
      </c>
      <c r="H405" s="6">
        <f t="shared" si="3"/>
        <v>0.851</v>
      </c>
      <c r="I405" s="3">
        <f>IFERROR(__xludf.DUMMYFUNCTION("GOOGLEFINANCE(""CURRENCY:INRBRL"")*F405"),9.07430638139)</f>
        <v>9.074306381</v>
      </c>
      <c r="J405" s="1">
        <v>4.52</v>
      </c>
      <c r="K405" s="1">
        <v>2487.0</v>
      </c>
      <c r="L405" s="1" t="s">
        <v>43</v>
      </c>
      <c r="M405" s="7" t="s">
        <v>1615</v>
      </c>
    </row>
    <row r="406">
      <c r="A406" s="1" t="s">
        <v>1616</v>
      </c>
      <c r="B406" s="1" t="s">
        <v>1617</v>
      </c>
      <c r="C406" s="1" t="s">
        <v>1618</v>
      </c>
      <c r="D406" s="1" t="str">
        <f t="shared" si="1"/>
        <v>Electronics</v>
      </c>
      <c r="E406" s="1" t="str">
        <f t="shared" si="2"/>
        <v>Mobiles&amp;Accessories</v>
      </c>
      <c r="F406" s="1">
        <v>99.0</v>
      </c>
      <c r="G406" s="1">
        <v>499.0</v>
      </c>
      <c r="H406" s="6">
        <f t="shared" si="3"/>
        <v>0.8016032064</v>
      </c>
      <c r="I406" s="3">
        <f>IFERROR(__xludf.DUMMYFUNCTION("GOOGLEFINANCE(""CURRENCY:INRBRL"")*F406"),6.02923712589)</f>
        <v>6.029237126</v>
      </c>
      <c r="J406" s="1">
        <v>4.5</v>
      </c>
      <c r="K406" s="1">
        <v>42641.0</v>
      </c>
      <c r="L406" s="1" t="s">
        <v>1619</v>
      </c>
      <c r="M406" s="7" t="s">
        <v>1620</v>
      </c>
    </row>
    <row r="407">
      <c r="A407" s="1" t="s">
        <v>1621</v>
      </c>
      <c r="B407" s="1" t="s">
        <v>1622</v>
      </c>
      <c r="C407" s="1" t="s">
        <v>1412</v>
      </c>
      <c r="D407" s="1" t="str">
        <f t="shared" si="1"/>
        <v>Electronics</v>
      </c>
      <c r="E407" s="1" t="str">
        <f t="shared" si="2"/>
        <v>Headphones,Earbuds&amp;Accessories</v>
      </c>
      <c r="F407" s="5">
        <v>4790.0</v>
      </c>
      <c r="G407" s="5">
        <v>15990.0</v>
      </c>
      <c r="H407" s="6">
        <f t="shared" si="3"/>
        <v>0.7004377736</v>
      </c>
      <c r="I407" s="3">
        <f>IFERROR(__xludf.DUMMYFUNCTION("GOOGLEFINANCE(""CURRENCY:INRBRL"")*F407"),291.7176346769)</f>
        <v>291.7176347</v>
      </c>
      <c r="J407" s="1">
        <v>4.0</v>
      </c>
      <c r="K407" s="1">
        <v>439.0</v>
      </c>
      <c r="L407" s="1" t="s">
        <v>1623</v>
      </c>
      <c r="M407" s="7" t="s">
        <v>1624</v>
      </c>
    </row>
    <row r="408">
      <c r="A408" s="1" t="s">
        <v>1625</v>
      </c>
      <c r="B408" s="1" t="s">
        <v>1626</v>
      </c>
      <c r="C408" s="1" t="s">
        <v>1375</v>
      </c>
      <c r="D408" s="1" t="str">
        <f t="shared" si="1"/>
        <v>Electronics</v>
      </c>
      <c r="E408" s="1" t="str">
        <f t="shared" si="2"/>
        <v>Mobiles&amp;Accessories</v>
      </c>
      <c r="F408" s="5">
        <v>33999.0</v>
      </c>
      <c r="G408" s="5">
        <v>33999.0</v>
      </c>
      <c r="H408" s="6">
        <f t="shared" si="3"/>
        <v>0</v>
      </c>
      <c r="I408" s="3">
        <f>IFERROR(__xludf.DUMMYFUNCTION("GOOGLEFINANCE(""CURRENCY:INRBRL"")*F408"),2070.58619235489)</f>
        <v>2070.586192</v>
      </c>
      <c r="J408" s="1">
        <v>4.5</v>
      </c>
      <c r="K408" s="1">
        <v>17415.0</v>
      </c>
      <c r="L408" s="1" t="s">
        <v>1627</v>
      </c>
      <c r="M408" s="7" t="s">
        <v>1628</v>
      </c>
    </row>
    <row r="409">
      <c r="A409" s="1" t="s">
        <v>1629</v>
      </c>
      <c r="B409" s="1" t="s">
        <v>1630</v>
      </c>
      <c r="C409" s="1" t="s">
        <v>1631</v>
      </c>
      <c r="D409" s="1" t="str">
        <f t="shared" si="1"/>
        <v>Computers&amp;Accessories</v>
      </c>
      <c r="E409" s="1" t="str">
        <f t="shared" si="2"/>
        <v>Accessories&amp;Peripherals</v>
      </c>
      <c r="F409" s="1">
        <v>99.0</v>
      </c>
      <c r="G409" s="1">
        <v>999.0</v>
      </c>
      <c r="H409" s="6">
        <f t="shared" si="3"/>
        <v>0.9009009009</v>
      </c>
      <c r="I409" s="3">
        <f>IFERROR(__xludf.DUMMYFUNCTION("GOOGLEFINANCE(""CURRENCY:INRBRL"")*F409"),6.02923712589)</f>
        <v>6.029237126</v>
      </c>
      <c r="J409" s="1">
        <v>4.0</v>
      </c>
      <c r="K409" s="1">
        <v>1396.0</v>
      </c>
      <c r="L409" s="1" t="s">
        <v>1632</v>
      </c>
      <c r="M409" s="7" t="s">
        <v>1633</v>
      </c>
    </row>
    <row r="410">
      <c r="A410" s="1" t="s">
        <v>1634</v>
      </c>
      <c r="B410" s="1" t="s">
        <v>1635</v>
      </c>
      <c r="C410" s="1" t="s">
        <v>1412</v>
      </c>
      <c r="D410" s="1" t="str">
        <f t="shared" si="1"/>
        <v>Electronics</v>
      </c>
      <c r="E410" s="1" t="str">
        <f t="shared" si="2"/>
        <v>Headphones,Earbuds&amp;Accessories</v>
      </c>
      <c r="F410" s="1">
        <v>299.0</v>
      </c>
      <c r="G410" s="5">
        <v>1900.0</v>
      </c>
      <c r="H410" s="6">
        <f t="shared" si="3"/>
        <v>0.8426315789</v>
      </c>
      <c r="I410" s="3">
        <f>IFERROR(__xludf.DUMMYFUNCTION("GOOGLEFINANCE(""CURRENCY:INRBRL"")*F410"),18.209514147889998)</f>
        <v>18.20951415</v>
      </c>
      <c r="J410" s="1">
        <v>4.51</v>
      </c>
      <c r="K410" s="1">
        <v>18202.0</v>
      </c>
      <c r="L410" s="1" t="s">
        <v>1636</v>
      </c>
      <c r="M410" s="7" t="s">
        <v>1637</v>
      </c>
    </row>
    <row r="411">
      <c r="A411" s="1" t="s">
        <v>1638</v>
      </c>
      <c r="B411" s="1" t="s">
        <v>1639</v>
      </c>
      <c r="C411" s="1" t="s">
        <v>1375</v>
      </c>
      <c r="D411" s="1" t="str">
        <f t="shared" si="1"/>
        <v>Electronics</v>
      </c>
      <c r="E411" s="1" t="str">
        <f t="shared" si="2"/>
        <v>Mobiles&amp;Accessories</v>
      </c>
      <c r="F411" s="5">
        <v>10999.0</v>
      </c>
      <c r="G411" s="5">
        <v>14999.0</v>
      </c>
      <c r="H411" s="6">
        <f t="shared" si="3"/>
        <v>0.2666844456</v>
      </c>
      <c r="I411" s="3">
        <f>IFERROR(__xludf.DUMMYFUNCTION("GOOGLEFINANCE(""CURRENCY:INRBRL"")*F411"),669.85433482489)</f>
        <v>669.8543348</v>
      </c>
      <c r="J411" s="1">
        <v>4.49</v>
      </c>
      <c r="K411" s="1">
        <v>18998.0</v>
      </c>
      <c r="L411" s="1" t="s">
        <v>1640</v>
      </c>
      <c r="M411" s="7" t="s">
        <v>1641</v>
      </c>
    </row>
    <row r="412">
      <c r="A412" s="1" t="s">
        <v>1642</v>
      </c>
      <c r="B412" s="1" t="s">
        <v>1643</v>
      </c>
      <c r="C412" s="1" t="s">
        <v>1375</v>
      </c>
      <c r="D412" s="1" t="str">
        <f t="shared" si="1"/>
        <v>Electronics</v>
      </c>
      <c r="E412" s="1" t="str">
        <f t="shared" si="2"/>
        <v>Mobiles&amp;Accessories</v>
      </c>
      <c r="F412" s="5">
        <v>34999.0</v>
      </c>
      <c r="G412" s="5">
        <v>38999.0</v>
      </c>
      <c r="H412" s="6">
        <f t="shared" si="3"/>
        <v>0.1025667325</v>
      </c>
      <c r="I412" s="3">
        <f>IFERROR(__xludf.DUMMYFUNCTION("GOOGLEFINANCE(""CURRENCY:INRBRL"")*F412"),2131.48757746489)</f>
        <v>2131.487577</v>
      </c>
      <c r="J412" s="1">
        <v>4.5</v>
      </c>
      <c r="K412" s="1">
        <v>11029.0</v>
      </c>
      <c r="L412" s="1" t="s">
        <v>1644</v>
      </c>
      <c r="M412" s="7" t="s">
        <v>1645</v>
      </c>
    </row>
    <row r="413">
      <c r="A413" s="1" t="s">
        <v>1646</v>
      </c>
      <c r="B413" s="1" t="s">
        <v>1488</v>
      </c>
      <c r="C413" s="1" t="s">
        <v>1375</v>
      </c>
      <c r="D413" s="1" t="str">
        <f t="shared" si="1"/>
        <v>Electronics</v>
      </c>
      <c r="E413" s="1" t="str">
        <f t="shared" si="2"/>
        <v>Mobiles&amp;Accessories</v>
      </c>
      <c r="F413" s="5">
        <v>16999.0</v>
      </c>
      <c r="G413" s="5">
        <v>24999.0</v>
      </c>
      <c r="H413" s="6">
        <f t="shared" si="3"/>
        <v>0.3200128005</v>
      </c>
      <c r="I413" s="3">
        <f>IFERROR(__xludf.DUMMYFUNCTION("GOOGLEFINANCE(""CURRENCY:INRBRL"")*F413"),1035.2626454848898)</f>
        <v>1035.262645</v>
      </c>
      <c r="J413" s="1">
        <v>4.49</v>
      </c>
      <c r="K413" s="1">
        <v>22318.0</v>
      </c>
      <c r="L413" s="1" t="s">
        <v>1489</v>
      </c>
      <c r="M413" s="7" t="s">
        <v>1647</v>
      </c>
    </row>
    <row r="414">
      <c r="A414" s="1" t="s">
        <v>1648</v>
      </c>
      <c r="B414" s="1" t="s">
        <v>1649</v>
      </c>
      <c r="C414" s="1" t="s">
        <v>1618</v>
      </c>
      <c r="D414" s="1" t="str">
        <f t="shared" si="1"/>
        <v>Electronics</v>
      </c>
      <c r="E414" s="1" t="str">
        <f t="shared" si="2"/>
        <v>Mobiles&amp;Accessories</v>
      </c>
      <c r="F414" s="1">
        <v>199.0</v>
      </c>
      <c r="G414" s="1">
        <v>499.0</v>
      </c>
      <c r="H414" s="6">
        <f t="shared" si="3"/>
        <v>0.6012024048</v>
      </c>
      <c r="I414" s="3">
        <f>IFERROR(__xludf.DUMMYFUNCTION("GOOGLEFINANCE(""CURRENCY:INRBRL"")*F414"),12.11937563689)</f>
        <v>12.11937564</v>
      </c>
      <c r="J414" s="1">
        <v>4.49</v>
      </c>
      <c r="K414" s="1">
        <v>1786.0</v>
      </c>
      <c r="L414" s="1" t="s">
        <v>1650</v>
      </c>
      <c r="M414" s="7" t="s">
        <v>1651</v>
      </c>
    </row>
    <row r="415">
      <c r="A415" s="1" t="s">
        <v>1652</v>
      </c>
      <c r="B415" s="1" t="s">
        <v>1653</v>
      </c>
      <c r="C415" s="1" t="s">
        <v>1370</v>
      </c>
      <c r="D415" s="1" t="str">
        <f t="shared" si="1"/>
        <v>Electronics</v>
      </c>
      <c r="E415" s="1" t="str">
        <f t="shared" si="2"/>
        <v>Mobiles&amp;Accessories</v>
      </c>
      <c r="F415" s="1">
        <v>999.0</v>
      </c>
      <c r="G415" s="5">
        <v>1599.0</v>
      </c>
      <c r="H415" s="6">
        <f t="shared" si="3"/>
        <v>0.3752345216</v>
      </c>
      <c r="I415" s="3">
        <f>IFERROR(__xludf.DUMMYFUNCTION("GOOGLEFINANCE(""CURRENCY:INRBRL"")*F415"),60.84048372489)</f>
        <v>60.84048372</v>
      </c>
      <c r="J415" s="1">
        <v>4.0</v>
      </c>
      <c r="K415" s="1">
        <v>7222.0</v>
      </c>
      <c r="L415" s="1" t="s">
        <v>1654</v>
      </c>
      <c r="M415" s="7" t="s">
        <v>1655</v>
      </c>
    </row>
    <row r="416">
      <c r="A416" s="1" t="s">
        <v>1656</v>
      </c>
      <c r="B416" s="1" t="s">
        <v>1657</v>
      </c>
      <c r="C416" s="1" t="s">
        <v>1403</v>
      </c>
      <c r="D416" s="1" t="str">
        <f t="shared" si="1"/>
        <v>Electronics</v>
      </c>
      <c r="E416" s="1" t="str">
        <f t="shared" si="2"/>
        <v>Mobiles&amp;Accessories</v>
      </c>
      <c r="F416" s="5">
        <v>1299.0</v>
      </c>
      <c r="G416" s="5">
        <v>1599.0</v>
      </c>
      <c r="H416" s="6">
        <f t="shared" si="3"/>
        <v>0.1876172608</v>
      </c>
      <c r="I416" s="3">
        <f>IFERROR(__xludf.DUMMYFUNCTION("GOOGLEFINANCE(""CURRENCY:INRBRL"")*F416"),79.11089925789)</f>
        <v>79.11089926</v>
      </c>
      <c r="J416" s="1">
        <v>4.0</v>
      </c>
      <c r="K416" s="1">
        <v>128311.0</v>
      </c>
      <c r="L416" s="1" t="s">
        <v>1404</v>
      </c>
      <c r="M416" s="7" t="s">
        <v>1658</v>
      </c>
    </row>
    <row r="417">
      <c r="A417" s="1" t="s">
        <v>1659</v>
      </c>
      <c r="B417" s="1" t="s">
        <v>1660</v>
      </c>
      <c r="C417" s="1" t="s">
        <v>1412</v>
      </c>
      <c r="D417" s="1" t="str">
        <f t="shared" si="1"/>
        <v>Electronics</v>
      </c>
      <c r="E417" s="1" t="str">
        <f t="shared" si="2"/>
        <v>Headphones,Earbuds&amp;Accessories</v>
      </c>
      <c r="F417" s="1">
        <v>599.0</v>
      </c>
      <c r="G417" s="5">
        <v>1800.0</v>
      </c>
      <c r="H417" s="6">
        <f t="shared" si="3"/>
        <v>0.6672222222</v>
      </c>
      <c r="I417" s="3">
        <f>IFERROR(__xludf.DUMMYFUNCTION("GOOGLEFINANCE(""CURRENCY:INRBRL"")*F417"),36.479929680889995)</f>
        <v>36.47992968</v>
      </c>
      <c r="J417" s="1">
        <v>4.5</v>
      </c>
      <c r="K417" s="1">
        <v>83996.0</v>
      </c>
      <c r="L417" s="1" t="s">
        <v>1661</v>
      </c>
      <c r="M417" s="7" t="s">
        <v>1662</v>
      </c>
    </row>
    <row r="418">
      <c r="A418" s="1" t="s">
        <v>1663</v>
      </c>
      <c r="B418" s="1" t="s">
        <v>1664</v>
      </c>
      <c r="C418" s="1" t="s">
        <v>1394</v>
      </c>
      <c r="D418" s="1" t="str">
        <f t="shared" si="1"/>
        <v>Electronics</v>
      </c>
      <c r="E418" s="1" t="str">
        <f t="shared" si="2"/>
        <v>Accessories</v>
      </c>
      <c r="F418" s="1">
        <v>599.0</v>
      </c>
      <c r="G418" s="5">
        <v>1899.0</v>
      </c>
      <c r="H418" s="6">
        <f t="shared" si="3"/>
        <v>0.6845708268</v>
      </c>
      <c r="I418" s="3">
        <f>IFERROR(__xludf.DUMMYFUNCTION("GOOGLEFINANCE(""CURRENCY:INRBRL"")*F418"),36.479929680889995)</f>
        <v>36.47992968</v>
      </c>
      <c r="J418" s="1">
        <v>4.5</v>
      </c>
      <c r="K418" s="1">
        <v>140036.0</v>
      </c>
      <c r="L418" s="1" t="s">
        <v>1593</v>
      </c>
      <c r="M418" s="7" t="s">
        <v>1665</v>
      </c>
    </row>
    <row r="419">
      <c r="A419" s="1" t="s">
        <v>1666</v>
      </c>
      <c r="B419" s="1" t="s">
        <v>1667</v>
      </c>
      <c r="C419" s="1" t="s">
        <v>1370</v>
      </c>
      <c r="D419" s="1" t="str">
        <f t="shared" si="1"/>
        <v>Electronics</v>
      </c>
      <c r="E419" s="1" t="str">
        <f t="shared" si="2"/>
        <v>Mobiles&amp;Accessories</v>
      </c>
      <c r="F419" s="5">
        <v>1799.0</v>
      </c>
      <c r="G419" s="5">
        <v>2499.0</v>
      </c>
      <c r="H419" s="6">
        <f t="shared" si="3"/>
        <v>0.2801120448</v>
      </c>
      <c r="I419" s="3">
        <f>IFERROR(__xludf.DUMMYFUNCTION("GOOGLEFINANCE(""CURRENCY:INRBRL"")*F419"),109.56159181289)</f>
        <v>109.5615918</v>
      </c>
      <c r="J419" s="1">
        <v>4.49</v>
      </c>
      <c r="K419" s="1">
        <v>18678.0</v>
      </c>
      <c r="L419" s="1" t="s">
        <v>1668</v>
      </c>
      <c r="M419" s="7" t="s">
        <v>1669</v>
      </c>
    </row>
    <row r="420">
      <c r="A420" s="1" t="s">
        <v>45</v>
      </c>
      <c r="B420" s="1" t="s">
        <v>46</v>
      </c>
      <c r="C420" s="1" t="s">
        <v>22</v>
      </c>
      <c r="D420" s="1" t="str">
        <f t="shared" si="1"/>
        <v>Computers&amp;Accessories</v>
      </c>
      <c r="E420" s="1" t="str">
        <f t="shared" si="2"/>
        <v>Accessories&amp;Peripherals</v>
      </c>
      <c r="F420" s="1">
        <v>176.63</v>
      </c>
      <c r="G420" s="1">
        <v>499.0</v>
      </c>
      <c r="H420" s="6">
        <f t="shared" si="3"/>
        <v>0.6460320641</v>
      </c>
      <c r="I420" s="3">
        <f>IFERROR(__xludf.DUMMYFUNCTION("GOOGLEFINANCE(""CURRENCY:INRBRL"")*F420"),10.7570116519793)</f>
        <v>10.75701165</v>
      </c>
      <c r="J420" s="1">
        <v>4.49</v>
      </c>
      <c r="K420" s="1">
        <v>15189.0</v>
      </c>
      <c r="L420" s="1" t="s">
        <v>47</v>
      </c>
      <c r="M420" s="7" t="s">
        <v>1670</v>
      </c>
    </row>
    <row r="421">
      <c r="A421" s="1" t="s">
        <v>1671</v>
      </c>
      <c r="B421" s="1" t="s">
        <v>1672</v>
      </c>
      <c r="C421" s="1" t="s">
        <v>1375</v>
      </c>
      <c r="D421" s="1" t="str">
        <f t="shared" si="1"/>
        <v>Electronics</v>
      </c>
      <c r="E421" s="1" t="str">
        <f t="shared" si="2"/>
        <v>Mobiles&amp;Accessories</v>
      </c>
      <c r="F421" s="5">
        <v>10999.0</v>
      </c>
      <c r="G421" s="5">
        <v>14999.0</v>
      </c>
      <c r="H421" s="6">
        <f t="shared" si="3"/>
        <v>0.2666844456</v>
      </c>
      <c r="I421" s="3">
        <f>IFERROR(__xludf.DUMMYFUNCTION("GOOGLEFINANCE(""CURRENCY:INRBRL"")*F421"),669.85433482489)</f>
        <v>669.8543348</v>
      </c>
      <c r="J421" s="1">
        <v>4.49</v>
      </c>
      <c r="K421" s="1">
        <v>18998.0</v>
      </c>
      <c r="L421" s="1" t="s">
        <v>1640</v>
      </c>
      <c r="M421" s="7" t="s">
        <v>1673</v>
      </c>
    </row>
    <row r="422">
      <c r="A422" s="1" t="s">
        <v>1674</v>
      </c>
      <c r="B422" s="1" t="s">
        <v>1675</v>
      </c>
      <c r="C422" s="1" t="s">
        <v>1357</v>
      </c>
      <c r="D422" s="1" t="str">
        <f t="shared" si="1"/>
        <v>Electronics</v>
      </c>
      <c r="E422" s="1" t="str">
        <f t="shared" si="2"/>
        <v>WearableTechnology</v>
      </c>
      <c r="F422" s="5">
        <v>2999.0</v>
      </c>
      <c r="G422" s="5">
        <v>7990.0</v>
      </c>
      <c r="H422" s="6">
        <f t="shared" si="3"/>
        <v>0.6246558198</v>
      </c>
      <c r="I422" s="3">
        <f>IFERROR(__xludf.DUMMYFUNCTION("GOOGLEFINANCE(""CURRENCY:INRBRL"")*F422"),182.64325394489)</f>
        <v>182.6432539</v>
      </c>
      <c r="J422" s="1">
        <v>4.49</v>
      </c>
      <c r="K422" s="1">
        <v>48449.0</v>
      </c>
      <c r="L422" s="1" t="s">
        <v>1584</v>
      </c>
      <c r="M422" s="7" t="s">
        <v>1676</v>
      </c>
    </row>
    <row r="423">
      <c r="A423" s="1" t="s">
        <v>1677</v>
      </c>
      <c r="B423" s="1" t="s">
        <v>1678</v>
      </c>
      <c r="C423" s="1" t="s">
        <v>1357</v>
      </c>
      <c r="D423" s="1" t="str">
        <f t="shared" si="1"/>
        <v>Electronics</v>
      </c>
      <c r="E423" s="1" t="str">
        <f t="shared" si="2"/>
        <v>WearableTechnology</v>
      </c>
      <c r="F423" s="5">
        <v>1999.0</v>
      </c>
      <c r="G423" s="5">
        <v>7990.0</v>
      </c>
      <c r="H423" s="6">
        <f t="shared" si="3"/>
        <v>0.7498122653</v>
      </c>
      <c r="I423" s="3">
        <f>IFERROR(__xludf.DUMMYFUNCTION("GOOGLEFINANCE(""CURRENCY:INRBRL"")*F423"),121.74186883489)</f>
        <v>121.7418688</v>
      </c>
      <c r="J423" s="1">
        <v>4.51</v>
      </c>
      <c r="K423" s="1">
        <v>17831.0</v>
      </c>
      <c r="L423" s="1" t="s">
        <v>1366</v>
      </c>
      <c r="M423" s="7" t="s">
        <v>1679</v>
      </c>
    </row>
    <row r="424">
      <c r="A424" s="1" t="s">
        <v>49</v>
      </c>
      <c r="B424" s="1" t="s">
        <v>50</v>
      </c>
      <c r="C424" s="1" t="s">
        <v>22</v>
      </c>
      <c r="D424" s="1" t="str">
        <f t="shared" si="1"/>
        <v>Computers&amp;Accessories</v>
      </c>
      <c r="E424" s="1" t="str">
        <f t="shared" si="2"/>
        <v>Accessories&amp;Peripherals</v>
      </c>
      <c r="F424" s="1">
        <v>229.0</v>
      </c>
      <c r="G424" s="1">
        <v>299.0</v>
      </c>
      <c r="H424" s="6">
        <f t="shared" si="3"/>
        <v>0.2341137124</v>
      </c>
      <c r="I424" s="3">
        <f>IFERROR(__xludf.DUMMYFUNCTION("GOOGLEFINANCE(""CURRENCY:INRBRL"")*F424"),13.94641719019)</f>
        <v>13.94641719</v>
      </c>
      <c r="J424" s="1">
        <v>4.5</v>
      </c>
      <c r="K424" s="1">
        <v>30411.0</v>
      </c>
      <c r="L424" s="1" t="s">
        <v>51</v>
      </c>
      <c r="M424" s="7" t="s">
        <v>1680</v>
      </c>
    </row>
    <row r="425">
      <c r="A425" s="1" t="s">
        <v>58</v>
      </c>
      <c r="B425" s="1" t="s">
        <v>59</v>
      </c>
      <c r="C425" s="1" t="s">
        <v>22</v>
      </c>
      <c r="D425" s="1" t="str">
        <f t="shared" si="1"/>
        <v>Computers&amp;Accessories</v>
      </c>
      <c r="E425" s="1" t="str">
        <f t="shared" si="2"/>
        <v>Accessories&amp;Peripherals</v>
      </c>
      <c r="F425" s="1">
        <v>199.0</v>
      </c>
      <c r="G425" s="1">
        <v>299.0</v>
      </c>
      <c r="H425" s="6">
        <f t="shared" si="3"/>
        <v>0.3344481605</v>
      </c>
      <c r="I425" s="3">
        <f>IFERROR(__xludf.DUMMYFUNCTION("GOOGLEFINANCE(""CURRENCY:INRBRL"")*F425"),12.11937563689)</f>
        <v>12.11937564</v>
      </c>
      <c r="J425" s="1">
        <v>4.0</v>
      </c>
      <c r="K425" s="1">
        <v>43994.0</v>
      </c>
      <c r="L425" s="1" t="s">
        <v>60</v>
      </c>
      <c r="M425" s="7" t="s">
        <v>1681</v>
      </c>
    </row>
    <row r="426">
      <c r="A426" s="1" t="s">
        <v>1682</v>
      </c>
      <c r="B426" s="1" t="s">
        <v>1683</v>
      </c>
      <c r="C426" s="1" t="s">
        <v>1457</v>
      </c>
      <c r="D426" s="1" t="str">
        <f t="shared" si="1"/>
        <v>Electronics</v>
      </c>
      <c r="E426" s="1" t="str">
        <f t="shared" si="2"/>
        <v>Mobiles&amp;Accessories</v>
      </c>
      <c r="F426" s="1">
        <v>649.0</v>
      </c>
      <c r="G426" s="1">
        <v>999.0</v>
      </c>
      <c r="H426" s="6">
        <f t="shared" si="3"/>
        <v>0.3503503504</v>
      </c>
      <c r="I426" s="3">
        <f>IFERROR(__xludf.DUMMYFUNCTION("GOOGLEFINANCE(""CURRENCY:INRBRL"")*F426"),39.52499893639)</f>
        <v>39.52499894</v>
      </c>
      <c r="J426" s="1">
        <v>4.5</v>
      </c>
      <c r="K426" s="1">
        <v>1315.0</v>
      </c>
      <c r="L426" s="1" t="s">
        <v>1684</v>
      </c>
      <c r="M426" s="7" t="s">
        <v>1685</v>
      </c>
    </row>
    <row r="427">
      <c r="A427" s="1" t="s">
        <v>1686</v>
      </c>
      <c r="B427" s="1" t="s">
        <v>1600</v>
      </c>
      <c r="C427" s="1" t="s">
        <v>1375</v>
      </c>
      <c r="D427" s="1" t="str">
        <f t="shared" si="1"/>
        <v>Electronics</v>
      </c>
      <c r="E427" s="1" t="str">
        <f t="shared" si="2"/>
        <v>Mobiles&amp;Accessories</v>
      </c>
      <c r="F427" s="5">
        <v>13999.0</v>
      </c>
      <c r="G427" s="5">
        <v>19499.0</v>
      </c>
      <c r="H427" s="6">
        <f t="shared" si="3"/>
        <v>0.282065747</v>
      </c>
      <c r="I427" s="3">
        <f>IFERROR(__xludf.DUMMYFUNCTION("GOOGLEFINANCE(""CURRENCY:INRBRL"")*F427"),852.5584901548899)</f>
        <v>852.5584902</v>
      </c>
      <c r="J427" s="1">
        <v>4.49</v>
      </c>
      <c r="K427" s="1">
        <v>18998.0</v>
      </c>
      <c r="L427" s="1" t="s">
        <v>1601</v>
      </c>
      <c r="M427" s="7" t="s">
        <v>1687</v>
      </c>
    </row>
    <row r="428">
      <c r="A428" s="1" t="s">
        <v>1688</v>
      </c>
      <c r="B428" s="1" t="s">
        <v>1689</v>
      </c>
      <c r="C428" s="1" t="s">
        <v>1690</v>
      </c>
      <c r="D428" s="1" t="str">
        <f t="shared" si="1"/>
        <v>Electronics</v>
      </c>
      <c r="E428" s="1" t="str">
        <f t="shared" si="2"/>
        <v>Mobiles&amp;Accessories</v>
      </c>
      <c r="F428" s="1">
        <v>119.0</v>
      </c>
      <c r="G428" s="1">
        <v>299.0</v>
      </c>
      <c r="H428" s="6">
        <f t="shared" si="3"/>
        <v>0.602006689</v>
      </c>
      <c r="I428" s="3">
        <f>IFERROR(__xludf.DUMMYFUNCTION("GOOGLEFINANCE(""CURRENCY:INRBRL"")*F428"),7.24726482809)</f>
        <v>7.247264828</v>
      </c>
      <c r="J428" s="1">
        <v>4.49</v>
      </c>
      <c r="K428" s="1">
        <v>5999.0</v>
      </c>
      <c r="L428" s="1" t="s">
        <v>1691</v>
      </c>
      <c r="M428" s="7" t="s">
        <v>1692</v>
      </c>
    </row>
    <row r="429">
      <c r="A429" s="1" t="s">
        <v>1693</v>
      </c>
      <c r="B429" s="1" t="s">
        <v>1694</v>
      </c>
      <c r="C429" s="1" t="s">
        <v>1375</v>
      </c>
      <c r="D429" s="1" t="str">
        <f t="shared" si="1"/>
        <v>Electronics</v>
      </c>
      <c r="E429" s="1" t="str">
        <f t="shared" si="2"/>
        <v>Mobiles&amp;Accessories</v>
      </c>
      <c r="F429" s="5">
        <v>12999.0</v>
      </c>
      <c r="G429" s="5">
        <v>17999.0</v>
      </c>
      <c r="H429" s="6">
        <f t="shared" si="3"/>
        <v>0.2777932107</v>
      </c>
      <c r="I429" s="3">
        <f>IFERROR(__xludf.DUMMYFUNCTION("GOOGLEFINANCE(""CURRENCY:INRBRL"")*F429"),791.6571050448899)</f>
        <v>791.657105</v>
      </c>
      <c r="J429" s="1">
        <v>4.49</v>
      </c>
      <c r="K429" s="1">
        <v>50772.0</v>
      </c>
      <c r="L429" s="1" t="s">
        <v>1695</v>
      </c>
      <c r="M429" s="7" t="s">
        <v>1696</v>
      </c>
    </row>
    <row r="430">
      <c r="A430" s="1" t="s">
        <v>62</v>
      </c>
      <c r="B430" s="1" t="s">
        <v>63</v>
      </c>
      <c r="C430" s="1" t="s">
        <v>22</v>
      </c>
      <c r="D430" s="1" t="str">
        <f t="shared" si="1"/>
        <v>Computers&amp;Accessories</v>
      </c>
      <c r="E430" s="1" t="str">
        <f t="shared" si="2"/>
        <v>Accessories&amp;Peripherals</v>
      </c>
      <c r="F430" s="1">
        <v>154.0</v>
      </c>
      <c r="G430" s="1">
        <v>339.0</v>
      </c>
      <c r="H430" s="6">
        <f t="shared" si="3"/>
        <v>0.5457227139</v>
      </c>
      <c r="I430" s="3">
        <f>IFERROR(__xludf.DUMMYFUNCTION("GOOGLEFINANCE(""CURRENCY:INRBRL"")*F430"),9.37881330694)</f>
        <v>9.378813307</v>
      </c>
      <c r="J430" s="1">
        <v>4.5</v>
      </c>
      <c r="K430" s="1">
        <v>13391.0</v>
      </c>
      <c r="L430" s="1" t="s">
        <v>485</v>
      </c>
      <c r="M430" s="7" t="s">
        <v>1697</v>
      </c>
    </row>
    <row r="431">
      <c r="A431" s="1" t="s">
        <v>1698</v>
      </c>
      <c r="B431" s="1" t="s">
        <v>1699</v>
      </c>
      <c r="C431" s="1" t="s">
        <v>1375</v>
      </c>
      <c r="D431" s="1" t="str">
        <f t="shared" si="1"/>
        <v>Electronics</v>
      </c>
      <c r="E431" s="1" t="str">
        <f t="shared" si="2"/>
        <v>Mobiles&amp;Accessories</v>
      </c>
      <c r="F431" s="5">
        <v>20999.0</v>
      </c>
      <c r="G431" s="5">
        <v>26999.0</v>
      </c>
      <c r="H431" s="6">
        <f t="shared" si="3"/>
        <v>0.222230453</v>
      </c>
      <c r="I431" s="3">
        <f>IFERROR(__xludf.DUMMYFUNCTION("GOOGLEFINANCE(""CURRENCY:INRBRL"")*F431"),1278.86818592489)</f>
        <v>1278.868186</v>
      </c>
      <c r="J431" s="1">
        <v>4.52</v>
      </c>
      <c r="K431" s="1">
        <v>25824.0</v>
      </c>
      <c r="L431" s="1" t="s">
        <v>1700</v>
      </c>
      <c r="M431" s="7" t="s">
        <v>1701</v>
      </c>
    </row>
    <row r="432">
      <c r="A432" s="1" t="s">
        <v>1702</v>
      </c>
      <c r="B432" s="1" t="s">
        <v>1703</v>
      </c>
      <c r="C432" s="1" t="s">
        <v>1457</v>
      </c>
      <c r="D432" s="1" t="str">
        <f t="shared" si="1"/>
        <v>Electronics</v>
      </c>
      <c r="E432" s="1" t="str">
        <f t="shared" si="2"/>
        <v>Mobiles&amp;Accessories</v>
      </c>
      <c r="F432" s="1">
        <v>249.0</v>
      </c>
      <c r="G432" s="1">
        <v>649.0</v>
      </c>
      <c r="H432" s="6">
        <f t="shared" si="3"/>
        <v>0.6163328197</v>
      </c>
      <c r="I432" s="3">
        <f>IFERROR(__xludf.DUMMYFUNCTION("GOOGLEFINANCE(""CURRENCY:INRBRL"")*F432"),15.16444489239)</f>
        <v>15.16444489</v>
      </c>
      <c r="J432" s="1">
        <v>4.0</v>
      </c>
      <c r="K432" s="1">
        <v>14404.0</v>
      </c>
      <c r="L432" s="1" t="s">
        <v>1704</v>
      </c>
      <c r="M432" s="7" t="s">
        <v>1705</v>
      </c>
    </row>
    <row r="433">
      <c r="A433" s="1" t="s">
        <v>1706</v>
      </c>
      <c r="B433" s="1" t="s">
        <v>1707</v>
      </c>
      <c r="C433" s="1" t="s">
        <v>1457</v>
      </c>
      <c r="D433" s="1" t="str">
        <f t="shared" si="1"/>
        <v>Electronics</v>
      </c>
      <c r="E433" s="1" t="str">
        <f t="shared" si="2"/>
        <v>Mobiles&amp;Accessories</v>
      </c>
      <c r="F433" s="1">
        <v>99.0</v>
      </c>
      <c r="G433" s="1">
        <v>171.0</v>
      </c>
      <c r="H433" s="6">
        <f t="shared" si="3"/>
        <v>0.4210526316</v>
      </c>
      <c r="I433" s="3">
        <f>IFERROR(__xludf.DUMMYFUNCTION("GOOGLEFINANCE(""CURRENCY:INRBRL"")*F433"),6.02923712589)</f>
        <v>6.029237126</v>
      </c>
      <c r="J433" s="1">
        <v>4.51</v>
      </c>
      <c r="K433" s="1">
        <v>11339.0</v>
      </c>
      <c r="L433" s="1" t="s">
        <v>1708</v>
      </c>
      <c r="M433" s="7" t="s">
        <v>1709</v>
      </c>
    </row>
    <row r="434">
      <c r="A434" s="1" t="s">
        <v>1710</v>
      </c>
      <c r="B434" s="1" t="s">
        <v>1711</v>
      </c>
      <c r="C434" s="1" t="s">
        <v>1452</v>
      </c>
      <c r="D434" s="1" t="str">
        <f t="shared" si="1"/>
        <v>Electronics</v>
      </c>
      <c r="E434" s="1" t="str">
        <f t="shared" si="2"/>
        <v>Mobiles&amp;Accessories</v>
      </c>
      <c r="F434" s="1">
        <v>489.0</v>
      </c>
      <c r="G434" s="5">
        <v>1999.0</v>
      </c>
      <c r="H434" s="6">
        <f t="shared" si="3"/>
        <v>0.7553776888</v>
      </c>
      <c r="I434" s="3">
        <f>IFERROR(__xludf.DUMMYFUNCTION("GOOGLEFINANCE(""CURRENCY:INRBRL"")*F434"),29.780777318789998)</f>
        <v>29.78077732</v>
      </c>
      <c r="J434" s="1">
        <v>4.0</v>
      </c>
      <c r="K434" s="1">
        <v>3626.0</v>
      </c>
      <c r="L434" s="1" t="s">
        <v>1712</v>
      </c>
      <c r="M434" s="7" t="s">
        <v>1713</v>
      </c>
    </row>
    <row r="435">
      <c r="A435" s="1" t="s">
        <v>1714</v>
      </c>
      <c r="B435" s="1" t="s">
        <v>1715</v>
      </c>
      <c r="C435" s="1" t="s">
        <v>1394</v>
      </c>
      <c r="D435" s="1" t="str">
        <f t="shared" si="1"/>
        <v>Electronics</v>
      </c>
      <c r="E435" s="1" t="str">
        <f t="shared" si="2"/>
        <v>Accessories</v>
      </c>
      <c r="F435" s="1">
        <v>369.0</v>
      </c>
      <c r="G435" s="5">
        <v>1600.0</v>
      </c>
      <c r="H435" s="6">
        <f t="shared" si="3"/>
        <v>0.769375</v>
      </c>
      <c r="I435" s="3">
        <f>IFERROR(__xludf.DUMMYFUNCTION("GOOGLEFINANCE(""CURRENCY:INRBRL"")*F435"),22.472611105589998)</f>
        <v>22.47261111</v>
      </c>
      <c r="J435" s="1">
        <v>4.0</v>
      </c>
      <c r="K435" s="1">
        <v>32625.0</v>
      </c>
      <c r="L435" s="1" t="s">
        <v>1716</v>
      </c>
      <c r="M435" s="7" t="s">
        <v>1717</v>
      </c>
    </row>
    <row r="436">
      <c r="A436" s="1" t="s">
        <v>1718</v>
      </c>
      <c r="B436" s="1" t="s">
        <v>1719</v>
      </c>
      <c r="C436" s="1" t="s">
        <v>1375</v>
      </c>
      <c r="D436" s="1" t="str">
        <f t="shared" si="1"/>
        <v>Electronics</v>
      </c>
      <c r="E436" s="1" t="str">
        <f t="shared" si="2"/>
        <v>Mobiles&amp;Accessories</v>
      </c>
      <c r="F436" s="5">
        <v>15499.0</v>
      </c>
      <c r="G436" s="5">
        <v>20999.0</v>
      </c>
      <c r="H436" s="6">
        <f t="shared" si="3"/>
        <v>0.2619172342</v>
      </c>
      <c r="I436" s="3">
        <f>IFERROR(__xludf.DUMMYFUNCTION("GOOGLEFINANCE(""CURRENCY:INRBRL"")*F436"),943.9105678198899)</f>
        <v>943.9105678</v>
      </c>
      <c r="J436" s="1">
        <v>4.49</v>
      </c>
      <c r="K436" s="1">
        <v>19252.0</v>
      </c>
      <c r="L436" s="1" t="s">
        <v>1720</v>
      </c>
      <c r="M436" s="7" t="s">
        <v>1721</v>
      </c>
    </row>
    <row r="437">
      <c r="A437" s="1" t="s">
        <v>1722</v>
      </c>
      <c r="B437" s="1" t="s">
        <v>1723</v>
      </c>
      <c r="C437" s="1" t="s">
        <v>1375</v>
      </c>
      <c r="D437" s="1" t="str">
        <f t="shared" si="1"/>
        <v>Electronics</v>
      </c>
      <c r="E437" s="1" t="str">
        <f t="shared" si="2"/>
        <v>Mobiles&amp;Accessories</v>
      </c>
      <c r="F437" s="5">
        <v>15499.0</v>
      </c>
      <c r="G437" s="5">
        <v>18999.0</v>
      </c>
      <c r="H437" s="6">
        <f t="shared" si="3"/>
        <v>0.1842202221</v>
      </c>
      <c r="I437" s="3">
        <f>IFERROR(__xludf.DUMMYFUNCTION("GOOGLEFINANCE(""CURRENCY:INRBRL"")*F437"),943.9105678198899)</f>
        <v>943.9105678</v>
      </c>
      <c r="J437" s="1">
        <v>4.49</v>
      </c>
      <c r="K437" s="1">
        <v>19252.0</v>
      </c>
      <c r="L437" s="1" t="s">
        <v>1528</v>
      </c>
      <c r="M437" s="7" t="s">
        <v>1724</v>
      </c>
    </row>
    <row r="438">
      <c r="A438" s="1" t="s">
        <v>1725</v>
      </c>
      <c r="B438" s="1" t="s">
        <v>1726</v>
      </c>
      <c r="C438" s="1" t="s">
        <v>1375</v>
      </c>
      <c r="D438" s="1" t="str">
        <f t="shared" si="1"/>
        <v>Electronics</v>
      </c>
      <c r="E438" s="1" t="str">
        <f t="shared" si="2"/>
        <v>Mobiles&amp;Accessories</v>
      </c>
      <c r="F438" s="5">
        <v>22999.0</v>
      </c>
      <c r="G438" s="5">
        <v>28999.0</v>
      </c>
      <c r="H438" s="6">
        <f t="shared" si="3"/>
        <v>0.2069036863</v>
      </c>
      <c r="I438" s="3">
        <f>IFERROR(__xludf.DUMMYFUNCTION("GOOGLEFINANCE(""CURRENCY:INRBRL"")*F438"),1400.67095614489)</f>
        <v>1400.670956</v>
      </c>
      <c r="J438" s="1">
        <v>4.52</v>
      </c>
      <c r="K438" s="1">
        <v>25824.0</v>
      </c>
      <c r="L438" s="1" t="s">
        <v>1727</v>
      </c>
      <c r="M438" s="7" t="s">
        <v>1728</v>
      </c>
    </row>
    <row r="439">
      <c r="A439" s="1" t="s">
        <v>1729</v>
      </c>
      <c r="B439" s="1" t="s">
        <v>1730</v>
      </c>
      <c r="C439" s="1" t="s">
        <v>1412</v>
      </c>
      <c r="D439" s="1" t="str">
        <f t="shared" si="1"/>
        <v>Electronics</v>
      </c>
      <c r="E439" s="1" t="str">
        <f t="shared" si="2"/>
        <v>Headphones,Earbuds&amp;Accessories</v>
      </c>
      <c r="F439" s="1">
        <v>599.0</v>
      </c>
      <c r="G439" s="5">
        <v>1490.0</v>
      </c>
      <c r="H439" s="6">
        <f t="shared" si="3"/>
        <v>0.5979865772</v>
      </c>
      <c r="I439" s="3">
        <f>IFERROR(__xludf.DUMMYFUNCTION("GOOGLEFINANCE(""CURRENCY:INRBRL"")*F439"),36.479929680889995)</f>
        <v>36.47992968</v>
      </c>
      <c r="J439" s="1">
        <v>4.49</v>
      </c>
      <c r="K439" s="1">
        <v>161679.0</v>
      </c>
      <c r="L439" s="1" t="s">
        <v>1731</v>
      </c>
      <c r="M439" s="7" t="s">
        <v>1732</v>
      </c>
    </row>
    <row r="440">
      <c r="A440" s="1" t="s">
        <v>1733</v>
      </c>
      <c r="B440" s="1" t="s">
        <v>1734</v>
      </c>
      <c r="C440" s="1" t="s">
        <v>1618</v>
      </c>
      <c r="D440" s="1" t="str">
        <f t="shared" si="1"/>
        <v>Electronics</v>
      </c>
      <c r="E440" s="1" t="str">
        <f t="shared" si="2"/>
        <v>Mobiles&amp;Accessories</v>
      </c>
      <c r="F440" s="1">
        <v>134.0</v>
      </c>
      <c r="G440" s="1">
        <v>699.0</v>
      </c>
      <c r="H440" s="6">
        <f t="shared" si="3"/>
        <v>0.808297568</v>
      </c>
      <c r="I440" s="3">
        <f>IFERROR(__xludf.DUMMYFUNCTION("GOOGLEFINANCE(""CURRENCY:INRBRL"")*F440"),8.16078560474)</f>
        <v>8.160785605</v>
      </c>
      <c r="J440" s="1">
        <v>4.49</v>
      </c>
      <c r="K440" s="1">
        <v>16685.0</v>
      </c>
      <c r="L440" s="1" t="s">
        <v>1735</v>
      </c>
      <c r="M440" s="7" t="s">
        <v>1736</v>
      </c>
    </row>
    <row r="441">
      <c r="A441" s="1" t="s">
        <v>1737</v>
      </c>
      <c r="B441" s="1" t="s">
        <v>1738</v>
      </c>
      <c r="C441" s="1" t="s">
        <v>1375</v>
      </c>
      <c r="D441" s="1" t="str">
        <f t="shared" si="1"/>
        <v>Electronics</v>
      </c>
      <c r="E441" s="1" t="str">
        <f t="shared" si="2"/>
        <v>Mobiles&amp;Accessories</v>
      </c>
      <c r="F441" s="5">
        <v>7499.0</v>
      </c>
      <c r="G441" s="5">
        <v>7999.0</v>
      </c>
      <c r="H441" s="6">
        <f t="shared" si="3"/>
        <v>0.06250781348</v>
      </c>
      <c r="I441" s="3">
        <f>IFERROR(__xludf.DUMMYFUNCTION("GOOGLEFINANCE(""CURRENCY:INRBRL"")*F441"),456.69948693989)</f>
        <v>456.6994869</v>
      </c>
      <c r="J441" s="1">
        <v>4.0</v>
      </c>
      <c r="K441" s="1">
        <v>30907.0</v>
      </c>
      <c r="L441" s="1" t="s">
        <v>1739</v>
      </c>
      <c r="M441" s="7" t="s">
        <v>1740</v>
      </c>
    </row>
    <row r="442">
      <c r="A442" s="1" t="s">
        <v>1741</v>
      </c>
      <c r="B442" s="1" t="s">
        <v>1742</v>
      </c>
      <c r="C442" s="1" t="s">
        <v>1370</v>
      </c>
      <c r="D442" s="1" t="str">
        <f t="shared" si="1"/>
        <v>Electronics</v>
      </c>
      <c r="E442" s="1" t="str">
        <f t="shared" si="2"/>
        <v>Mobiles&amp;Accessories</v>
      </c>
      <c r="F442" s="5">
        <v>1149.0</v>
      </c>
      <c r="G442" s="5">
        <v>2199.0</v>
      </c>
      <c r="H442" s="6">
        <f t="shared" si="3"/>
        <v>0.4774897681</v>
      </c>
      <c r="I442" s="3">
        <f>IFERROR(__xludf.DUMMYFUNCTION("GOOGLEFINANCE(""CURRENCY:INRBRL"")*F442"),69.97569149139)</f>
        <v>69.97569149</v>
      </c>
      <c r="J442" s="1">
        <v>4.5</v>
      </c>
      <c r="K442" s="1">
        <v>178912.0</v>
      </c>
      <c r="L442" s="1" t="s">
        <v>1743</v>
      </c>
      <c r="M442" s="7" t="s">
        <v>1744</v>
      </c>
    </row>
    <row r="443">
      <c r="A443" s="1" t="s">
        <v>1745</v>
      </c>
      <c r="B443" s="1" t="s">
        <v>1746</v>
      </c>
      <c r="C443" s="1" t="s">
        <v>1403</v>
      </c>
      <c r="D443" s="1" t="str">
        <f t="shared" si="1"/>
        <v>Electronics</v>
      </c>
      <c r="E443" s="1" t="str">
        <f t="shared" si="2"/>
        <v>Mobiles&amp;Accessories</v>
      </c>
      <c r="F443" s="5">
        <v>1324.0</v>
      </c>
      <c r="G443" s="5">
        <v>1699.0</v>
      </c>
      <c r="H443" s="6">
        <f t="shared" si="3"/>
        <v>0.2207180695</v>
      </c>
      <c r="I443" s="3">
        <f>IFERROR(__xludf.DUMMYFUNCTION("GOOGLEFINANCE(""CURRENCY:INRBRL"")*F443"),80.63343388564)</f>
        <v>80.63343389</v>
      </c>
      <c r="J443" s="1">
        <v>4.0</v>
      </c>
      <c r="K443" s="1">
        <v>128311.0</v>
      </c>
      <c r="L443" s="1" t="s">
        <v>1747</v>
      </c>
      <c r="M443" s="7" t="s">
        <v>1748</v>
      </c>
    </row>
    <row r="444">
      <c r="A444" s="1" t="s">
        <v>1749</v>
      </c>
      <c r="B444" s="1" t="s">
        <v>1750</v>
      </c>
      <c r="C444" s="1" t="s">
        <v>1375</v>
      </c>
      <c r="D444" s="1" t="str">
        <f t="shared" si="1"/>
        <v>Electronics</v>
      </c>
      <c r="E444" s="1" t="str">
        <f t="shared" si="2"/>
        <v>Mobiles&amp;Accessories</v>
      </c>
      <c r="F444" s="5">
        <v>13999.0</v>
      </c>
      <c r="G444" s="5">
        <v>19999.0</v>
      </c>
      <c r="H444" s="6">
        <f t="shared" si="3"/>
        <v>0.3000150008</v>
      </c>
      <c r="I444" s="3">
        <f>IFERROR(__xludf.DUMMYFUNCTION("GOOGLEFINANCE(""CURRENCY:INRBRL"")*F444"),852.5584901548899)</f>
        <v>852.5584902</v>
      </c>
      <c r="J444" s="1">
        <v>4.49</v>
      </c>
      <c r="K444" s="1">
        <v>19252.0</v>
      </c>
      <c r="L444" s="1" t="s">
        <v>1720</v>
      </c>
      <c r="M444" s="7" t="s">
        <v>1751</v>
      </c>
    </row>
    <row r="445">
      <c r="A445" s="1" t="s">
        <v>66</v>
      </c>
      <c r="B445" s="1" t="s">
        <v>67</v>
      </c>
      <c r="C445" s="1" t="s">
        <v>22</v>
      </c>
      <c r="D445" s="1" t="str">
        <f t="shared" si="1"/>
        <v>Computers&amp;Accessories</v>
      </c>
      <c r="E445" s="1" t="str">
        <f t="shared" si="2"/>
        <v>Accessories&amp;Peripherals</v>
      </c>
      <c r="F445" s="1">
        <v>299.0</v>
      </c>
      <c r="G445" s="1">
        <v>799.0</v>
      </c>
      <c r="H445" s="6">
        <f t="shared" si="3"/>
        <v>0.6257822278</v>
      </c>
      <c r="I445" s="3">
        <f>IFERROR(__xludf.DUMMYFUNCTION("GOOGLEFINANCE(""CURRENCY:INRBRL"")*F445"),18.209514147889998)</f>
        <v>18.20951415</v>
      </c>
      <c r="J445" s="1">
        <v>4.5</v>
      </c>
      <c r="K445" s="1">
        <v>94364.0</v>
      </c>
      <c r="L445" s="1" t="s">
        <v>68</v>
      </c>
      <c r="M445" s="7" t="s">
        <v>1752</v>
      </c>
    </row>
    <row r="446">
      <c r="A446" s="1" t="s">
        <v>1753</v>
      </c>
      <c r="B446" s="1" t="s">
        <v>1754</v>
      </c>
      <c r="C446" s="1" t="s">
        <v>1370</v>
      </c>
      <c r="D446" s="1" t="str">
        <f t="shared" si="1"/>
        <v>Electronics</v>
      </c>
      <c r="E446" s="1" t="str">
        <f t="shared" si="2"/>
        <v>Mobiles&amp;Accessories</v>
      </c>
      <c r="F446" s="1">
        <v>999.0</v>
      </c>
      <c r="G446" s="5">
        <v>1599.0</v>
      </c>
      <c r="H446" s="6">
        <f t="shared" si="3"/>
        <v>0.3752345216</v>
      </c>
      <c r="I446" s="3">
        <f>IFERROR(__xludf.DUMMYFUNCTION("GOOGLEFINANCE(""CURRENCY:INRBRL"")*F446"),60.84048372489)</f>
        <v>60.84048372</v>
      </c>
      <c r="J446" s="1">
        <v>4.0</v>
      </c>
      <c r="K446" s="1">
        <v>7222.0</v>
      </c>
      <c r="L446" s="1" t="s">
        <v>1755</v>
      </c>
      <c r="M446" s="7" t="s">
        <v>1756</v>
      </c>
    </row>
    <row r="447">
      <c r="A447" s="1" t="s">
        <v>1757</v>
      </c>
      <c r="B447" s="1" t="s">
        <v>1758</v>
      </c>
      <c r="C447" s="1" t="s">
        <v>1375</v>
      </c>
      <c r="D447" s="1" t="str">
        <f t="shared" si="1"/>
        <v>Electronics</v>
      </c>
      <c r="E447" s="1" t="str">
        <f t="shared" si="2"/>
        <v>Mobiles&amp;Accessories</v>
      </c>
      <c r="F447" s="5">
        <v>12999.0</v>
      </c>
      <c r="G447" s="5">
        <v>17999.0</v>
      </c>
      <c r="H447" s="6">
        <f t="shared" si="3"/>
        <v>0.2777932107</v>
      </c>
      <c r="I447" s="3">
        <f>IFERROR(__xludf.DUMMYFUNCTION("GOOGLEFINANCE(""CURRENCY:INRBRL"")*F447"),791.6571050448899)</f>
        <v>791.657105</v>
      </c>
      <c r="J447" s="1">
        <v>4.49</v>
      </c>
      <c r="K447" s="1">
        <v>18998.0</v>
      </c>
      <c r="L447" s="1" t="s">
        <v>1478</v>
      </c>
      <c r="M447" s="7" t="s">
        <v>1759</v>
      </c>
    </row>
    <row r="448">
      <c r="A448" s="1" t="s">
        <v>1760</v>
      </c>
      <c r="B448" s="1" t="s">
        <v>1761</v>
      </c>
      <c r="C448" s="1" t="s">
        <v>1375</v>
      </c>
      <c r="D448" s="1" t="str">
        <f t="shared" si="1"/>
        <v>Electronics</v>
      </c>
      <c r="E448" s="1" t="str">
        <f t="shared" si="2"/>
        <v>Mobiles&amp;Accessories</v>
      </c>
      <c r="F448" s="5">
        <v>15490.0</v>
      </c>
      <c r="G448" s="5">
        <v>20990.0</v>
      </c>
      <c r="H448" s="6">
        <f t="shared" si="3"/>
        <v>0.2620295379</v>
      </c>
      <c r="I448" s="3">
        <f>IFERROR(__xludf.DUMMYFUNCTION("GOOGLEFINANCE(""CURRENCY:INRBRL"")*F448"),943.3624553538999)</f>
        <v>943.3624554</v>
      </c>
      <c r="J448" s="1">
        <v>4.5</v>
      </c>
      <c r="K448" s="1">
        <v>32916.0</v>
      </c>
      <c r="L448" s="1" t="s">
        <v>1762</v>
      </c>
      <c r="M448" s="7" t="s">
        <v>1763</v>
      </c>
    </row>
    <row r="449">
      <c r="A449" s="1" t="s">
        <v>1764</v>
      </c>
      <c r="B449" s="1" t="s">
        <v>1765</v>
      </c>
      <c r="C449" s="1" t="s">
        <v>1766</v>
      </c>
      <c r="D449" s="1" t="str">
        <f t="shared" si="1"/>
        <v>Electronics</v>
      </c>
      <c r="E449" s="1" t="str">
        <f t="shared" si="2"/>
        <v>Mobiles&amp;Accessories</v>
      </c>
      <c r="F449" s="1">
        <v>999.0</v>
      </c>
      <c r="G449" s="5">
        <v>2899.0</v>
      </c>
      <c r="H449" s="6">
        <f t="shared" si="3"/>
        <v>0.6553984132</v>
      </c>
      <c r="I449" s="3">
        <f>IFERROR(__xludf.DUMMYFUNCTION("GOOGLEFINANCE(""CURRENCY:INRBRL"")*F449"),60.84048372489)</f>
        <v>60.84048372</v>
      </c>
      <c r="J449" s="1">
        <v>4.51</v>
      </c>
      <c r="K449" s="1">
        <v>26603.0</v>
      </c>
      <c r="L449" s="1" t="s">
        <v>1767</v>
      </c>
      <c r="M449" s="7" t="s">
        <v>1768</v>
      </c>
    </row>
    <row r="450">
      <c r="A450" s="1" t="s">
        <v>1769</v>
      </c>
      <c r="B450" s="1" t="s">
        <v>1770</v>
      </c>
      <c r="C450" s="1" t="s">
        <v>1357</v>
      </c>
      <c r="D450" s="1" t="str">
        <f t="shared" si="1"/>
        <v>Electronics</v>
      </c>
      <c r="E450" s="1" t="str">
        <f t="shared" si="2"/>
        <v>WearableTechnology</v>
      </c>
      <c r="F450" s="5">
        <v>1599.0</v>
      </c>
      <c r="G450" s="5">
        <v>4999.0</v>
      </c>
      <c r="H450" s="6">
        <f t="shared" si="3"/>
        <v>0.6801360272</v>
      </c>
      <c r="I450" s="3">
        <f>IFERROR(__xludf.DUMMYFUNCTION("GOOGLEFINANCE(""CURRENCY:INRBRL"")*F450"),97.38131479089)</f>
        <v>97.38131479</v>
      </c>
      <c r="J450" s="1">
        <v>4.0</v>
      </c>
      <c r="K450" s="1">
        <v>6795.0</v>
      </c>
      <c r="L450" s="1" t="s">
        <v>1771</v>
      </c>
      <c r="M450" s="7" t="s">
        <v>1772</v>
      </c>
    </row>
    <row r="451">
      <c r="A451" s="1" t="s">
        <v>1773</v>
      </c>
      <c r="B451" s="1" t="s">
        <v>1774</v>
      </c>
      <c r="C451" s="1" t="s">
        <v>1403</v>
      </c>
      <c r="D451" s="1" t="str">
        <f t="shared" si="1"/>
        <v>Electronics</v>
      </c>
      <c r="E451" s="1" t="str">
        <f t="shared" si="2"/>
        <v>Mobiles&amp;Accessories</v>
      </c>
      <c r="F451" s="5">
        <v>1324.0</v>
      </c>
      <c r="G451" s="5">
        <v>1699.0</v>
      </c>
      <c r="H451" s="6">
        <f t="shared" si="3"/>
        <v>0.2207180695</v>
      </c>
      <c r="I451" s="3">
        <f>IFERROR(__xludf.DUMMYFUNCTION("GOOGLEFINANCE(""CURRENCY:INRBRL"")*F451"),80.63343388564)</f>
        <v>80.63343389</v>
      </c>
      <c r="J451" s="1">
        <v>4.0</v>
      </c>
      <c r="K451" s="1">
        <v>128311.0</v>
      </c>
      <c r="L451" s="1" t="s">
        <v>1747</v>
      </c>
      <c r="M451" s="7" t="s">
        <v>1775</v>
      </c>
    </row>
    <row r="452">
      <c r="A452" s="1" t="s">
        <v>1776</v>
      </c>
      <c r="B452" s="1" t="s">
        <v>1777</v>
      </c>
      <c r="C452" s="1" t="s">
        <v>1375</v>
      </c>
      <c r="D452" s="1" t="str">
        <f t="shared" si="1"/>
        <v>Electronics</v>
      </c>
      <c r="E452" s="1" t="str">
        <f t="shared" si="2"/>
        <v>Mobiles&amp;Accessories</v>
      </c>
      <c r="F452" s="5">
        <v>20999.0</v>
      </c>
      <c r="G452" s="5">
        <v>29990.0</v>
      </c>
      <c r="H452" s="6">
        <f t="shared" si="3"/>
        <v>0.2997999333</v>
      </c>
      <c r="I452" s="3">
        <f>IFERROR(__xludf.DUMMYFUNCTION("GOOGLEFINANCE(""CURRENCY:INRBRL"")*F452"),1278.86818592489)</f>
        <v>1278.868186</v>
      </c>
      <c r="J452" s="1">
        <v>4.5</v>
      </c>
      <c r="K452" s="1">
        <v>9499.0</v>
      </c>
      <c r="L452" s="1" t="s">
        <v>1778</v>
      </c>
      <c r="M452" s="7" t="s">
        <v>1779</v>
      </c>
    </row>
    <row r="453">
      <c r="A453" s="1" t="s">
        <v>1780</v>
      </c>
      <c r="B453" s="1" t="s">
        <v>1781</v>
      </c>
      <c r="C453" s="1" t="s">
        <v>1457</v>
      </c>
      <c r="D453" s="1" t="str">
        <f t="shared" si="1"/>
        <v>Electronics</v>
      </c>
      <c r="E453" s="1" t="str">
        <f t="shared" si="2"/>
        <v>Mobiles&amp;Accessories</v>
      </c>
      <c r="F453" s="1">
        <v>999.0</v>
      </c>
      <c r="G453" s="5">
        <v>1999.0</v>
      </c>
      <c r="H453" s="6">
        <f t="shared" si="3"/>
        <v>0.5002501251</v>
      </c>
      <c r="I453" s="3">
        <f>IFERROR(__xludf.DUMMYFUNCTION("GOOGLEFINANCE(""CURRENCY:INRBRL"")*F453"),60.84048372489)</f>
        <v>60.84048372</v>
      </c>
      <c r="J453" s="1">
        <v>4.5</v>
      </c>
      <c r="K453" s="1">
        <v>1777.0</v>
      </c>
      <c r="L453" s="1" t="s">
        <v>1782</v>
      </c>
      <c r="M453" s="7" t="s">
        <v>1783</v>
      </c>
    </row>
    <row r="454">
      <c r="A454" s="1" t="s">
        <v>1784</v>
      </c>
      <c r="B454" s="1" t="s">
        <v>1785</v>
      </c>
      <c r="C454" s="1" t="s">
        <v>1375</v>
      </c>
      <c r="D454" s="1" t="str">
        <f t="shared" si="1"/>
        <v>Electronics</v>
      </c>
      <c r="E454" s="1" t="str">
        <f t="shared" si="2"/>
        <v>Mobiles&amp;Accessories</v>
      </c>
      <c r="F454" s="5">
        <v>12490.0</v>
      </c>
      <c r="G454" s="5">
        <v>15990.0</v>
      </c>
      <c r="H454" s="6">
        <f t="shared" si="3"/>
        <v>0.2188868043</v>
      </c>
      <c r="I454" s="3">
        <f>IFERROR(__xludf.DUMMYFUNCTION("GOOGLEFINANCE(""CURRENCY:INRBRL"")*F454"),760.6583000239)</f>
        <v>760.6583</v>
      </c>
      <c r="J454" s="1">
        <v>4.5</v>
      </c>
      <c r="K454" s="1">
        <v>58506.0</v>
      </c>
      <c r="L454" s="1" t="s">
        <v>1786</v>
      </c>
      <c r="M454" s="7" t="s">
        <v>1787</v>
      </c>
    </row>
    <row r="455">
      <c r="A455" s="1" t="s">
        <v>1788</v>
      </c>
      <c r="B455" s="1" t="s">
        <v>1789</v>
      </c>
      <c r="C455" s="1" t="s">
        <v>1375</v>
      </c>
      <c r="D455" s="1" t="str">
        <f t="shared" si="1"/>
        <v>Electronics</v>
      </c>
      <c r="E455" s="1" t="str">
        <f t="shared" si="2"/>
        <v>Mobiles&amp;Accessories</v>
      </c>
      <c r="F455" s="5">
        <v>17999.0</v>
      </c>
      <c r="G455" s="5">
        <v>21990.0</v>
      </c>
      <c r="H455" s="6">
        <f t="shared" si="3"/>
        <v>0.1814915871</v>
      </c>
      <c r="I455" s="3">
        <f>IFERROR(__xludf.DUMMYFUNCTION("GOOGLEFINANCE(""CURRENCY:INRBRL"")*F455"),1096.16403059489)</f>
        <v>1096.164031</v>
      </c>
      <c r="J455" s="1">
        <v>4.0</v>
      </c>
      <c r="K455" s="1">
        <v>2135.0</v>
      </c>
      <c r="L455" s="1" t="s">
        <v>1790</v>
      </c>
      <c r="M455" s="7" t="s">
        <v>1791</v>
      </c>
    </row>
    <row r="456">
      <c r="A456" s="1" t="s">
        <v>75</v>
      </c>
      <c r="B456" s="1" t="s">
        <v>76</v>
      </c>
      <c r="C456" s="1" t="s">
        <v>22</v>
      </c>
      <c r="D456" s="1" t="str">
        <f t="shared" si="1"/>
        <v>Computers&amp;Accessories</v>
      </c>
      <c r="E456" s="1" t="str">
        <f t="shared" si="2"/>
        <v>Accessories&amp;Peripherals</v>
      </c>
      <c r="F456" s="1">
        <v>350.0</v>
      </c>
      <c r="G456" s="1">
        <v>899.0</v>
      </c>
      <c r="H456" s="6">
        <f t="shared" si="3"/>
        <v>0.6106785317</v>
      </c>
      <c r="I456" s="3">
        <f>IFERROR(__xludf.DUMMYFUNCTION("GOOGLEFINANCE(""CURRENCY:INRBRL"")*F456"),21.315484788499997)</f>
        <v>21.31548479</v>
      </c>
      <c r="J456" s="1">
        <v>4.5</v>
      </c>
      <c r="K456" s="1">
        <v>2263.0</v>
      </c>
      <c r="L456" s="1" t="s">
        <v>77</v>
      </c>
      <c r="M456" s="7" t="s">
        <v>1792</v>
      </c>
    </row>
    <row r="457">
      <c r="A457" s="1" t="s">
        <v>1793</v>
      </c>
      <c r="B457" s="1" t="s">
        <v>1794</v>
      </c>
      <c r="C457" s="1" t="s">
        <v>1403</v>
      </c>
      <c r="D457" s="1" t="str">
        <f t="shared" si="1"/>
        <v>Electronics</v>
      </c>
      <c r="E457" s="1" t="str">
        <f t="shared" si="2"/>
        <v>Mobiles&amp;Accessories</v>
      </c>
      <c r="F457" s="5">
        <v>1399.0</v>
      </c>
      <c r="G457" s="5">
        <v>1630.0</v>
      </c>
      <c r="H457" s="6">
        <f t="shared" si="3"/>
        <v>0.1417177914</v>
      </c>
      <c r="I457" s="3">
        <f>IFERROR(__xludf.DUMMYFUNCTION("GOOGLEFINANCE(""CURRENCY:INRBRL"")*F457"),85.20103776889)</f>
        <v>85.20103777</v>
      </c>
      <c r="J457" s="1">
        <v>4.0</v>
      </c>
      <c r="K457" s="1">
        <v>9378.0</v>
      </c>
      <c r="L457" s="1" t="s">
        <v>1795</v>
      </c>
      <c r="M457" s="7" t="s">
        <v>1796</v>
      </c>
    </row>
    <row r="458">
      <c r="A458" s="1" t="s">
        <v>79</v>
      </c>
      <c r="B458" s="1" t="s">
        <v>80</v>
      </c>
      <c r="C458" s="1" t="s">
        <v>22</v>
      </c>
      <c r="D458" s="1" t="str">
        <f t="shared" si="1"/>
        <v>Computers&amp;Accessories</v>
      </c>
      <c r="E458" s="1" t="str">
        <f t="shared" si="2"/>
        <v>Accessories&amp;Peripherals</v>
      </c>
      <c r="F458" s="1">
        <v>159.0</v>
      </c>
      <c r="G458" s="1">
        <v>399.0</v>
      </c>
      <c r="H458" s="6">
        <f t="shared" si="3"/>
        <v>0.6015037594</v>
      </c>
      <c r="I458" s="3">
        <f>IFERROR(__xludf.DUMMYFUNCTION("GOOGLEFINANCE(""CURRENCY:INRBRL"")*F458"),9.683320232489999)</f>
        <v>9.683320232</v>
      </c>
      <c r="J458" s="1">
        <v>4.49</v>
      </c>
      <c r="K458" s="1">
        <v>4768.0</v>
      </c>
      <c r="L458" s="1" t="s">
        <v>39</v>
      </c>
      <c r="M458" s="7" t="s">
        <v>1797</v>
      </c>
    </row>
    <row r="459">
      <c r="A459" s="1" t="s">
        <v>1798</v>
      </c>
      <c r="B459" s="1" t="s">
        <v>1799</v>
      </c>
      <c r="C459" s="1" t="s">
        <v>1357</v>
      </c>
      <c r="D459" s="1" t="str">
        <f t="shared" si="1"/>
        <v>Electronics</v>
      </c>
      <c r="E459" s="1" t="str">
        <f t="shared" si="2"/>
        <v>WearableTechnology</v>
      </c>
      <c r="F459" s="5">
        <v>1499.0</v>
      </c>
      <c r="G459" s="5">
        <v>6990.0</v>
      </c>
      <c r="H459" s="6">
        <f t="shared" si="3"/>
        <v>0.7855507868</v>
      </c>
      <c r="I459" s="3">
        <f>IFERROR(__xludf.DUMMYFUNCTION("GOOGLEFINANCE(""CURRENCY:INRBRL"")*F459"),91.29117627989)</f>
        <v>91.29117628</v>
      </c>
      <c r="J459" s="1">
        <v>4.52</v>
      </c>
      <c r="K459" s="1">
        <v>21796.0</v>
      </c>
      <c r="L459" s="1" t="s">
        <v>1408</v>
      </c>
      <c r="M459" s="7" t="s">
        <v>1800</v>
      </c>
    </row>
    <row r="460">
      <c r="A460" s="1" t="s">
        <v>1801</v>
      </c>
      <c r="B460" s="1" t="s">
        <v>1802</v>
      </c>
      <c r="C460" s="1" t="s">
        <v>1357</v>
      </c>
      <c r="D460" s="1" t="str">
        <f t="shared" si="1"/>
        <v>Electronics</v>
      </c>
      <c r="E460" s="1" t="str">
        <f t="shared" si="2"/>
        <v>WearableTechnology</v>
      </c>
      <c r="F460" s="5">
        <v>1999.0</v>
      </c>
      <c r="G460" s="5">
        <v>7990.0</v>
      </c>
      <c r="H460" s="6">
        <f t="shared" si="3"/>
        <v>0.7498122653</v>
      </c>
      <c r="I460" s="3">
        <f>IFERROR(__xludf.DUMMYFUNCTION("GOOGLEFINANCE(""CURRENCY:INRBRL"")*F460"),121.74186883489)</f>
        <v>121.7418688</v>
      </c>
      <c r="J460" s="1">
        <v>4.51</v>
      </c>
      <c r="K460" s="1">
        <v>17833.0</v>
      </c>
      <c r="L460" s="1" t="s">
        <v>1366</v>
      </c>
      <c r="M460" s="7" t="s">
        <v>1803</v>
      </c>
    </row>
    <row r="461">
      <c r="A461" s="1" t="s">
        <v>1804</v>
      </c>
      <c r="B461" s="1" t="s">
        <v>1805</v>
      </c>
      <c r="C461" s="1" t="s">
        <v>1766</v>
      </c>
      <c r="D461" s="1" t="str">
        <f t="shared" si="1"/>
        <v>Electronics</v>
      </c>
      <c r="E461" s="1" t="str">
        <f t="shared" si="2"/>
        <v>Mobiles&amp;Accessories</v>
      </c>
      <c r="F461" s="1">
        <v>999.0</v>
      </c>
      <c r="G461" s="5">
        <v>2899.0</v>
      </c>
      <c r="H461" s="6">
        <f t="shared" si="3"/>
        <v>0.6553984132</v>
      </c>
      <c r="I461" s="3">
        <f>IFERROR(__xludf.DUMMYFUNCTION("GOOGLEFINANCE(""CURRENCY:INRBRL"")*F461"),60.84048372489)</f>
        <v>60.84048372</v>
      </c>
      <c r="J461" s="1">
        <v>4.51</v>
      </c>
      <c r="K461" s="1">
        <v>7779.0</v>
      </c>
      <c r="L461" s="1" t="s">
        <v>1806</v>
      </c>
      <c r="M461" s="7" t="s">
        <v>1807</v>
      </c>
    </row>
    <row r="462">
      <c r="A462" s="1" t="s">
        <v>1808</v>
      </c>
      <c r="B462" s="1" t="s">
        <v>1809</v>
      </c>
      <c r="C462" s="1" t="s">
        <v>1810</v>
      </c>
      <c r="D462" s="1" t="str">
        <f t="shared" si="1"/>
        <v>Electronics</v>
      </c>
      <c r="E462" s="1" t="str">
        <f t="shared" si="2"/>
        <v>Mobiles&amp;Accessories</v>
      </c>
      <c r="F462" s="5">
        <v>2099.0</v>
      </c>
      <c r="G462" s="5">
        <v>5999.0</v>
      </c>
      <c r="H462" s="6">
        <f t="shared" si="3"/>
        <v>0.6501083514</v>
      </c>
      <c r="I462" s="3">
        <f>IFERROR(__xludf.DUMMYFUNCTION("GOOGLEFINANCE(""CURRENCY:INRBRL"")*F462"),127.83200734588999)</f>
        <v>127.8320073</v>
      </c>
      <c r="J462" s="1">
        <v>4.5</v>
      </c>
      <c r="K462" s="1">
        <v>17129.0</v>
      </c>
      <c r="L462" s="1" t="s">
        <v>1811</v>
      </c>
      <c r="M462" s="7" t="s">
        <v>1812</v>
      </c>
    </row>
    <row r="463">
      <c r="A463" s="1" t="s">
        <v>1813</v>
      </c>
      <c r="B463" s="1" t="s">
        <v>1814</v>
      </c>
      <c r="C463" s="1" t="s">
        <v>1429</v>
      </c>
      <c r="D463" s="1" t="str">
        <f t="shared" si="1"/>
        <v>Electronics</v>
      </c>
      <c r="E463" s="1" t="str">
        <f t="shared" si="2"/>
        <v>Mobiles&amp;Accessories</v>
      </c>
      <c r="F463" s="1">
        <v>337.0</v>
      </c>
      <c r="G463" s="1">
        <v>699.0</v>
      </c>
      <c r="H463" s="6">
        <f t="shared" si="3"/>
        <v>0.5178826896</v>
      </c>
      <c r="I463" s="3">
        <f>IFERROR(__xludf.DUMMYFUNCTION("GOOGLEFINANCE(""CURRENCY:INRBRL"")*F463"),20.52376678207)</f>
        <v>20.52376678</v>
      </c>
      <c r="J463" s="1">
        <v>4.5</v>
      </c>
      <c r="K463" s="1">
        <v>4969.0</v>
      </c>
      <c r="L463" s="1" t="s">
        <v>1815</v>
      </c>
      <c r="M463" s="7" t="s">
        <v>1816</v>
      </c>
    </row>
    <row r="464">
      <c r="A464" s="1" t="s">
        <v>1817</v>
      </c>
      <c r="B464" s="1" t="s">
        <v>1818</v>
      </c>
      <c r="C464" s="1" t="s">
        <v>1357</v>
      </c>
      <c r="D464" s="1" t="str">
        <f t="shared" si="1"/>
        <v>Electronics</v>
      </c>
      <c r="E464" s="1" t="str">
        <f t="shared" si="2"/>
        <v>WearableTechnology</v>
      </c>
      <c r="F464" s="5">
        <v>2999.0</v>
      </c>
      <c r="G464" s="5">
        <v>7990.0</v>
      </c>
      <c r="H464" s="6">
        <f t="shared" si="3"/>
        <v>0.6246558198</v>
      </c>
      <c r="I464" s="3">
        <f>IFERROR(__xludf.DUMMYFUNCTION("GOOGLEFINANCE(""CURRENCY:INRBRL"")*F464"),182.64325394489)</f>
        <v>182.6432539</v>
      </c>
      <c r="J464" s="1">
        <v>4.49</v>
      </c>
      <c r="K464" s="1">
        <v>154.0</v>
      </c>
      <c r="L464" s="1" t="s">
        <v>1819</v>
      </c>
      <c r="M464" s="7" t="s">
        <v>1820</v>
      </c>
    </row>
    <row r="465">
      <c r="A465" s="1" t="s">
        <v>1821</v>
      </c>
      <c r="B465" s="1" t="s">
        <v>1822</v>
      </c>
      <c r="C465" s="1" t="s">
        <v>1357</v>
      </c>
      <c r="D465" s="1" t="str">
        <f t="shared" si="1"/>
        <v>Electronics</v>
      </c>
      <c r="E465" s="1" t="str">
        <f t="shared" si="2"/>
        <v>WearableTechnology</v>
      </c>
      <c r="F465" s="5">
        <v>1299.0</v>
      </c>
      <c r="G465" s="5">
        <v>5999.0</v>
      </c>
      <c r="H465" s="6">
        <f t="shared" si="3"/>
        <v>0.7834639107</v>
      </c>
      <c r="I465" s="3">
        <f>IFERROR(__xludf.DUMMYFUNCTION("GOOGLEFINANCE(""CURRENCY:INRBRL"")*F465"),79.11089925789)</f>
        <v>79.11089926</v>
      </c>
      <c r="J465" s="1">
        <v>4.5</v>
      </c>
      <c r="K465" s="1">
        <v>4415.0</v>
      </c>
      <c r="L465" s="1" t="s">
        <v>1823</v>
      </c>
      <c r="M465" s="7" t="s">
        <v>1824</v>
      </c>
    </row>
    <row r="466">
      <c r="A466" s="1" t="s">
        <v>82</v>
      </c>
      <c r="B466" s="1" t="s">
        <v>83</v>
      </c>
      <c r="C466" s="1" t="s">
        <v>22</v>
      </c>
      <c r="D466" s="1" t="str">
        <f t="shared" si="1"/>
        <v>Computers&amp;Accessories</v>
      </c>
      <c r="E466" s="1" t="str">
        <f t="shared" si="2"/>
        <v>Accessories&amp;Peripherals</v>
      </c>
      <c r="F466" s="1">
        <v>349.0</v>
      </c>
      <c r="G466" s="1">
        <v>399.0</v>
      </c>
      <c r="H466" s="6">
        <f t="shared" si="3"/>
        <v>0.1253132832</v>
      </c>
      <c r="I466" s="3">
        <f>IFERROR(__xludf.DUMMYFUNCTION("GOOGLEFINANCE(""CURRENCY:INRBRL"")*F466"),21.25458340339)</f>
        <v>21.2545834</v>
      </c>
      <c r="J466" s="1">
        <v>4.5</v>
      </c>
      <c r="K466" s="1">
        <v>18757.0</v>
      </c>
      <c r="L466" s="1" t="s">
        <v>84</v>
      </c>
      <c r="M466" s="7" t="s">
        <v>1825</v>
      </c>
    </row>
    <row r="467">
      <c r="A467" s="1" t="s">
        <v>1826</v>
      </c>
      <c r="B467" s="1" t="s">
        <v>1827</v>
      </c>
      <c r="C467" s="1" t="s">
        <v>1375</v>
      </c>
      <c r="D467" s="1" t="str">
        <f t="shared" si="1"/>
        <v>Electronics</v>
      </c>
      <c r="E467" s="1" t="str">
        <f t="shared" si="2"/>
        <v>Mobiles&amp;Accessories</v>
      </c>
      <c r="F467" s="5">
        <v>16499.0</v>
      </c>
      <c r="G467" s="5">
        <v>20990.0</v>
      </c>
      <c r="H467" s="6">
        <f t="shared" si="3"/>
        <v>0.2139590281</v>
      </c>
      <c r="I467" s="3">
        <f>IFERROR(__xludf.DUMMYFUNCTION("GOOGLEFINANCE(""CURRENCY:INRBRL"")*F467"),1004.8119529298899)</f>
        <v>1004.811953</v>
      </c>
      <c r="J467" s="1">
        <v>4.0</v>
      </c>
      <c r="K467" s="1">
        <v>2135.0</v>
      </c>
      <c r="L467" s="1" t="s">
        <v>1790</v>
      </c>
      <c r="M467" s="7" t="s">
        <v>1828</v>
      </c>
    </row>
    <row r="468">
      <c r="A468" s="1" t="s">
        <v>1829</v>
      </c>
      <c r="B468" s="1" t="s">
        <v>1830</v>
      </c>
      <c r="C468" s="1" t="s">
        <v>1412</v>
      </c>
      <c r="D468" s="1" t="str">
        <f t="shared" si="1"/>
        <v>Electronics</v>
      </c>
      <c r="E468" s="1" t="str">
        <f t="shared" si="2"/>
        <v>Headphones,Earbuds&amp;Accessories</v>
      </c>
      <c r="F468" s="1">
        <v>499.0</v>
      </c>
      <c r="G468" s="1">
        <v>499.0</v>
      </c>
      <c r="H468" s="6">
        <f t="shared" si="3"/>
        <v>0</v>
      </c>
      <c r="I468" s="3">
        <f>IFERROR(__xludf.DUMMYFUNCTION("GOOGLEFINANCE(""CURRENCY:INRBRL"")*F468"),30.38979116989)</f>
        <v>30.38979117</v>
      </c>
      <c r="J468" s="1">
        <v>4.5</v>
      </c>
      <c r="K468" s="1">
        <v>31539.0</v>
      </c>
      <c r="L468" s="1" t="s">
        <v>1831</v>
      </c>
      <c r="M468" s="7" t="s">
        <v>1832</v>
      </c>
    </row>
    <row r="469">
      <c r="A469" s="1" t="s">
        <v>103</v>
      </c>
      <c r="B469" s="1" t="s">
        <v>104</v>
      </c>
      <c r="C469" s="1" t="s">
        <v>22</v>
      </c>
      <c r="D469" s="1" t="str">
        <f t="shared" si="1"/>
        <v>Computers&amp;Accessories</v>
      </c>
      <c r="E469" s="1" t="str">
        <f t="shared" si="2"/>
        <v>Accessories&amp;Peripherals</v>
      </c>
      <c r="F469" s="1">
        <v>970.0</v>
      </c>
      <c r="G469" s="5">
        <v>1799.0</v>
      </c>
      <c r="H469" s="6">
        <f t="shared" si="3"/>
        <v>0.460811562</v>
      </c>
      <c r="I469" s="3">
        <f>IFERROR(__xludf.DUMMYFUNCTION("GOOGLEFINANCE(""CURRENCY:INRBRL"")*F469"),59.0743435567)</f>
        <v>59.07434356</v>
      </c>
      <c r="J469" s="1">
        <v>4.51</v>
      </c>
      <c r="K469" s="1">
        <v>815.0</v>
      </c>
      <c r="L469" s="1" t="s">
        <v>105</v>
      </c>
      <c r="M469" s="7" t="s">
        <v>1833</v>
      </c>
    </row>
    <row r="470">
      <c r="A470" s="1" t="s">
        <v>1834</v>
      </c>
      <c r="B470" s="1" t="s">
        <v>1835</v>
      </c>
      <c r="C470" s="1" t="s">
        <v>1766</v>
      </c>
      <c r="D470" s="1" t="str">
        <f t="shared" si="1"/>
        <v>Electronics</v>
      </c>
      <c r="E470" s="1" t="str">
        <f t="shared" si="2"/>
        <v>Mobiles&amp;Accessories</v>
      </c>
      <c r="F470" s="1">
        <v>999.0</v>
      </c>
      <c r="G470" s="5">
        <v>2899.0</v>
      </c>
      <c r="H470" s="6">
        <f t="shared" si="3"/>
        <v>0.6553984132</v>
      </c>
      <c r="I470" s="3">
        <f>IFERROR(__xludf.DUMMYFUNCTION("GOOGLEFINANCE(""CURRENCY:INRBRL"")*F470"),60.84048372489)</f>
        <v>60.84048372</v>
      </c>
      <c r="J470" s="1">
        <v>4.51</v>
      </c>
      <c r="K470" s="1">
        <v>6129.0</v>
      </c>
      <c r="L470" s="1" t="s">
        <v>1836</v>
      </c>
      <c r="M470" s="7" t="s">
        <v>1837</v>
      </c>
    </row>
    <row r="471">
      <c r="A471" s="1" t="s">
        <v>1838</v>
      </c>
      <c r="B471" s="1" t="s">
        <v>1839</v>
      </c>
      <c r="C471" s="1" t="s">
        <v>1375</v>
      </c>
      <c r="D471" s="1" t="str">
        <f t="shared" si="1"/>
        <v>Electronics</v>
      </c>
      <c r="E471" s="1" t="str">
        <f t="shared" si="2"/>
        <v>Mobiles&amp;Accessories</v>
      </c>
      <c r="F471" s="5">
        <v>10499.0</v>
      </c>
      <c r="G471" s="5">
        <v>13499.0</v>
      </c>
      <c r="H471" s="6">
        <f t="shared" si="3"/>
        <v>0.2222386843</v>
      </c>
      <c r="I471" s="3">
        <f>IFERROR(__xludf.DUMMYFUNCTION("GOOGLEFINANCE(""CURRENCY:INRBRL"")*F471"),639.4036422698899)</f>
        <v>639.4036423</v>
      </c>
      <c r="J471" s="1">
        <v>4.5</v>
      </c>
      <c r="K471" s="1">
        <v>284.0</v>
      </c>
      <c r="L471" s="1" t="s">
        <v>1417</v>
      </c>
      <c r="M471" s="7" t="s">
        <v>1840</v>
      </c>
    </row>
    <row r="472">
      <c r="A472" s="1" t="s">
        <v>91</v>
      </c>
      <c r="B472" s="1" t="s">
        <v>92</v>
      </c>
      <c r="C472" s="1" t="s">
        <v>22</v>
      </c>
      <c r="D472" s="1" t="str">
        <f t="shared" si="1"/>
        <v>Computers&amp;Accessories</v>
      </c>
      <c r="E472" s="1" t="str">
        <f t="shared" si="2"/>
        <v>Accessories&amp;Peripherals</v>
      </c>
      <c r="F472" s="1">
        <v>249.0</v>
      </c>
      <c r="G472" s="1">
        <v>399.0</v>
      </c>
      <c r="H472" s="6">
        <f t="shared" si="3"/>
        <v>0.3759398496</v>
      </c>
      <c r="I472" s="3">
        <f>IFERROR(__xludf.DUMMYFUNCTION("GOOGLEFINANCE(""CURRENCY:INRBRL"")*F472"),15.16444489239)</f>
        <v>15.16444489</v>
      </c>
      <c r="J472" s="1">
        <v>4.0</v>
      </c>
      <c r="K472" s="1">
        <v>43994.0</v>
      </c>
      <c r="L472" s="1" t="s">
        <v>93</v>
      </c>
      <c r="M472" s="7" t="s">
        <v>1841</v>
      </c>
    </row>
    <row r="473">
      <c r="A473" s="1" t="s">
        <v>1842</v>
      </c>
      <c r="B473" s="1" t="s">
        <v>1843</v>
      </c>
      <c r="C473" s="1" t="s">
        <v>1844</v>
      </c>
      <c r="D473" s="1" t="str">
        <f t="shared" si="1"/>
        <v>Electronics</v>
      </c>
      <c r="E473" s="1" t="str">
        <f t="shared" si="2"/>
        <v>Mobiles&amp;Accessories</v>
      </c>
      <c r="F473" s="1">
        <v>251.0</v>
      </c>
      <c r="G473" s="1">
        <v>999.0</v>
      </c>
      <c r="H473" s="6">
        <f t="shared" si="3"/>
        <v>0.7487487487</v>
      </c>
      <c r="I473" s="3">
        <f>IFERROR(__xludf.DUMMYFUNCTION("GOOGLEFINANCE(""CURRENCY:INRBRL"")*F473"),15.28624766261)</f>
        <v>15.28624766</v>
      </c>
      <c r="J473" s="1">
        <v>4.51</v>
      </c>
      <c r="K473" s="1">
        <v>3234.0</v>
      </c>
      <c r="L473" s="1" t="s">
        <v>1845</v>
      </c>
      <c r="M473" s="7" t="s">
        <v>1846</v>
      </c>
    </row>
    <row r="474">
      <c r="A474" s="1" t="s">
        <v>95</v>
      </c>
      <c r="B474" s="1" t="s">
        <v>96</v>
      </c>
      <c r="C474" s="1" t="s">
        <v>22</v>
      </c>
      <c r="D474" s="1" t="str">
        <f t="shared" si="1"/>
        <v>Computers&amp;Accessories</v>
      </c>
      <c r="E474" s="1" t="str">
        <f t="shared" si="2"/>
        <v>Accessories&amp;Peripherals</v>
      </c>
      <c r="F474" s="1">
        <v>199.0</v>
      </c>
      <c r="G474" s="1">
        <v>499.0</v>
      </c>
      <c r="H474" s="6">
        <f t="shared" si="3"/>
        <v>0.6012024048</v>
      </c>
      <c r="I474" s="3">
        <f>IFERROR(__xludf.DUMMYFUNCTION("GOOGLEFINANCE(""CURRENCY:INRBRL"")*F474"),12.11937563689)</f>
        <v>12.11937564</v>
      </c>
      <c r="J474" s="1">
        <v>4.49</v>
      </c>
      <c r="K474" s="1">
        <v>13045.0</v>
      </c>
      <c r="L474" s="1" t="s">
        <v>97</v>
      </c>
      <c r="M474" s="7" t="s">
        <v>1847</v>
      </c>
    </row>
    <row r="475">
      <c r="A475" s="1" t="s">
        <v>1848</v>
      </c>
      <c r="B475" s="1" t="s">
        <v>1849</v>
      </c>
      <c r="C475" s="1" t="s">
        <v>1375</v>
      </c>
      <c r="D475" s="1" t="str">
        <f t="shared" si="1"/>
        <v>Electronics</v>
      </c>
      <c r="E475" s="1" t="str">
        <f t="shared" si="2"/>
        <v>Mobiles&amp;Accessories</v>
      </c>
      <c r="F475" s="5">
        <v>6499.0</v>
      </c>
      <c r="G475" s="5">
        <v>7999.0</v>
      </c>
      <c r="H475" s="6">
        <f t="shared" si="3"/>
        <v>0.1875234404</v>
      </c>
      <c r="I475" s="3">
        <f>IFERROR(__xludf.DUMMYFUNCTION("GOOGLEFINANCE(""CURRENCY:INRBRL"")*F475"),395.79810182988996)</f>
        <v>395.7981018</v>
      </c>
      <c r="J475" s="1">
        <v>4.49</v>
      </c>
      <c r="K475" s="1">
        <v>313832.0</v>
      </c>
      <c r="L475" s="1" t="s">
        <v>1850</v>
      </c>
      <c r="M475" s="7" t="s">
        <v>1851</v>
      </c>
    </row>
    <row r="476">
      <c r="A476" s="1" t="s">
        <v>1852</v>
      </c>
      <c r="B476" s="1" t="s">
        <v>1853</v>
      </c>
      <c r="C476" s="1" t="s">
        <v>1357</v>
      </c>
      <c r="D476" s="1" t="str">
        <f t="shared" si="1"/>
        <v>Electronics</v>
      </c>
      <c r="E476" s="1" t="str">
        <f t="shared" si="2"/>
        <v>WearableTechnology</v>
      </c>
      <c r="F476" s="5">
        <v>2999.0</v>
      </c>
      <c r="G476" s="5">
        <v>9999.0</v>
      </c>
      <c r="H476" s="6">
        <f t="shared" si="3"/>
        <v>0.700070007</v>
      </c>
      <c r="I476" s="3">
        <f>IFERROR(__xludf.DUMMYFUNCTION("GOOGLEFINANCE(""CURRENCY:INRBRL"")*F476"),182.64325394489)</f>
        <v>182.6432539</v>
      </c>
      <c r="J476" s="1">
        <v>4.5</v>
      </c>
      <c r="K476" s="1">
        <v>20879.0</v>
      </c>
      <c r="L476" s="1" t="s">
        <v>1854</v>
      </c>
      <c r="M476" s="7" t="s">
        <v>1855</v>
      </c>
    </row>
    <row r="477">
      <c r="A477" s="1" t="s">
        <v>1856</v>
      </c>
      <c r="B477" s="1" t="s">
        <v>1857</v>
      </c>
      <c r="C477" s="1" t="s">
        <v>1858</v>
      </c>
      <c r="D477" s="1" t="str">
        <f t="shared" si="1"/>
        <v>Electronics</v>
      </c>
      <c r="E477" s="1" t="str">
        <f t="shared" si="2"/>
        <v>Mobiles&amp;Accessories</v>
      </c>
      <c r="F477" s="1">
        <v>279.0</v>
      </c>
      <c r="G477" s="5">
        <v>1499.0</v>
      </c>
      <c r="H477" s="6">
        <f t="shared" si="3"/>
        <v>0.8138759173</v>
      </c>
      <c r="I477" s="3">
        <f>IFERROR(__xludf.DUMMYFUNCTION("GOOGLEFINANCE(""CURRENCY:INRBRL"")*F477"),16.99148644569)</f>
        <v>16.99148645</v>
      </c>
      <c r="J477" s="1">
        <v>4.5</v>
      </c>
      <c r="K477" s="1">
        <v>2646.0</v>
      </c>
      <c r="L477" s="1" t="s">
        <v>1859</v>
      </c>
      <c r="M477" s="7" t="s">
        <v>1860</v>
      </c>
    </row>
    <row r="478">
      <c r="A478" s="1" t="s">
        <v>1861</v>
      </c>
      <c r="B478" s="1" t="s">
        <v>1862</v>
      </c>
      <c r="C478" s="1" t="s">
        <v>1618</v>
      </c>
      <c r="D478" s="1" t="str">
        <f t="shared" si="1"/>
        <v>Electronics</v>
      </c>
      <c r="E478" s="1" t="str">
        <f t="shared" si="2"/>
        <v>Mobiles&amp;Accessories</v>
      </c>
      <c r="F478" s="1">
        <v>269.0</v>
      </c>
      <c r="G478" s="5">
        <v>1499.0</v>
      </c>
      <c r="H478" s="6">
        <f t="shared" si="3"/>
        <v>0.8205470314</v>
      </c>
      <c r="I478" s="3">
        <f>IFERROR(__xludf.DUMMYFUNCTION("GOOGLEFINANCE(""CURRENCY:INRBRL"")*F478"),16.38247259459)</f>
        <v>16.38247259</v>
      </c>
      <c r="J478" s="1">
        <v>4.51</v>
      </c>
      <c r="K478" s="1">
        <v>28978.0</v>
      </c>
      <c r="L478" s="1" t="s">
        <v>1863</v>
      </c>
      <c r="M478" s="7" t="s">
        <v>1864</v>
      </c>
    </row>
    <row r="479">
      <c r="A479" s="1" t="s">
        <v>1865</v>
      </c>
      <c r="B479" s="1" t="s">
        <v>1866</v>
      </c>
      <c r="C479" s="1" t="s">
        <v>1375</v>
      </c>
      <c r="D479" s="1" t="str">
        <f t="shared" si="1"/>
        <v>Electronics</v>
      </c>
      <c r="E479" s="1" t="str">
        <f t="shared" si="2"/>
        <v>Mobiles&amp;Accessories</v>
      </c>
      <c r="F479" s="5">
        <v>8999.0</v>
      </c>
      <c r="G479" s="5">
        <v>13499.0</v>
      </c>
      <c r="H479" s="6">
        <f t="shared" si="3"/>
        <v>0.3333580265</v>
      </c>
      <c r="I479" s="3">
        <f>IFERROR(__xludf.DUMMYFUNCTION("GOOGLEFINANCE(""CURRENCY:INRBRL"")*F479"),548.05156460489)</f>
        <v>548.0515646</v>
      </c>
      <c r="J479" s="1">
        <v>4.51</v>
      </c>
      <c r="K479" s="1">
        <v>3145.0</v>
      </c>
      <c r="L479" s="1" t="s">
        <v>1867</v>
      </c>
      <c r="M479" s="7" t="s">
        <v>1868</v>
      </c>
    </row>
    <row r="480">
      <c r="A480" s="1" t="s">
        <v>115</v>
      </c>
      <c r="B480" s="1" t="s">
        <v>116</v>
      </c>
      <c r="C480" s="1" t="s">
        <v>22</v>
      </c>
      <c r="D480" s="1" t="str">
        <f t="shared" si="1"/>
        <v>Computers&amp;Accessories</v>
      </c>
      <c r="E480" s="1" t="str">
        <f t="shared" si="2"/>
        <v>Accessories&amp;Peripherals</v>
      </c>
      <c r="F480" s="1">
        <v>59.0</v>
      </c>
      <c r="G480" s="1">
        <v>199.0</v>
      </c>
      <c r="H480" s="6">
        <f t="shared" si="3"/>
        <v>0.7035175879</v>
      </c>
      <c r="I480" s="3">
        <f>IFERROR(__xludf.DUMMYFUNCTION("GOOGLEFINANCE(""CURRENCY:INRBRL"")*F480"),3.5931817214899997)</f>
        <v>3.593181721</v>
      </c>
      <c r="J480" s="1">
        <v>4.0</v>
      </c>
      <c r="K480" s="1">
        <v>9377.0</v>
      </c>
      <c r="L480" s="1" t="s">
        <v>117</v>
      </c>
      <c r="M480" s="7" t="s">
        <v>1869</v>
      </c>
    </row>
    <row r="481">
      <c r="A481" s="1" t="s">
        <v>1870</v>
      </c>
      <c r="B481" s="1" t="s">
        <v>1871</v>
      </c>
      <c r="C481" s="1" t="s">
        <v>1412</v>
      </c>
      <c r="D481" s="1" t="str">
        <f t="shared" si="1"/>
        <v>Electronics</v>
      </c>
      <c r="E481" s="1" t="str">
        <f t="shared" si="2"/>
        <v>Headphones,Earbuds&amp;Accessories</v>
      </c>
      <c r="F481" s="1">
        <v>599.0</v>
      </c>
      <c r="G481" s="5">
        <v>1299.0</v>
      </c>
      <c r="H481" s="6">
        <f t="shared" si="3"/>
        <v>0.5388760585</v>
      </c>
      <c r="I481" s="3">
        <f>IFERROR(__xludf.DUMMYFUNCTION("GOOGLEFINANCE(""CURRENCY:INRBRL"")*F481"),36.479929680889995)</f>
        <v>36.47992968</v>
      </c>
      <c r="J481" s="1">
        <v>4.49</v>
      </c>
      <c r="K481" s="1">
        <v>192589.0</v>
      </c>
      <c r="L481" s="1" t="s">
        <v>1872</v>
      </c>
      <c r="M481" s="7" t="s">
        <v>1873</v>
      </c>
    </row>
    <row r="482">
      <c r="A482" s="1" t="s">
        <v>1874</v>
      </c>
      <c r="B482" s="1" t="s">
        <v>1875</v>
      </c>
      <c r="C482" s="1" t="s">
        <v>1810</v>
      </c>
      <c r="D482" s="1" t="str">
        <f t="shared" si="1"/>
        <v>Electronics</v>
      </c>
      <c r="E482" s="1" t="str">
        <f t="shared" si="2"/>
        <v>Mobiles&amp;Accessories</v>
      </c>
      <c r="F482" s="1">
        <v>349.0</v>
      </c>
      <c r="G482" s="1">
        <v>999.0</v>
      </c>
      <c r="H482" s="6">
        <f t="shared" si="3"/>
        <v>0.6506506507</v>
      </c>
      <c r="I482" s="3">
        <f>IFERROR(__xludf.DUMMYFUNCTION("GOOGLEFINANCE(""CURRENCY:INRBRL"")*F482"),21.25458340339)</f>
        <v>21.2545834</v>
      </c>
      <c r="J482" s="1">
        <v>4.51</v>
      </c>
      <c r="K482" s="1">
        <v>16557.0</v>
      </c>
      <c r="L482" s="1" t="s">
        <v>1876</v>
      </c>
      <c r="M482" s="7" t="s">
        <v>1877</v>
      </c>
    </row>
    <row r="483">
      <c r="A483" s="1" t="s">
        <v>1878</v>
      </c>
      <c r="B483" s="1" t="s">
        <v>1600</v>
      </c>
      <c r="C483" s="1" t="s">
        <v>1375</v>
      </c>
      <c r="D483" s="1" t="str">
        <f t="shared" si="1"/>
        <v>Electronics</v>
      </c>
      <c r="E483" s="1" t="str">
        <f t="shared" si="2"/>
        <v>Mobiles&amp;Accessories</v>
      </c>
      <c r="F483" s="5">
        <v>13999.0</v>
      </c>
      <c r="G483" s="5">
        <v>19499.0</v>
      </c>
      <c r="H483" s="6">
        <f t="shared" si="3"/>
        <v>0.282065747</v>
      </c>
      <c r="I483" s="3">
        <f>IFERROR(__xludf.DUMMYFUNCTION("GOOGLEFINANCE(""CURRENCY:INRBRL"")*F483"),852.5584901548899)</f>
        <v>852.5584902</v>
      </c>
      <c r="J483" s="1">
        <v>4.49</v>
      </c>
      <c r="K483" s="1">
        <v>18998.0</v>
      </c>
      <c r="L483" s="1" t="s">
        <v>1601</v>
      </c>
      <c r="M483" s="7" t="s">
        <v>1879</v>
      </c>
    </row>
    <row r="484">
      <c r="A484" s="1" t="s">
        <v>1880</v>
      </c>
      <c r="B484" s="1" t="s">
        <v>1881</v>
      </c>
      <c r="C484" s="1" t="s">
        <v>1810</v>
      </c>
      <c r="D484" s="1" t="str">
        <f t="shared" si="1"/>
        <v>Electronics</v>
      </c>
      <c r="E484" s="1" t="str">
        <f t="shared" si="2"/>
        <v>Mobiles&amp;Accessories</v>
      </c>
      <c r="F484" s="1">
        <v>349.0</v>
      </c>
      <c r="G484" s="1">
        <v>999.0</v>
      </c>
      <c r="H484" s="6">
        <f t="shared" si="3"/>
        <v>0.6506506507</v>
      </c>
      <c r="I484" s="3">
        <f>IFERROR(__xludf.DUMMYFUNCTION("GOOGLEFINANCE(""CURRENCY:INRBRL"")*F484"),21.25458340339)</f>
        <v>21.2545834</v>
      </c>
      <c r="J484" s="1">
        <v>4.51</v>
      </c>
      <c r="K484" s="1">
        <v>16557.0</v>
      </c>
      <c r="L484" s="1" t="s">
        <v>1882</v>
      </c>
      <c r="M484" s="7" t="s">
        <v>1883</v>
      </c>
    </row>
    <row r="485">
      <c r="A485" s="1" t="s">
        <v>1884</v>
      </c>
      <c r="B485" s="1" t="s">
        <v>1885</v>
      </c>
      <c r="C485" s="1" t="s">
        <v>1457</v>
      </c>
      <c r="D485" s="1" t="str">
        <f t="shared" si="1"/>
        <v>Electronics</v>
      </c>
      <c r="E485" s="1" t="str">
        <f t="shared" si="2"/>
        <v>Mobiles&amp;Accessories</v>
      </c>
      <c r="F485" s="1">
        <v>499.0</v>
      </c>
      <c r="G485" s="1">
        <v>599.0</v>
      </c>
      <c r="H485" s="6">
        <f t="shared" si="3"/>
        <v>0.1669449082</v>
      </c>
      <c r="I485" s="3">
        <f>IFERROR(__xludf.DUMMYFUNCTION("GOOGLEFINANCE(""CURRENCY:INRBRL"")*F485"),30.38979116989)</f>
        <v>30.38979117</v>
      </c>
      <c r="J485" s="1">
        <v>4.5</v>
      </c>
      <c r="K485" s="1">
        <v>21916.0</v>
      </c>
      <c r="L485" s="1" t="s">
        <v>1886</v>
      </c>
      <c r="M485" s="7" t="s">
        <v>1887</v>
      </c>
    </row>
    <row r="486">
      <c r="A486" s="1" t="s">
        <v>1888</v>
      </c>
      <c r="B486" s="1" t="s">
        <v>1484</v>
      </c>
      <c r="C486" s="1" t="s">
        <v>1357</v>
      </c>
      <c r="D486" s="1" t="str">
        <f t="shared" si="1"/>
        <v>Electronics</v>
      </c>
      <c r="E486" s="1" t="str">
        <f t="shared" si="2"/>
        <v>WearableTechnology</v>
      </c>
      <c r="F486" s="5">
        <v>2199.0</v>
      </c>
      <c r="G486" s="5">
        <v>9999.0</v>
      </c>
      <c r="H486" s="6">
        <f t="shared" si="3"/>
        <v>0.7800780078</v>
      </c>
      <c r="I486" s="3">
        <f>IFERROR(__xludf.DUMMYFUNCTION("GOOGLEFINANCE(""CURRENCY:INRBRL"")*F486"),133.92214585688998)</f>
        <v>133.9221459</v>
      </c>
      <c r="J486" s="1">
        <v>4.5</v>
      </c>
      <c r="K486" s="1">
        <v>29472.0</v>
      </c>
      <c r="L486" s="1" t="s">
        <v>1889</v>
      </c>
      <c r="M486" s="7" t="s">
        <v>1890</v>
      </c>
    </row>
    <row r="487">
      <c r="A487" s="1" t="s">
        <v>1891</v>
      </c>
      <c r="B487" s="1" t="s">
        <v>1892</v>
      </c>
      <c r="C487" s="1" t="s">
        <v>1690</v>
      </c>
      <c r="D487" s="1" t="str">
        <f t="shared" si="1"/>
        <v>Electronics</v>
      </c>
      <c r="E487" s="1" t="str">
        <f t="shared" si="2"/>
        <v>Mobiles&amp;Accessories</v>
      </c>
      <c r="F487" s="1">
        <v>95.0</v>
      </c>
      <c r="G487" s="1">
        <v>499.0</v>
      </c>
      <c r="H487" s="6">
        <f t="shared" si="3"/>
        <v>0.8096192385</v>
      </c>
      <c r="I487" s="3">
        <f>IFERROR(__xludf.DUMMYFUNCTION("GOOGLEFINANCE(""CURRENCY:INRBRL"")*F487"),5.78563158545)</f>
        <v>5.785631585</v>
      </c>
      <c r="J487" s="1">
        <v>4.5</v>
      </c>
      <c r="K487" s="1">
        <v>1949.0</v>
      </c>
      <c r="L487" s="1" t="s">
        <v>1893</v>
      </c>
      <c r="M487" s="7" t="s">
        <v>1894</v>
      </c>
    </row>
    <row r="488">
      <c r="A488" s="1" t="s">
        <v>1895</v>
      </c>
      <c r="B488" s="1" t="s">
        <v>1896</v>
      </c>
      <c r="C488" s="1" t="s">
        <v>22</v>
      </c>
      <c r="D488" s="1" t="str">
        <f t="shared" si="1"/>
        <v>Computers&amp;Accessories</v>
      </c>
      <c r="E488" s="1" t="str">
        <f t="shared" si="2"/>
        <v>Accessories&amp;Peripherals</v>
      </c>
      <c r="F488" s="1">
        <v>139.0</v>
      </c>
      <c r="G488" s="1">
        <v>249.0</v>
      </c>
      <c r="H488" s="6">
        <f t="shared" si="3"/>
        <v>0.4417670683</v>
      </c>
      <c r="I488" s="3">
        <f>IFERROR(__xludf.DUMMYFUNCTION("GOOGLEFINANCE(""CURRENCY:INRBRL"")*F488"),8.46529253029)</f>
        <v>8.46529253</v>
      </c>
      <c r="J488" s="1">
        <v>4.0</v>
      </c>
      <c r="K488" s="1">
        <v>9377.0</v>
      </c>
      <c r="L488" s="1" t="s">
        <v>352</v>
      </c>
      <c r="M488" s="7" t="s">
        <v>1897</v>
      </c>
    </row>
    <row r="489">
      <c r="A489" s="1" t="s">
        <v>1898</v>
      </c>
      <c r="B489" s="1" t="s">
        <v>1899</v>
      </c>
      <c r="C489" s="1" t="s">
        <v>1357</v>
      </c>
      <c r="D489" s="1" t="str">
        <f t="shared" si="1"/>
        <v>Electronics</v>
      </c>
      <c r="E489" s="1" t="str">
        <f t="shared" si="2"/>
        <v>WearableTechnology</v>
      </c>
      <c r="F489" s="5">
        <v>4499.0</v>
      </c>
      <c r="G489" s="5">
        <v>7999.0</v>
      </c>
      <c r="H489" s="6">
        <f t="shared" si="3"/>
        <v>0.4375546943</v>
      </c>
      <c r="I489" s="3">
        <f>IFERROR(__xludf.DUMMYFUNCTION("GOOGLEFINANCE(""CURRENCY:INRBRL"")*F489"),273.99533160989)</f>
        <v>273.9953316</v>
      </c>
      <c r="J489" s="1">
        <v>4.5</v>
      </c>
      <c r="K489" s="1">
        <v>37.0</v>
      </c>
      <c r="L489" s="1" t="s">
        <v>1900</v>
      </c>
      <c r="M489" s="7" t="s">
        <v>1901</v>
      </c>
    </row>
    <row r="490">
      <c r="A490" s="1" t="s">
        <v>1902</v>
      </c>
      <c r="B490" s="1" t="s">
        <v>1903</v>
      </c>
      <c r="C490" s="1" t="s">
        <v>1618</v>
      </c>
      <c r="D490" s="1" t="str">
        <f t="shared" si="1"/>
        <v>Electronics</v>
      </c>
      <c r="E490" s="1" t="str">
        <f t="shared" si="2"/>
        <v>Mobiles&amp;Accessories</v>
      </c>
      <c r="F490" s="1">
        <v>89.0</v>
      </c>
      <c r="G490" s="1">
        <v>599.0</v>
      </c>
      <c r="H490" s="6">
        <f t="shared" si="3"/>
        <v>0.8514190317</v>
      </c>
      <c r="I490" s="3">
        <f>IFERROR(__xludf.DUMMYFUNCTION("GOOGLEFINANCE(""CURRENCY:INRBRL"")*F490"),5.42022327479)</f>
        <v>5.420223275</v>
      </c>
      <c r="J490" s="1">
        <v>4.5</v>
      </c>
      <c r="K490" s="1">
        <v>2351.0</v>
      </c>
      <c r="L490" s="1" t="s">
        <v>1904</v>
      </c>
      <c r="M490" s="7" t="s">
        <v>1905</v>
      </c>
    </row>
    <row r="491">
      <c r="A491" s="1" t="s">
        <v>1906</v>
      </c>
      <c r="B491" s="1" t="s">
        <v>1907</v>
      </c>
      <c r="C491" s="1" t="s">
        <v>1375</v>
      </c>
      <c r="D491" s="1" t="str">
        <f t="shared" si="1"/>
        <v>Electronics</v>
      </c>
      <c r="E491" s="1" t="str">
        <f t="shared" si="2"/>
        <v>Mobiles&amp;Accessories</v>
      </c>
      <c r="F491" s="5">
        <v>15499.0</v>
      </c>
      <c r="G491" s="5">
        <v>20999.0</v>
      </c>
      <c r="H491" s="6">
        <f t="shared" si="3"/>
        <v>0.2619172342</v>
      </c>
      <c r="I491" s="3">
        <f>IFERROR(__xludf.DUMMYFUNCTION("GOOGLEFINANCE(""CURRENCY:INRBRL"")*F491"),943.9105678198899)</f>
        <v>943.9105678</v>
      </c>
      <c r="J491" s="1">
        <v>4.49</v>
      </c>
      <c r="K491" s="1">
        <v>19253.0</v>
      </c>
      <c r="L491" s="1" t="s">
        <v>1720</v>
      </c>
      <c r="M491" s="7" t="s">
        <v>1908</v>
      </c>
    </row>
    <row r="492">
      <c r="A492" s="1" t="s">
        <v>1909</v>
      </c>
      <c r="B492" s="1" t="s">
        <v>1910</v>
      </c>
      <c r="C492" s="1" t="s">
        <v>1375</v>
      </c>
      <c r="D492" s="1" t="str">
        <f t="shared" si="1"/>
        <v>Electronics</v>
      </c>
      <c r="E492" s="1" t="str">
        <f t="shared" si="2"/>
        <v>Mobiles&amp;Accessories</v>
      </c>
      <c r="F492" s="5">
        <v>13999.0</v>
      </c>
      <c r="G492" s="5">
        <v>15999.0</v>
      </c>
      <c r="H492" s="6">
        <f t="shared" si="3"/>
        <v>0.125007813</v>
      </c>
      <c r="I492" s="3">
        <f>IFERROR(__xludf.DUMMYFUNCTION("GOOGLEFINANCE(""CURRENCY:INRBRL"")*F492"),852.5584901548899)</f>
        <v>852.5584902</v>
      </c>
      <c r="J492" s="1">
        <v>4.52</v>
      </c>
      <c r="K492" s="1">
        <v>218.0</v>
      </c>
      <c r="L492" s="1" t="s">
        <v>1911</v>
      </c>
      <c r="M492" s="7" t="s">
        <v>1912</v>
      </c>
    </row>
    <row r="493">
      <c r="A493" s="1" t="s">
        <v>1913</v>
      </c>
      <c r="B493" s="1" t="s">
        <v>1914</v>
      </c>
      <c r="C493" s="1" t="s">
        <v>1357</v>
      </c>
      <c r="D493" s="1" t="str">
        <f t="shared" si="1"/>
        <v>Electronics</v>
      </c>
      <c r="E493" s="1" t="str">
        <f t="shared" si="2"/>
        <v>WearableTechnology</v>
      </c>
      <c r="F493" s="5">
        <v>1999.0</v>
      </c>
      <c r="G493" s="5">
        <v>4999.0</v>
      </c>
      <c r="H493" s="6">
        <f t="shared" si="3"/>
        <v>0.600120024</v>
      </c>
      <c r="I493" s="3">
        <f>IFERROR(__xludf.DUMMYFUNCTION("GOOGLEFINANCE(""CURRENCY:INRBRL"")*F493"),121.74186883489)</f>
        <v>121.7418688</v>
      </c>
      <c r="J493" s="1">
        <v>4.52</v>
      </c>
      <c r="K493" s="1">
        <v>7571.0</v>
      </c>
      <c r="L493" s="1" t="s">
        <v>1915</v>
      </c>
      <c r="M493" s="7" t="s">
        <v>1916</v>
      </c>
    </row>
    <row r="494">
      <c r="A494" s="1" t="s">
        <v>1917</v>
      </c>
      <c r="B494" s="1" t="s">
        <v>1918</v>
      </c>
      <c r="C494" s="1" t="s">
        <v>1357</v>
      </c>
      <c r="D494" s="1" t="str">
        <f t="shared" si="1"/>
        <v>Electronics</v>
      </c>
      <c r="E494" s="1" t="str">
        <f t="shared" si="2"/>
        <v>WearableTechnology</v>
      </c>
      <c r="F494" s="5">
        <v>1399.0</v>
      </c>
      <c r="G494" s="5">
        <v>5999.0</v>
      </c>
      <c r="H494" s="6">
        <f t="shared" si="3"/>
        <v>0.7667944657</v>
      </c>
      <c r="I494" s="3">
        <f>IFERROR(__xludf.DUMMYFUNCTION("GOOGLEFINANCE(""CURRENCY:INRBRL"")*F494"),85.20103776889)</f>
        <v>85.20103777</v>
      </c>
      <c r="J494" s="1">
        <v>4.5</v>
      </c>
      <c r="K494" s="1">
        <v>4415.0</v>
      </c>
      <c r="L494" s="1" t="s">
        <v>1919</v>
      </c>
      <c r="M494" s="7" t="s">
        <v>1920</v>
      </c>
    </row>
    <row r="495">
      <c r="A495" s="1" t="s">
        <v>1921</v>
      </c>
      <c r="B495" s="1" t="s">
        <v>1922</v>
      </c>
      <c r="C495" s="1" t="s">
        <v>1452</v>
      </c>
      <c r="D495" s="1" t="str">
        <f t="shared" si="1"/>
        <v>Electronics</v>
      </c>
      <c r="E495" s="1" t="str">
        <f t="shared" si="2"/>
        <v>Mobiles&amp;Accessories</v>
      </c>
      <c r="F495" s="1">
        <v>599.0</v>
      </c>
      <c r="G495" s="1">
        <v>999.0</v>
      </c>
      <c r="H495" s="6">
        <f t="shared" si="3"/>
        <v>0.4004004004</v>
      </c>
      <c r="I495" s="3">
        <f>IFERROR(__xludf.DUMMYFUNCTION("GOOGLEFINANCE(""CURRENCY:INRBRL"")*F495"),36.479929680889995)</f>
        <v>36.47992968</v>
      </c>
      <c r="J495" s="1">
        <v>4.0</v>
      </c>
      <c r="K495" s="1">
        <v>18654.0</v>
      </c>
      <c r="L495" s="1" t="s">
        <v>1923</v>
      </c>
      <c r="M495" s="7" t="s">
        <v>1924</v>
      </c>
    </row>
    <row r="496">
      <c r="A496" s="1" t="s">
        <v>1925</v>
      </c>
      <c r="B496" s="1" t="s">
        <v>1926</v>
      </c>
      <c r="C496" s="1" t="s">
        <v>1457</v>
      </c>
      <c r="D496" s="1" t="str">
        <f t="shared" si="1"/>
        <v>Electronics</v>
      </c>
      <c r="E496" s="1" t="str">
        <f t="shared" si="2"/>
        <v>Mobiles&amp;Accessories</v>
      </c>
      <c r="F496" s="1">
        <v>199.0</v>
      </c>
      <c r="G496" s="5">
        <v>1099.0</v>
      </c>
      <c r="H496" s="6">
        <f t="shared" si="3"/>
        <v>0.8189262966</v>
      </c>
      <c r="I496" s="3">
        <f>IFERROR(__xludf.DUMMYFUNCTION("GOOGLEFINANCE(""CURRENCY:INRBRL"")*F496"),12.11937563689)</f>
        <v>12.11937564</v>
      </c>
      <c r="J496" s="1">
        <v>4.0</v>
      </c>
      <c r="K496" s="1">
        <v>3197.0</v>
      </c>
      <c r="L496" s="1" t="s">
        <v>1927</v>
      </c>
      <c r="M496" s="7" t="s">
        <v>1928</v>
      </c>
    </row>
    <row r="497">
      <c r="A497" s="1" t="s">
        <v>1929</v>
      </c>
      <c r="B497" s="1" t="s">
        <v>1930</v>
      </c>
      <c r="C497" s="1" t="s">
        <v>1357</v>
      </c>
      <c r="D497" s="1" t="str">
        <f t="shared" si="1"/>
        <v>Electronics</v>
      </c>
      <c r="E497" s="1" t="str">
        <f t="shared" si="2"/>
        <v>WearableTechnology</v>
      </c>
      <c r="F497" s="5">
        <v>1799.0</v>
      </c>
      <c r="G497" s="5">
        <v>6990.0</v>
      </c>
      <c r="H497" s="6">
        <f t="shared" si="3"/>
        <v>0.7426323319</v>
      </c>
      <c r="I497" s="3">
        <f>IFERROR(__xludf.DUMMYFUNCTION("GOOGLEFINANCE(""CURRENCY:INRBRL"")*F497"),109.56159181289)</f>
        <v>109.5615918</v>
      </c>
      <c r="J497" s="1">
        <v>4.0</v>
      </c>
      <c r="K497" s="1">
        <v>2688.0</v>
      </c>
      <c r="L497" s="1" t="s">
        <v>1931</v>
      </c>
      <c r="M497" s="7" t="s">
        <v>1932</v>
      </c>
    </row>
    <row r="498">
      <c r="A498" s="1" t="s">
        <v>1933</v>
      </c>
      <c r="B498" s="1" t="s">
        <v>1934</v>
      </c>
      <c r="C498" s="1" t="s">
        <v>1357</v>
      </c>
      <c r="D498" s="1" t="str">
        <f t="shared" si="1"/>
        <v>Electronics</v>
      </c>
      <c r="E498" s="1" t="str">
        <f t="shared" si="2"/>
        <v>WearableTechnology</v>
      </c>
      <c r="F498" s="5">
        <v>1499.0</v>
      </c>
      <c r="G498" s="5">
        <v>6990.0</v>
      </c>
      <c r="H498" s="6">
        <f t="shared" si="3"/>
        <v>0.7855507868</v>
      </c>
      <c r="I498" s="3">
        <f>IFERROR(__xludf.DUMMYFUNCTION("GOOGLEFINANCE(""CURRENCY:INRBRL"")*F498"),91.29117627989)</f>
        <v>91.29117628</v>
      </c>
      <c r="J498" s="1">
        <v>4.52</v>
      </c>
      <c r="K498" s="1">
        <v>21796.0</v>
      </c>
      <c r="L498" s="1" t="s">
        <v>1408</v>
      </c>
      <c r="M498" s="7" t="s">
        <v>1935</v>
      </c>
    </row>
    <row r="499">
      <c r="A499" s="1" t="s">
        <v>1936</v>
      </c>
      <c r="B499" s="1" t="s">
        <v>1937</v>
      </c>
      <c r="C499" s="1" t="s">
        <v>1375</v>
      </c>
      <c r="D499" s="1" t="str">
        <f t="shared" si="1"/>
        <v>Electronics</v>
      </c>
      <c r="E499" s="1" t="str">
        <f t="shared" si="2"/>
        <v>Mobiles&amp;Accessories</v>
      </c>
      <c r="F499" s="5">
        <v>20999.0</v>
      </c>
      <c r="G499" s="5">
        <v>29990.0</v>
      </c>
      <c r="H499" s="6">
        <f t="shared" si="3"/>
        <v>0.2997999333</v>
      </c>
      <c r="I499" s="3">
        <f>IFERROR(__xludf.DUMMYFUNCTION("GOOGLEFINANCE(""CURRENCY:INRBRL"")*F499"),1278.86818592489)</f>
        <v>1278.868186</v>
      </c>
      <c r="J499" s="1">
        <v>4.5</v>
      </c>
      <c r="K499" s="1">
        <v>9499.0</v>
      </c>
      <c r="L499" s="1" t="s">
        <v>1778</v>
      </c>
      <c r="M499" s="7" t="s">
        <v>1938</v>
      </c>
    </row>
    <row r="500">
      <c r="A500" s="1" t="s">
        <v>1939</v>
      </c>
      <c r="B500" s="1" t="s">
        <v>1940</v>
      </c>
      <c r="C500" s="1" t="s">
        <v>1375</v>
      </c>
      <c r="D500" s="1" t="str">
        <f t="shared" si="1"/>
        <v>Electronics</v>
      </c>
      <c r="E500" s="1" t="str">
        <f t="shared" si="2"/>
        <v>Mobiles&amp;Accessories</v>
      </c>
      <c r="F500" s="5">
        <v>12999.0</v>
      </c>
      <c r="G500" s="5">
        <v>13499.0</v>
      </c>
      <c r="H500" s="6">
        <f t="shared" si="3"/>
        <v>0.03703978072</v>
      </c>
      <c r="I500" s="3">
        <f>IFERROR(__xludf.DUMMYFUNCTION("GOOGLEFINANCE(""CURRENCY:INRBRL"")*F500"),791.6571050448899)</f>
        <v>791.657105</v>
      </c>
      <c r="J500" s="1">
        <v>4.49</v>
      </c>
      <c r="K500" s="1">
        <v>56098.0</v>
      </c>
      <c r="L500" s="1" t="s">
        <v>1941</v>
      </c>
      <c r="M500" s="7" t="s">
        <v>1942</v>
      </c>
    </row>
    <row r="501">
      <c r="A501" s="1" t="s">
        <v>1943</v>
      </c>
      <c r="B501" s="1" t="s">
        <v>1944</v>
      </c>
      <c r="C501" s="1" t="s">
        <v>1375</v>
      </c>
      <c r="D501" s="1" t="str">
        <f t="shared" si="1"/>
        <v>Electronics</v>
      </c>
      <c r="E501" s="1" t="str">
        <f t="shared" si="2"/>
        <v>Mobiles&amp;Accessories</v>
      </c>
      <c r="F501" s="5">
        <v>16999.0</v>
      </c>
      <c r="G501" s="5">
        <v>20999.0</v>
      </c>
      <c r="H501" s="6">
        <f t="shared" si="3"/>
        <v>0.1904852612</v>
      </c>
      <c r="I501" s="3">
        <f>IFERROR(__xludf.DUMMYFUNCTION("GOOGLEFINANCE(""CURRENCY:INRBRL"")*F501"),1035.2626454848898)</f>
        <v>1035.262645</v>
      </c>
      <c r="J501" s="1">
        <v>4.49</v>
      </c>
      <c r="K501" s="1">
        <v>31822.0</v>
      </c>
      <c r="L501" s="1" t="s">
        <v>1945</v>
      </c>
      <c r="M501" s="7" t="s">
        <v>1946</v>
      </c>
    </row>
    <row r="502">
      <c r="A502" s="1" t="s">
        <v>1947</v>
      </c>
      <c r="B502" s="1" t="s">
        <v>1948</v>
      </c>
      <c r="C502" s="1" t="s">
        <v>1375</v>
      </c>
      <c r="D502" s="1" t="str">
        <f t="shared" si="1"/>
        <v>Electronics</v>
      </c>
      <c r="E502" s="1" t="str">
        <f t="shared" si="2"/>
        <v>Mobiles&amp;Accessories</v>
      </c>
      <c r="F502" s="5">
        <v>19999.0</v>
      </c>
      <c r="G502" s="5">
        <v>27990.0</v>
      </c>
      <c r="H502" s="6">
        <f t="shared" si="3"/>
        <v>0.2854948196</v>
      </c>
      <c r="I502" s="3">
        <f>IFERROR(__xludf.DUMMYFUNCTION("GOOGLEFINANCE(""CURRENCY:INRBRL"")*F502"),1217.96680081489)</f>
        <v>1217.966801</v>
      </c>
      <c r="J502" s="1">
        <v>4.5</v>
      </c>
      <c r="K502" s="1">
        <v>9499.0</v>
      </c>
      <c r="L502" s="1" t="s">
        <v>1949</v>
      </c>
      <c r="M502" s="7" t="s">
        <v>1950</v>
      </c>
    </row>
    <row r="503">
      <c r="A503" s="1" t="s">
        <v>1951</v>
      </c>
      <c r="B503" s="1" t="s">
        <v>1952</v>
      </c>
      <c r="C503" s="1" t="s">
        <v>1375</v>
      </c>
      <c r="D503" s="1" t="str">
        <f t="shared" si="1"/>
        <v>Electronics</v>
      </c>
      <c r="E503" s="1" t="str">
        <f t="shared" si="2"/>
        <v>Mobiles&amp;Accessories</v>
      </c>
      <c r="F503" s="5">
        <v>12999.0</v>
      </c>
      <c r="G503" s="5">
        <v>18999.0</v>
      </c>
      <c r="H503" s="6">
        <f t="shared" si="3"/>
        <v>0.3158060951</v>
      </c>
      <c r="I503" s="3">
        <f>IFERROR(__xludf.DUMMYFUNCTION("GOOGLEFINANCE(""CURRENCY:INRBRL"")*F503"),791.6571050448899)</f>
        <v>791.657105</v>
      </c>
      <c r="J503" s="1">
        <v>4.49</v>
      </c>
      <c r="K503" s="1">
        <v>50772.0</v>
      </c>
      <c r="L503" s="1" t="s">
        <v>1953</v>
      </c>
      <c r="M503" s="7" t="s">
        <v>1954</v>
      </c>
    </row>
    <row r="504">
      <c r="A504" s="1" t="s">
        <v>1955</v>
      </c>
      <c r="B504" s="1" t="s">
        <v>1956</v>
      </c>
      <c r="C504" s="1" t="s">
        <v>1357</v>
      </c>
      <c r="D504" s="1" t="str">
        <f t="shared" si="1"/>
        <v>Electronics</v>
      </c>
      <c r="E504" s="1" t="str">
        <f t="shared" si="2"/>
        <v>WearableTechnology</v>
      </c>
      <c r="F504" s="5">
        <v>2999.0</v>
      </c>
      <c r="G504" s="5">
        <v>5999.0</v>
      </c>
      <c r="H504" s="6">
        <f t="shared" si="3"/>
        <v>0.5000833472</v>
      </c>
      <c r="I504" s="3">
        <f>IFERROR(__xludf.DUMMYFUNCTION("GOOGLEFINANCE(""CURRENCY:INRBRL"")*F504"),182.64325394489)</f>
        <v>182.6432539</v>
      </c>
      <c r="J504" s="1">
        <v>4.49</v>
      </c>
      <c r="K504" s="1">
        <v>7148.0</v>
      </c>
      <c r="L504" s="1" t="s">
        <v>1957</v>
      </c>
      <c r="M504" s="7" t="s">
        <v>1958</v>
      </c>
    </row>
    <row r="505">
      <c r="A505" s="1" t="s">
        <v>139</v>
      </c>
      <c r="B505" s="1" t="s">
        <v>140</v>
      </c>
      <c r="C505" s="1" t="s">
        <v>22</v>
      </c>
      <c r="D505" s="1" t="str">
        <f t="shared" si="1"/>
        <v>Computers&amp;Accessories</v>
      </c>
      <c r="E505" s="1" t="str">
        <f t="shared" si="2"/>
        <v>Accessories&amp;Peripherals</v>
      </c>
      <c r="F505" s="1">
        <v>299.0</v>
      </c>
      <c r="G505" s="1">
        <v>999.0</v>
      </c>
      <c r="H505" s="6">
        <f t="shared" si="3"/>
        <v>0.7007007007</v>
      </c>
      <c r="I505" s="3">
        <f>IFERROR(__xludf.DUMMYFUNCTION("GOOGLEFINANCE(""CURRENCY:INRBRL"")*F505"),18.209514147889998)</f>
        <v>18.20951415</v>
      </c>
      <c r="J505" s="1">
        <v>4.5</v>
      </c>
      <c r="K505" s="1">
        <v>2085.0</v>
      </c>
      <c r="L505" s="1" t="s">
        <v>141</v>
      </c>
      <c r="M505" s="7" t="s">
        <v>1959</v>
      </c>
    </row>
    <row r="506">
      <c r="A506" s="1" t="s">
        <v>135</v>
      </c>
      <c r="B506" s="1" t="s">
        <v>136</v>
      </c>
      <c r="C506" s="1" t="s">
        <v>22</v>
      </c>
      <c r="D506" s="1" t="str">
        <f t="shared" si="1"/>
        <v>Computers&amp;Accessories</v>
      </c>
      <c r="E506" s="1" t="str">
        <f t="shared" si="2"/>
        <v>Accessories&amp;Peripherals</v>
      </c>
      <c r="F506" s="1">
        <v>970.0</v>
      </c>
      <c r="G506" s="5">
        <v>1999.0</v>
      </c>
      <c r="H506" s="6">
        <f t="shared" si="3"/>
        <v>0.5147573787</v>
      </c>
      <c r="I506" s="3">
        <f>IFERROR(__xludf.DUMMYFUNCTION("GOOGLEFINANCE(""CURRENCY:INRBRL"")*F506"),59.0743435567)</f>
        <v>59.07434356</v>
      </c>
      <c r="J506" s="1">
        <v>4.5</v>
      </c>
      <c r="K506" s="1">
        <v>184.0</v>
      </c>
      <c r="L506" s="1" t="s">
        <v>137</v>
      </c>
      <c r="M506" s="7" t="s">
        <v>1960</v>
      </c>
    </row>
    <row r="507">
      <c r="A507" s="1" t="s">
        <v>1961</v>
      </c>
      <c r="B507" s="1" t="s">
        <v>1962</v>
      </c>
      <c r="C507" s="1" t="s">
        <v>1457</v>
      </c>
      <c r="D507" s="1" t="str">
        <f t="shared" si="1"/>
        <v>Electronics</v>
      </c>
      <c r="E507" s="1" t="str">
        <f t="shared" si="2"/>
        <v>Mobiles&amp;Accessories</v>
      </c>
      <c r="F507" s="1">
        <v>329.0</v>
      </c>
      <c r="G507" s="1">
        <v>999.0</v>
      </c>
      <c r="H507" s="6">
        <f t="shared" si="3"/>
        <v>0.6706706707</v>
      </c>
      <c r="I507" s="3">
        <f>IFERROR(__xludf.DUMMYFUNCTION("GOOGLEFINANCE(""CURRENCY:INRBRL"")*F507"),20.03655570119)</f>
        <v>20.0365557</v>
      </c>
      <c r="J507" s="1">
        <v>4.5</v>
      </c>
      <c r="K507" s="1">
        <v>3492.0</v>
      </c>
      <c r="L507" s="1" t="s">
        <v>1963</v>
      </c>
      <c r="M507" s="7" t="s">
        <v>1964</v>
      </c>
    </row>
    <row r="508">
      <c r="A508" s="1" t="s">
        <v>1965</v>
      </c>
      <c r="B508" s="1" t="s">
        <v>1966</v>
      </c>
      <c r="C508" s="1" t="s">
        <v>1357</v>
      </c>
      <c r="D508" s="1" t="str">
        <f t="shared" si="1"/>
        <v>Electronics</v>
      </c>
      <c r="E508" s="1" t="str">
        <f t="shared" si="2"/>
        <v>WearableTechnology</v>
      </c>
      <c r="F508" s="5">
        <v>1299.0</v>
      </c>
      <c r="G508" s="5">
        <v>5999.0</v>
      </c>
      <c r="H508" s="6">
        <f t="shared" si="3"/>
        <v>0.7834639107</v>
      </c>
      <c r="I508" s="3">
        <f>IFERROR(__xludf.DUMMYFUNCTION("GOOGLEFINANCE(""CURRENCY:INRBRL"")*F508"),79.11089925789)</f>
        <v>79.11089926</v>
      </c>
      <c r="J508" s="1">
        <v>4.5</v>
      </c>
      <c r="K508" s="1">
        <v>4415.0</v>
      </c>
      <c r="L508" s="1" t="s">
        <v>1967</v>
      </c>
      <c r="M508" s="7" t="s">
        <v>1968</v>
      </c>
    </row>
    <row r="509">
      <c r="A509" s="1" t="s">
        <v>1969</v>
      </c>
      <c r="B509" s="1" t="s">
        <v>1970</v>
      </c>
      <c r="C509" s="1" t="s">
        <v>1394</v>
      </c>
      <c r="D509" s="1" t="str">
        <f t="shared" si="1"/>
        <v>Electronics</v>
      </c>
      <c r="E509" s="1" t="str">
        <f t="shared" si="2"/>
        <v>Accessories</v>
      </c>
      <c r="F509" s="5">
        <v>1989.0</v>
      </c>
      <c r="G509" s="5">
        <v>3499.0</v>
      </c>
      <c r="H509" s="6">
        <f t="shared" si="3"/>
        <v>0.431551872</v>
      </c>
      <c r="I509" s="3">
        <f>IFERROR(__xludf.DUMMYFUNCTION("GOOGLEFINANCE(""CURRENCY:INRBRL"")*F509"),121.13285498379)</f>
        <v>121.132855</v>
      </c>
      <c r="J509" s="1">
        <v>4.5</v>
      </c>
      <c r="K509" s="1">
        <v>6726.0</v>
      </c>
      <c r="L509" s="1" t="s">
        <v>1971</v>
      </c>
      <c r="M509" s="7" t="s">
        <v>1972</v>
      </c>
    </row>
    <row r="510">
      <c r="A510" s="1" t="s">
        <v>1973</v>
      </c>
      <c r="B510" s="1" t="s">
        <v>1361</v>
      </c>
      <c r="C510" s="1" t="s">
        <v>1357</v>
      </c>
      <c r="D510" s="1" t="str">
        <f t="shared" si="1"/>
        <v>Electronics</v>
      </c>
      <c r="E510" s="1" t="str">
        <f t="shared" si="2"/>
        <v>WearableTechnology</v>
      </c>
      <c r="F510" s="5">
        <v>1999.0</v>
      </c>
      <c r="G510" s="5">
        <v>9999.0</v>
      </c>
      <c r="H510" s="6">
        <f t="shared" si="3"/>
        <v>0.800080008</v>
      </c>
      <c r="I510" s="3">
        <f>IFERROR(__xludf.DUMMYFUNCTION("GOOGLEFINANCE(""CURRENCY:INRBRL"")*F510"),121.74186883489)</f>
        <v>121.7418688</v>
      </c>
      <c r="J510" s="1">
        <v>4.5</v>
      </c>
      <c r="K510" s="1">
        <v>27704.0</v>
      </c>
      <c r="L510" s="1" t="s">
        <v>1551</v>
      </c>
      <c r="M510" s="7" t="s">
        <v>1974</v>
      </c>
    </row>
    <row r="511">
      <c r="A511" s="1" t="s">
        <v>1975</v>
      </c>
      <c r="B511" s="1" t="s">
        <v>1976</v>
      </c>
      <c r="C511" s="1" t="s">
        <v>1375</v>
      </c>
      <c r="D511" s="1" t="str">
        <f t="shared" si="1"/>
        <v>Electronics</v>
      </c>
      <c r="E511" s="1" t="str">
        <f t="shared" si="2"/>
        <v>Mobiles&amp;Accessories</v>
      </c>
      <c r="F511" s="5">
        <v>12999.0</v>
      </c>
      <c r="G511" s="5">
        <v>18999.0</v>
      </c>
      <c r="H511" s="6">
        <f t="shared" si="3"/>
        <v>0.3158060951</v>
      </c>
      <c r="I511" s="3">
        <f>IFERROR(__xludf.DUMMYFUNCTION("GOOGLEFINANCE(""CURRENCY:INRBRL"")*F511"),791.6571050448899)</f>
        <v>791.657105</v>
      </c>
      <c r="J511" s="1">
        <v>4.49</v>
      </c>
      <c r="K511" s="1">
        <v>50772.0</v>
      </c>
      <c r="L511" s="1" t="s">
        <v>1953</v>
      </c>
      <c r="M511" s="7" t="s">
        <v>1977</v>
      </c>
    </row>
    <row r="512">
      <c r="A512" s="1" t="s">
        <v>1978</v>
      </c>
      <c r="B512" s="1" t="s">
        <v>1979</v>
      </c>
      <c r="C512" s="1" t="s">
        <v>1357</v>
      </c>
      <c r="D512" s="1" t="str">
        <f t="shared" si="1"/>
        <v>Electronics</v>
      </c>
      <c r="E512" s="1" t="str">
        <f t="shared" si="2"/>
        <v>WearableTechnology</v>
      </c>
      <c r="F512" s="5">
        <v>1499.0</v>
      </c>
      <c r="G512" s="5">
        <v>4999.0</v>
      </c>
      <c r="H512" s="6">
        <f t="shared" si="3"/>
        <v>0.700140028</v>
      </c>
      <c r="I512" s="3">
        <f>IFERROR(__xludf.DUMMYFUNCTION("GOOGLEFINANCE(""CURRENCY:INRBRL"")*F512"),91.29117627989)</f>
        <v>91.29117628</v>
      </c>
      <c r="J512" s="1">
        <v>4.0</v>
      </c>
      <c r="K512" s="1">
        <v>92588.0</v>
      </c>
      <c r="L512" s="1" t="s">
        <v>1980</v>
      </c>
      <c r="M512" s="7" t="s">
        <v>1981</v>
      </c>
    </row>
    <row r="513">
      <c r="A513" s="1" t="s">
        <v>1982</v>
      </c>
      <c r="B513" s="1" t="s">
        <v>1983</v>
      </c>
      <c r="C513" s="1" t="s">
        <v>1375</v>
      </c>
      <c r="D513" s="1" t="str">
        <f t="shared" si="1"/>
        <v>Electronics</v>
      </c>
      <c r="E513" s="1" t="str">
        <f t="shared" si="2"/>
        <v>Mobiles&amp;Accessories</v>
      </c>
      <c r="F513" s="5">
        <v>16999.0</v>
      </c>
      <c r="G513" s="5">
        <v>20999.0</v>
      </c>
      <c r="H513" s="6">
        <f t="shared" si="3"/>
        <v>0.1904852612</v>
      </c>
      <c r="I513" s="3">
        <f>IFERROR(__xludf.DUMMYFUNCTION("GOOGLEFINANCE(""CURRENCY:INRBRL"")*F513"),1035.2626454848898)</f>
        <v>1035.262645</v>
      </c>
      <c r="J513" s="1">
        <v>4.49</v>
      </c>
      <c r="K513" s="1">
        <v>31822.0</v>
      </c>
      <c r="L513" s="1" t="s">
        <v>1984</v>
      </c>
      <c r="M513" s="7" t="s">
        <v>1985</v>
      </c>
    </row>
    <row r="514">
      <c r="A514" s="1" t="s">
        <v>1986</v>
      </c>
      <c r="B514" s="1" t="s">
        <v>1987</v>
      </c>
      <c r="C514" s="1" t="s">
        <v>1357</v>
      </c>
      <c r="D514" s="1" t="str">
        <f t="shared" si="1"/>
        <v>Electronics</v>
      </c>
      <c r="E514" s="1" t="str">
        <f t="shared" si="2"/>
        <v>WearableTechnology</v>
      </c>
      <c r="F514" s="5">
        <v>1999.0</v>
      </c>
      <c r="G514" s="5">
        <v>8499.0</v>
      </c>
      <c r="H514" s="6">
        <f t="shared" si="3"/>
        <v>0.7647958583</v>
      </c>
      <c r="I514" s="3">
        <f>IFERROR(__xludf.DUMMYFUNCTION("GOOGLEFINANCE(""CURRENCY:INRBRL"")*F514"),121.74186883489)</f>
        <v>121.7418688</v>
      </c>
      <c r="J514" s="1">
        <v>4.5</v>
      </c>
      <c r="K514" s="1">
        <v>240.0</v>
      </c>
      <c r="L514" s="1" t="s">
        <v>1988</v>
      </c>
      <c r="M514" s="7" t="s">
        <v>1989</v>
      </c>
    </row>
    <row r="515">
      <c r="A515" s="1" t="s">
        <v>1990</v>
      </c>
      <c r="B515" s="1" t="s">
        <v>1991</v>
      </c>
      <c r="C515" s="1" t="s">
        <v>1357</v>
      </c>
      <c r="D515" s="1" t="str">
        <f t="shared" si="1"/>
        <v>Electronics</v>
      </c>
      <c r="E515" s="1" t="str">
        <f t="shared" si="2"/>
        <v>WearableTechnology</v>
      </c>
      <c r="F515" s="5">
        <v>4999.0</v>
      </c>
      <c r="G515" s="5">
        <v>6999.0</v>
      </c>
      <c r="H515" s="6">
        <f t="shared" si="3"/>
        <v>0.2857551079</v>
      </c>
      <c r="I515" s="3">
        <f>IFERROR(__xludf.DUMMYFUNCTION("GOOGLEFINANCE(""CURRENCY:INRBRL"")*F515"),304.44602416489)</f>
        <v>304.4460242</v>
      </c>
      <c r="J515" s="1">
        <v>4.51</v>
      </c>
      <c r="K515" s="1">
        <v>758.0</v>
      </c>
      <c r="L515" s="1" t="s">
        <v>1992</v>
      </c>
      <c r="M515" s="7" t="s">
        <v>1993</v>
      </c>
    </row>
    <row r="516">
      <c r="A516" s="1" t="s">
        <v>163</v>
      </c>
      <c r="B516" s="1" t="s">
        <v>164</v>
      </c>
      <c r="C516" s="1" t="s">
        <v>22</v>
      </c>
      <c r="D516" s="1" t="str">
        <f t="shared" si="1"/>
        <v>Computers&amp;Accessories</v>
      </c>
      <c r="E516" s="1" t="str">
        <f t="shared" si="2"/>
        <v>Accessories&amp;Peripherals</v>
      </c>
      <c r="F516" s="1">
        <v>99.0</v>
      </c>
      <c r="G516" s="1">
        <v>666.66</v>
      </c>
      <c r="H516" s="6">
        <f t="shared" si="3"/>
        <v>0.851498515</v>
      </c>
      <c r="I516" s="3">
        <f>IFERROR(__xludf.DUMMYFUNCTION("GOOGLEFINANCE(""CURRENCY:INRBRL"")*F516"),6.02923712589)</f>
        <v>6.029237126</v>
      </c>
      <c r="J516" s="1">
        <v>4.52</v>
      </c>
      <c r="K516" s="1">
        <v>2487.0</v>
      </c>
      <c r="L516" s="1" t="s">
        <v>165</v>
      </c>
      <c r="M516" s="7" t="s">
        <v>1994</v>
      </c>
    </row>
    <row r="517">
      <c r="A517" s="1" t="s">
        <v>1995</v>
      </c>
      <c r="B517" s="1" t="s">
        <v>1996</v>
      </c>
      <c r="C517" s="1" t="s">
        <v>1357</v>
      </c>
      <c r="D517" s="1" t="str">
        <f t="shared" si="1"/>
        <v>Electronics</v>
      </c>
      <c r="E517" s="1" t="str">
        <f t="shared" si="2"/>
        <v>WearableTechnology</v>
      </c>
      <c r="F517" s="5">
        <v>2499.0</v>
      </c>
      <c r="G517" s="5">
        <v>5999.0</v>
      </c>
      <c r="H517" s="6">
        <f t="shared" si="3"/>
        <v>0.5834305718</v>
      </c>
      <c r="I517" s="3">
        <f>IFERROR(__xludf.DUMMYFUNCTION("GOOGLEFINANCE(""CURRENCY:INRBRL"")*F517"),152.19256138989)</f>
        <v>152.1925614</v>
      </c>
      <c r="J517" s="1">
        <v>4.51</v>
      </c>
      <c r="K517" s="1">
        <v>828.0</v>
      </c>
      <c r="L517" s="1" t="s">
        <v>1997</v>
      </c>
      <c r="M517" s="7" t="s">
        <v>1998</v>
      </c>
    </row>
    <row r="518">
      <c r="A518" s="1" t="s">
        <v>1999</v>
      </c>
      <c r="B518" s="1" t="s">
        <v>2000</v>
      </c>
      <c r="C518" s="1" t="s">
        <v>1403</v>
      </c>
      <c r="D518" s="1" t="str">
        <f t="shared" si="1"/>
        <v>Electronics</v>
      </c>
      <c r="E518" s="1" t="str">
        <f t="shared" si="2"/>
        <v>Mobiles&amp;Accessories</v>
      </c>
      <c r="F518" s="5">
        <v>1399.0</v>
      </c>
      <c r="G518" s="5">
        <v>1630.0</v>
      </c>
      <c r="H518" s="6">
        <f t="shared" si="3"/>
        <v>0.1417177914</v>
      </c>
      <c r="I518" s="3">
        <f>IFERROR(__xludf.DUMMYFUNCTION("GOOGLEFINANCE(""CURRENCY:INRBRL"")*F518"),85.20103776889)</f>
        <v>85.20103777</v>
      </c>
      <c r="J518" s="1">
        <v>4.0</v>
      </c>
      <c r="K518" s="1">
        <v>9378.0</v>
      </c>
      <c r="L518" s="1" t="s">
        <v>2001</v>
      </c>
      <c r="M518" s="7" t="s">
        <v>2002</v>
      </c>
    </row>
    <row r="519">
      <c r="A519" s="1" t="s">
        <v>2003</v>
      </c>
      <c r="B519" s="1" t="s">
        <v>2004</v>
      </c>
      <c r="C519" s="1" t="s">
        <v>1357</v>
      </c>
      <c r="D519" s="1" t="str">
        <f t="shared" si="1"/>
        <v>Electronics</v>
      </c>
      <c r="E519" s="1" t="str">
        <f t="shared" si="2"/>
        <v>WearableTechnology</v>
      </c>
      <c r="F519" s="5">
        <v>1499.0</v>
      </c>
      <c r="G519" s="5">
        <v>9999.0</v>
      </c>
      <c r="H519" s="6">
        <f t="shared" si="3"/>
        <v>0.8500850085</v>
      </c>
      <c r="I519" s="3">
        <f>IFERROR(__xludf.DUMMYFUNCTION("GOOGLEFINANCE(""CURRENCY:INRBRL"")*F519"),91.29117627989)</f>
        <v>91.29117628</v>
      </c>
      <c r="J519" s="1">
        <v>4.5</v>
      </c>
      <c r="K519" s="1">
        <v>22638.0</v>
      </c>
      <c r="L519" s="1" t="s">
        <v>2005</v>
      </c>
      <c r="M519" s="7" t="s">
        <v>2006</v>
      </c>
    </row>
    <row r="520">
      <c r="A520" s="1" t="s">
        <v>167</v>
      </c>
      <c r="B520" s="1" t="s">
        <v>168</v>
      </c>
      <c r="C520" s="1" t="s">
        <v>22</v>
      </c>
      <c r="D520" s="1" t="str">
        <f t="shared" si="1"/>
        <v>Computers&amp;Accessories</v>
      </c>
      <c r="E520" s="1" t="str">
        <f t="shared" si="2"/>
        <v>Accessories&amp;Peripherals</v>
      </c>
      <c r="F520" s="1">
        <v>899.0</v>
      </c>
      <c r="G520" s="5">
        <v>1899.0</v>
      </c>
      <c r="H520" s="6">
        <f t="shared" si="3"/>
        <v>0.5265929437</v>
      </c>
      <c r="I520" s="3">
        <f>IFERROR(__xludf.DUMMYFUNCTION("GOOGLEFINANCE(""CURRENCY:INRBRL"")*F520"),54.75034521389)</f>
        <v>54.75034521</v>
      </c>
      <c r="J520" s="1">
        <v>4.5</v>
      </c>
      <c r="K520" s="1">
        <v>13552.0</v>
      </c>
      <c r="L520" s="1" t="s">
        <v>169</v>
      </c>
      <c r="M520" s="7" t="s">
        <v>2007</v>
      </c>
    </row>
    <row r="521">
      <c r="A521" s="1" t="s">
        <v>2008</v>
      </c>
      <c r="B521" s="1" t="s">
        <v>2009</v>
      </c>
      <c r="C521" s="1" t="s">
        <v>1457</v>
      </c>
      <c r="D521" s="1" t="str">
        <f t="shared" si="1"/>
        <v>Electronics</v>
      </c>
      <c r="E521" s="1" t="str">
        <f t="shared" si="2"/>
        <v>Mobiles&amp;Accessories</v>
      </c>
      <c r="F521" s="1">
        <v>249.0</v>
      </c>
      <c r="G521" s="1">
        <v>599.0</v>
      </c>
      <c r="H521" s="6">
        <f t="shared" si="3"/>
        <v>0.5843071786</v>
      </c>
      <c r="I521" s="3">
        <f>IFERROR(__xludf.DUMMYFUNCTION("GOOGLEFINANCE(""CURRENCY:INRBRL"")*F521"),15.16444489239)</f>
        <v>15.16444489</v>
      </c>
      <c r="J521" s="1">
        <v>4.52</v>
      </c>
      <c r="K521" s="1">
        <v>2147.0</v>
      </c>
      <c r="L521" s="1" t="s">
        <v>2010</v>
      </c>
      <c r="M521" s="7" t="s">
        <v>2011</v>
      </c>
    </row>
    <row r="522">
      <c r="A522" s="1" t="s">
        <v>2012</v>
      </c>
      <c r="B522" s="1" t="s">
        <v>2013</v>
      </c>
      <c r="C522" s="1" t="s">
        <v>1766</v>
      </c>
      <c r="D522" s="1" t="str">
        <f t="shared" si="1"/>
        <v>Electronics</v>
      </c>
      <c r="E522" s="1" t="str">
        <f t="shared" si="2"/>
        <v>Mobiles&amp;Accessories</v>
      </c>
      <c r="F522" s="1">
        <v>299.0</v>
      </c>
      <c r="G522" s="5">
        <v>1199.0</v>
      </c>
      <c r="H522" s="6">
        <f t="shared" si="3"/>
        <v>0.7506255213</v>
      </c>
      <c r="I522" s="3">
        <f>IFERROR(__xludf.DUMMYFUNCTION("GOOGLEFINANCE(""CURRENCY:INRBRL"")*F522"),18.209514147889998)</f>
        <v>18.20951415</v>
      </c>
      <c r="J522" s="1">
        <v>4.51</v>
      </c>
      <c r="K522" s="1">
        <v>596.0</v>
      </c>
      <c r="L522" s="1" t="s">
        <v>2014</v>
      </c>
      <c r="M522" s="7" t="s">
        <v>2015</v>
      </c>
    </row>
    <row r="523">
      <c r="A523" s="1" t="s">
        <v>2016</v>
      </c>
      <c r="B523" s="1" t="s">
        <v>2017</v>
      </c>
      <c r="C523" s="1" t="s">
        <v>1690</v>
      </c>
      <c r="D523" s="1" t="str">
        <f t="shared" si="1"/>
        <v>Electronics</v>
      </c>
      <c r="E523" s="1" t="str">
        <f t="shared" si="2"/>
        <v>Mobiles&amp;Accessories</v>
      </c>
      <c r="F523" s="1">
        <v>79.0</v>
      </c>
      <c r="G523" s="1">
        <v>499.0</v>
      </c>
      <c r="H523" s="6">
        <f t="shared" si="3"/>
        <v>0.8416833667</v>
      </c>
      <c r="I523" s="3">
        <f>IFERROR(__xludf.DUMMYFUNCTION("GOOGLEFINANCE(""CURRENCY:INRBRL"")*F523"),4.811209423689999)</f>
        <v>4.811209424</v>
      </c>
      <c r="J523" s="1">
        <v>4.5</v>
      </c>
      <c r="K523" s="1">
        <v>1949.0</v>
      </c>
      <c r="L523" s="1" t="s">
        <v>2018</v>
      </c>
      <c r="M523" s="7" t="s">
        <v>2019</v>
      </c>
    </row>
    <row r="524">
      <c r="A524" s="1" t="s">
        <v>2020</v>
      </c>
      <c r="B524" s="1" t="s">
        <v>2021</v>
      </c>
      <c r="C524" s="1" t="s">
        <v>1375</v>
      </c>
      <c r="D524" s="1" t="str">
        <f t="shared" si="1"/>
        <v>Electronics</v>
      </c>
      <c r="E524" s="1" t="str">
        <f t="shared" si="2"/>
        <v>Mobiles&amp;Accessories</v>
      </c>
      <c r="F524" s="5">
        <v>13999.0</v>
      </c>
      <c r="G524" s="5">
        <v>15999.0</v>
      </c>
      <c r="H524" s="6">
        <f t="shared" si="3"/>
        <v>0.125007813</v>
      </c>
      <c r="I524" s="3">
        <f>IFERROR(__xludf.DUMMYFUNCTION("GOOGLEFINANCE(""CURRENCY:INRBRL"")*F524"),852.5584901548899)</f>
        <v>852.5584902</v>
      </c>
      <c r="J524" s="1">
        <v>4.52</v>
      </c>
      <c r="K524" s="1">
        <v>218.0</v>
      </c>
      <c r="L524" s="1" t="s">
        <v>1911</v>
      </c>
      <c r="M524" s="7" t="s">
        <v>2022</v>
      </c>
    </row>
    <row r="525">
      <c r="A525" s="1" t="s">
        <v>2023</v>
      </c>
      <c r="B525" s="1" t="s">
        <v>2024</v>
      </c>
      <c r="C525" s="1" t="s">
        <v>1412</v>
      </c>
      <c r="D525" s="1" t="str">
        <f t="shared" si="1"/>
        <v>Electronics</v>
      </c>
      <c r="E525" s="1" t="str">
        <f t="shared" si="2"/>
        <v>Headphones,Earbuds&amp;Accessories</v>
      </c>
      <c r="F525" s="1">
        <v>949.0</v>
      </c>
      <c r="G525" s="1">
        <v>999.0</v>
      </c>
      <c r="H525" s="6">
        <f t="shared" si="3"/>
        <v>0.05005005005</v>
      </c>
      <c r="I525" s="3">
        <f>IFERROR(__xludf.DUMMYFUNCTION("GOOGLEFINANCE(""CURRENCY:INRBRL"")*F525"),57.795414469389996)</f>
        <v>57.79541447</v>
      </c>
      <c r="J525" s="1">
        <v>4.5</v>
      </c>
      <c r="K525" s="1">
        <v>31539.0</v>
      </c>
      <c r="L525" s="1" t="s">
        <v>2025</v>
      </c>
      <c r="M525" s="7" t="s">
        <v>2026</v>
      </c>
    </row>
    <row r="526">
      <c r="A526" s="1" t="s">
        <v>2027</v>
      </c>
      <c r="B526" s="1" t="s">
        <v>2028</v>
      </c>
      <c r="C526" s="1" t="s">
        <v>1618</v>
      </c>
      <c r="D526" s="1" t="str">
        <f t="shared" si="1"/>
        <v>Electronics</v>
      </c>
      <c r="E526" s="1" t="str">
        <f t="shared" si="2"/>
        <v>Mobiles&amp;Accessories</v>
      </c>
      <c r="F526" s="1">
        <v>99.0</v>
      </c>
      <c r="G526" s="1">
        <v>499.0</v>
      </c>
      <c r="H526" s="6">
        <f t="shared" si="3"/>
        <v>0.8016032064</v>
      </c>
      <c r="I526" s="3">
        <f>IFERROR(__xludf.DUMMYFUNCTION("GOOGLEFINANCE(""CURRENCY:INRBRL"")*F526"),6.02923712589)</f>
        <v>6.029237126</v>
      </c>
      <c r="J526" s="1">
        <v>4.49</v>
      </c>
      <c r="K526" s="1">
        <v>2451.0</v>
      </c>
      <c r="L526" s="1" t="s">
        <v>2029</v>
      </c>
      <c r="M526" s="7" t="s">
        <v>2030</v>
      </c>
    </row>
    <row r="527">
      <c r="A527" s="1" t="s">
        <v>2031</v>
      </c>
      <c r="B527" s="1" t="s">
        <v>2032</v>
      </c>
      <c r="C527" s="1" t="s">
        <v>1357</v>
      </c>
      <c r="D527" s="1" t="str">
        <f t="shared" si="1"/>
        <v>Electronics</v>
      </c>
      <c r="E527" s="1" t="str">
        <f t="shared" si="2"/>
        <v>WearableTechnology</v>
      </c>
      <c r="F527" s="5">
        <v>2499.0</v>
      </c>
      <c r="G527" s="5">
        <v>7990.0</v>
      </c>
      <c r="H527" s="6">
        <f t="shared" si="3"/>
        <v>0.6872340426</v>
      </c>
      <c r="I527" s="3">
        <f>IFERROR(__xludf.DUMMYFUNCTION("GOOGLEFINANCE(""CURRENCY:INRBRL"")*F527"),152.19256138989)</f>
        <v>152.1925614</v>
      </c>
      <c r="J527" s="1">
        <v>4.49</v>
      </c>
      <c r="K527" s="1">
        <v>154.0</v>
      </c>
      <c r="L527" s="1" t="s">
        <v>2033</v>
      </c>
      <c r="M527" s="7" t="s">
        <v>2034</v>
      </c>
    </row>
    <row r="528">
      <c r="A528" s="1" t="s">
        <v>2035</v>
      </c>
      <c r="B528" s="1" t="s">
        <v>2036</v>
      </c>
      <c r="C528" s="1" t="s">
        <v>2037</v>
      </c>
      <c r="D528" s="1" t="str">
        <f t="shared" si="1"/>
        <v>Electronics</v>
      </c>
      <c r="E528" s="1" t="str">
        <f t="shared" si="2"/>
        <v>Mobiles&amp;Accessories</v>
      </c>
      <c r="F528" s="1">
        <v>689.0</v>
      </c>
      <c r="G528" s="5">
        <v>1999.0</v>
      </c>
      <c r="H528" s="6">
        <f t="shared" si="3"/>
        <v>0.6553276638</v>
      </c>
      <c r="I528" s="3">
        <f>IFERROR(__xludf.DUMMYFUNCTION("GOOGLEFINANCE(""CURRENCY:INRBRL"")*F528"),41.96105434079)</f>
        <v>41.96105434</v>
      </c>
      <c r="J528" s="1">
        <v>4.5</v>
      </c>
      <c r="K528" s="1">
        <v>1193.0</v>
      </c>
      <c r="L528" s="1" t="s">
        <v>2038</v>
      </c>
      <c r="M528" s="7" t="s">
        <v>2039</v>
      </c>
    </row>
    <row r="529">
      <c r="A529" s="1" t="s">
        <v>2040</v>
      </c>
      <c r="B529" s="1" t="s">
        <v>2041</v>
      </c>
      <c r="C529" s="1" t="s">
        <v>1844</v>
      </c>
      <c r="D529" s="1" t="str">
        <f t="shared" si="1"/>
        <v>Electronics</v>
      </c>
      <c r="E529" s="1" t="str">
        <f t="shared" si="2"/>
        <v>Mobiles&amp;Accessories</v>
      </c>
      <c r="F529" s="1">
        <v>499.0</v>
      </c>
      <c r="G529" s="5">
        <v>1899.0</v>
      </c>
      <c r="H529" s="6">
        <f t="shared" si="3"/>
        <v>0.7372301211</v>
      </c>
      <c r="I529" s="3">
        <f>IFERROR(__xludf.DUMMYFUNCTION("GOOGLEFINANCE(""CURRENCY:INRBRL"")*F529"),30.38979116989)</f>
        <v>30.38979117</v>
      </c>
      <c r="J529" s="1">
        <v>4.49</v>
      </c>
      <c r="K529" s="1">
        <v>1475.0</v>
      </c>
      <c r="L529" s="1" t="s">
        <v>2042</v>
      </c>
      <c r="M529" s="7" t="s">
        <v>2043</v>
      </c>
    </row>
    <row r="530">
      <c r="A530" s="1" t="s">
        <v>2044</v>
      </c>
      <c r="B530" s="1" t="s">
        <v>2045</v>
      </c>
      <c r="C530" s="1" t="s">
        <v>1766</v>
      </c>
      <c r="D530" s="1" t="str">
        <f t="shared" si="1"/>
        <v>Electronics</v>
      </c>
      <c r="E530" s="1" t="str">
        <f t="shared" si="2"/>
        <v>Mobiles&amp;Accessories</v>
      </c>
      <c r="F530" s="1">
        <v>299.0</v>
      </c>
      <c r="G530" s="1">
        <v>999.0</v>
      </c>
      <c r="H530" s="6">
        <f t="shared" si="3"/>
        <v>0.7007007007</v>
      </c>
      <c r="I530" s="3">
        <f>IFERROR(__xludf.DUMMYFUNCTION("GOOGLEFINANCE(""CURRENCY:INRBRL"")*F530"),18.209514147889998)</f>
        <v>18.20951415</v>
      </c>
      <c r="J530" s="1">
        <v>4.5</v>
      </c>
      <c r="K530" s="1">
        <v>8891.0</v>
      </c>
      <c r="L530" s="1" t="s">
        <v>2046</v>
      </c>
      <c r="M530" s="7" t="s">
        <v>2047</v>
      </c>
    </row>
    <row r="531">
      <c r="A531" s="1" t="s">
        <v>2048</v>
      </c>
      <c r="B531" s="1" t="s">
        <v>2049</v>
      </c>
      <c r="C531" s="1" t="s">
        <v>1618</v>
      </c>
      <c r="D531" s="1" t="str">
        <f t="shared" si="1"/>
        <v>Electronics</v>
      </c>
      <c r="E531" s="1" t="str">
        <f t="shared" si="2"/>
        <v>Mobiles&amp;Accessories</v>
      </c>
      <c r="F531" s="1">
        <v>209.0</v>
      </c>
      <c r="G531" s="1">
        <v>499.0</v>
      </c>
      <c r="H531" s="6">
        <f t="shared" si="3"/>
        <v>0.5811623246</v>
      </c>
      <c r="I531" s="3">
        <f>IFERROR(__xludf.DUMMYFUNCTION("GOOGLEFINANCE(""CURRENCY:INRBRL"")*F531"),12.72838948799)</f>
        <v>12.72838949</v>
      </c>
      <c r="J531" s="1">
        <v>4.51</v>
      </c>
      <c r="K531" s="1">
        <v>104.0</v>
      </c>
      <c r="L531" s="1" t="s">
        <v>2050</v>
      </c>
      <c r="M531" s="7" t="s">
        <v>2051</v>
      </c>
    </row>
    <row r="532">
      <c r="A532" s="1" t="s">
        <v>2052</v>
      </c>
      <c r="B532" s="1" t="s">
        <v>2053</v>
      </c>
      <c r="C532" s="1" t="s">
        <v>1375</v>
      </c>
      <c r="D532" s="1" t="str">
        <f t="shared" si="1"/>
        <v>Electronics</v>
      </c>
      <c r="E532" s="1" t="str">
        <f t="shared" si="2"/>
        <v>Mobiles&amp;Accessories</v>
      </c>
      <c r="F532" s="5">
        <v>8499.0</v>
      </c>
      <c r="G532" s="5">
        <v>12999.0</v>
      </c>
      <c r="H532" s="6">
        <f t="shared" si="3"/>
        <v>0.3461804754</v>
      </c>
      <c r="I532" s="3">
        <f>IFERROR(__xludf.DUMMYFUNCTION("GOOGLEFINANCE(""CURRENCY:INRBRL"")*F532"),517.60087204989)</f>
        <v>517.600872</v>
      </c>
      <c r="J532" s="1">
        <v>4.49</v>
      </c>
      <c r="K532" s="1">
        <v>6662.0</v>
      </c>
      <c r="L532" s="1" t="s">
        <v>2054</v>
      </c>
      <c r="M532" s="7" t="s">
        <v>2055</v>
      </c>
    </row>
    <row r="533">
      <c r="A533" s="1" t="s">
        <v>2056</v>
      </c>
      <c r="B533" s="1" t="s">
        <v>2057</v>
      </c>
      <c r="C533" s="1" t="s">
        <v>1370</v>
      </c>
      <c r="D533" s="1" t="str">
        <f t="shared" si="1"/>
        <v>Electronics</v>
      </c>
      <c r="E533" s="1" t="str">
        <f t="shared" si="2"/>
        <v>Mobiles&amp;Accessories</v>
      </c>
      <c r="F533" s="5">
        <v>2179.0</v>
      </c>
      <c r="G533" s="5">
        <v>3999.0</v>
      </c>
      <c r="H533" s="6">
        <f t="shared" si="3"/>
        <v>0.4551137784</v>
      </c>
      <c r="I533" s="3">
        <f>IFERROR(__xludf.DUMMYFUNCTION("GOOGLEFINANCE(""CURRENCY:INRBRL"")*F533"),132.70411815469)</f>
        <v>132.7041182</v>
      </c>
      <c r="J533" s="1">
        <v>4.0</v>
      </c>
      <c r="K533" s="1">
        <v>838.0</v>
      </c>
      <c r="L533" s="1" t="s">
        <v>2058</v>
      </c>
      <c r="M533" s="7" t="s">
        <v>2059</v>
      </c>
    </row>
    <row r="534">
      <c r="A534" s="1" t="s">
        <v>2060</v>
      </c>
      <c r="B534" s="1" t="s">
        <v>2061</v>
      </c>
      <c r="C534" s="1" t="s">
        <v>1375</v>
      </c>
      <c r="D534" s="1" t="str">
        <f t="shared" si="1"/>
        <v>Electronics</v>
      </c>
      <c r="E534" s="1" t="str">
        <f t="shared" si="2"/>
        <v>Mobiles&amp;Accessories</v>
      </c>
      <c r="F534" s="5">
        <v>16999.0</v>
      </c>
      <c r="G534" s="5">
        <v>20999.0</v>
      </c>
      <c r="H534" s="6">
        <f t="shared" si="3"/>
        <v>0.1904852612</v>
      </c>
      <c r="I534" s="3">
        <f>IFERROR(__xludf.DUMMYFUNCTION("GOOGLEFINANCE(""CURRENCY:INRBRL"")*F534"),1035.2626454848898)</f>
        <v>1035.262645</v>
      </c>
      <c r="J534" s="1">
        <v>4.49</v>
      </c>
      <c r="K534" s="1">
        <v>31822.0</v>
      </c>
      <c r="L534" s="1" t="s">
        <v>2062</v>
      </c>
      <c r="M534" s="7" t="s">
        <v>2063</v>
      </c>
    </row>
    <row r="535">
      <c r="A535" s="1" t="s">
        <v>2064</v>
      </c>
      <c r="B535" s="1" t="s">
        <v>2065</v>
      </c>
      <c r="C535" s="1" t="s">
        <v>1375</v>
      </c>
      <c r="D535" s="1" t="str">
        <f t="shared" si="1"/>
        <v>Electronics</v>
      </c>
      <c r="E535" s="1" t="str">
        <f t="shared" si="2"/>
        <v>Mobiles&amp;Accessories</v>
      </c>
      <c r="F535" s="5">
        <v>44999.0</v>
      </c>
      <c r="G535" s="5">
        <v>49999.0</v>
      </c>
      <c r="H535" s="6">
        <f t="shared" si="3"/>
        <v>0.100002</v>
      </c>
      <c r="I535" s="3">
        <f>IFERROR(__xludf.DUMMYFUNCTION("GOOGLEFINANCE(""CURRENCY:INRBRL"")*F535"),2740.50142856489)</f>
        <v>2740.501429</v>
      </c>
      <c r="J535" s="1">
        <v>4.5</v>
      </c>
      <c r="K535" s="1">
        <v>3075.0</v>
      </c>
      <c r="L535" s="1" t="s">
        <v>2066</v>
      </c>
      <c r="M535" s="7" t="s">
        <v>2067</v>
      </c>
    </row>
    <row r="536">
      <c r="A536" s="1" t="s">
        <v>2068</v>
      </c>
      <c r="B536" s="1" t="s">
        <v>2069</v>
      </c>
      <c r="C536" s="1" t="s">
        <v>1403</v>
      </c>
      <c r="D536" s="1" t="str">
        <f t="shared" si="1"/>
        <v>Electronics</v>
      </c>
      <c r="E536" s="1" t="str">
        <f t="shared" si="2"/>
        <v>Mobiles&amp;Accessories</v>
      </c>
      <c r="F536" s="5">
        <v>2599.0</v>
      </c>
      <c r="G536" s="5">
        <v>2999.0</v>
      </c>
      <c r="H536" s="6">
        <f t="shared" si="3"/>
        <v>0.1333777926</v>
      </c>
      <c r="I536" s="3">
        <f>IFERROR(__xludf.DUMMYFUNCTION("GOOGLEFINANCE(""CURRENCY:INRBRL"")*F536"),158.28269990088998)</f>
        <v>158.2826999</v>
      </c>
      <c r="J536" s="1">
        <v>4.52</v>
      </c>
      <c r="K536" s="1">
        <v>14266.0</v>
      </c>
      <c r="L536" s="1" t="s">
        <v>2070</v>
      </c>
      <c r="M536" s="7" t="s">
        <v>2071</v>
      </c>
    </row>
    <row r="537">
      <c r="A537" s="1" t="s">
        <v>2072</v>
      </c>
      <c r="B537" s="1" t="s">
        <v>2073</v>
      </c>
      <c r="C537" s="1" t="s">
        <v>1357</v>
      </c>
      <c r="D537" s="1" t="str">
        <f t="shared" si="1"/>
        <v>Electronics</v>
      </c>
      <c r="E537" s="1" t="str">
        <f t="shared" si="2"/>
        <v>WearableTechnology</v>
      </c>
      <c r="F537" s="5">
        <v>2799.0</v>
      </c>
      <c r="G537" s="5">
        <v>6499.0</v>
      </c>
      <c r="H537" s="6">
        <f t="shared" si="3"/>
        <v>0.5693183567</v>
      </c>
      <c r="I537" s="3">
        <f>IFERROR(__xludf.DUMMYFUNCTION("GOOGLEFINANCE(""CURRENCY:INRBRL"")*F537"),170.46297692289)</f>
        <v>170.4629769</v>
      </c>
      <c r="J537" s="1">
        <v>4.49</v>
      </c>
      <c r="K537" s="1">
        <v>38879.0</v>
      </c>
      <c r="L537" s="1" t="s">
        <v>2074</v>
      </c>
      <c r="M537" s="7" t="s">
        <v>2075</v>
      </c>
    </row>
    <row r="538">
      <c r="A538" s="1" t="s">
        <v>2076</v>
      </c>
      <c r="B538" s="1" t="s">
        <v>2077</v>
      </c>
      <c r="C538" s="1" t="s">
        <v>2078</v>
      </c>
      <c r="D538" s="1" t="str">
        <f t="shared" si="1"/>
        <v>Electronics</v>
      </c>
      <c r="E538" s="1" t="str">
        <f t="shared" si="2"/>
        <v>Headphones,Earbuds&amp;Accessories</v>
      </c>
      <c r="F538" s="5">
        <v>1399.0</v>
      </c>
      <c r="G538" s="5">
        <v>2990.0</v>
      </c>
      <c r="H538" s="6">
        <f t="shared" si="3"/>
        <v>0.5321070234</v>
      </c>
      <c r="I538" s="3">
        <f>IFERROR(__xludf.DUMMYFUNCTION("GOOGLEFINANCE(""CURRENCY:INRBRL"")*F538"),85.20103776889)</f>
        <v>85.20103777</v>
      </c>
      <c r="J538" s="1">
        <v>4.49</v>
      </c>
      <c r="K538" s="1">
        <v>97175.0</v>
      </c>
      <c r="L538" s="1" t="s">
        <v>2079</v>
      </c>
      <c r="M538" s="7" t="s">
        <v>2080</v>
      </c>
    </row>
    <row r="539">
      <c r="A539" s="1" t="s">
        <v>2081</v>
      </c>
      <c r="B539" s="1" t="s">
        <v>2082</v>
      </c>
      <c r="C539" s="1" t="s">
        <v>1394</v>
      </c>
      <c r="D539" s="1" t="str">
        <f t="shared" si="1"/>
        <v>Electronics</v>
      </c>
      <c r="E539" s="1" t="str">
        <f t="shared" si="2"/>
        <v>Accessories</v>
      </c>
      <c r="F539" s="1">
        <v>649.0</v>
      </c>
      <c r="G539" s="5">
        <v>2399.0</v>
      </c>
      <c r="H539" s="6">
        <f t="shared" si="3"/>
        <v>0.7294706128</v>
      </c>
      <c r="I539" s="3">
        <f>IFERROR(__xludf.DUMMYFUNCTION("GOOGLEFINANCE(""CURRENCY:INRBRL"")*F539"),39.52499893639)</f>
        <v>39.52499894</v>
      </c>
      <c r="J539" s="1">
        <v>4.5</v>
      </c>
      <c r="K539" s="1">
        <v>6726.0</v>
      </c>
      <c r="L539" s="1" t="s">
        <v>2083</v>
      </c>
      <c r="M539" s="7" t="s">
        <v>2084</v>
      </c>
    </row>
    <row r="540">
      <c r="A540" s="1" t="s">
        <v>2085</v>
      </c>
      <c r="B540" s="1" t="s">
        <v>2086</v>
      </c>
      <c r="C540" s="1" t="s">
        <v>1457</v>
      </c>
      <c r="D540" s="1" t="str">
        <f t="shared" si="1"/>
        <v>Electronics</v>
      </c>
      <c r="E540" s="1" t="str">
        <f t="shared" si="2"/>
        <v>Mobiles&amp;Accessories</v>
      </c>
      <c r="F540" s="1">
        <v>799.0</v>
      </c>
      <c r="G540" s="5">
        <v>3990.0</v>
      </c>
      <c r="H540" s="6">
        <f t="shared" si="3"/>
        <v>0.7997493734</v>
      </c>
      <c r="I540" s="3">
        <f>IFERROR(__xludf.DUMMYFUNCTION("GOOGLEFINANCE(""CURRENCY:INRBRL"")*F540"),48.66020670289)</f>
        <v>48.6602067</v>
      </c>
      <c r="J540" s="1">
        <v>4.51</v>
      </c>
      <c r="K540" s="1">
        <v>119.0</v>
      </c>
      <c r="L540" s="1" t="s">
        <v>2087</v>
      </c>
      <c r="M540" s="7" t="s">
        <v>2088</v>
      </c>
    </row>
    <row r="541">
      <c r="A541" s="1" t="s">
        <v>2089</v>
      </c>
      <c r="B541" s="1" t="s">
        <v>2090</v>
      </c>
      <c r="C541" s="1" t="s">
        <v>2091</v>
      </c>
      <c r="D541" s="1" t="str">
        <f t="shared" si="1"/>
        <v>Computers&amp;Accessories</v>
      </c>
      <c r="E541" s="1" t="str">
        <f t="shared" si="2"/>
        <v>Accessories&amp;Peripherals</v>
      </c>
      <c r="F541" s="1">
        <v>149.0</v>
      </c>
      <c r="G541" s="1">
        <v>149.0</v>
      </c>
      <c r="H541" s="6">
        <f t="shared" si="3"/>
        <v>0</v>
      </c>
      <c r="I541" s="3">
        <f>IFERROR(__xludf.DUMMYFUNCTION("GOOGLEFINANCE(""CURRENCY:INRBRL"")*F541"),9.07430638139)</f>
        <v>9.074306381</v>
      </c>
      <c r="J541" s="1">
        <v>4.5</v>
      </c>
      <c r="K541" s="1">
        <v>10833.0</v>
      </c>
      <c r="L541" s="1" t="s">
        <v>2092</v>
      </c>
      <c r="M541" s="7" t="s">
        <v>2093</v>
      </c>
    </row>
    <row r="542">
      <c r="A542" s="1" t="s">
        <v>232</v>
      </c>
      <c r="B542" s="1" t="s">
        <v>233</v>
      </c>
      <c r="C542" s="1" t="s">
        <v>22</v>
      </c>
      <c r="D542" s="1" t="str">
        <f t="shared" si="1"/>
        <v>Computers&amp;Accessories</v>
      </c>
      <c r="E542" s="1" t="str">
        <f t="shared" si="2"/>
        <v>Accessories&amp;Peripherals</v>
      </c>
      <c r="F542" s="1">
        <v>799.0</v>
      </c>
      <c r="G542" s="5">
        <v>2099.0</v>
      </c>
      <c r="H542" s="6">
        <f t="shared" si="3"/>
        <v>0.6193425441</v>
      </c>
      <c r="I542" s="3">
        <f>IFERROR(__xludf.DUMMYFUNCTION("GOOGLEFINANCE(""CURRENCY:INRBRL"")*F542"),48.66020670289)</f>
        <v>48.6602067</v>
      </c>
      <c r="J542" s="1">
        <v>4.5</v>
      </c>
      <c r="K542" s="1">
        <v>8188.0</v>
      </c>
      <c r="L542" s="1" t="s">
        <v>234</v>
      </c>
      <c r="M542" s="7" t="s">
        <v>2094</v>
      </c>
    </row>
    <row r="543">
      <c r="A543" s="1" t="s">
        <v>2095</v>
      </c>
      <c r="B543" s="1" t="s">
        <v>2096</v>
      </c>
      <c r="C543" s="1" t="s">
        <v>1403</v>
      </c>
      <c r="D543" s="1" t="str">
        <f t="shared" si="1"/>
        <v>Electronics</v>
      </c>
      <c r="E543" s="1" t="str">
        <f t="shared" si="2"/>
        <v>Mobiles&amp;Accessories</v>
      </c>
      <c r="F543" s="5">
        <v>3799.0</v>
      </c>
      <c r="G543" s="5">
        <v>5299.0</v>
      </c>
      <c r="H543" s="6">
        <f t="shared" si="3"/>
        <v>0.2830722778</v>
      </c>
      <c r="I543" s="3">
        <f>IFERROR(__xludf.DUMMYFUNCTION("GOOGLEFINANCE(""CURRENCY:INRBRL"")*F543"),231.36436203289)</f>
        <v>231.364362</v>
      </c>
      <c r="J543" s="1">
        <v>4.5</v>
      </c>
      <c r="K543" s="1">
        <v>1641.0</v>
      </c>
      <c r="L543" s="1" t="s">
        <v>2097</v>
      </c>
      <c r="M543" s="7" t="s">
        <v>2098</v>
      </c>
    </row>
    <row r="544">
      <c r="A544" s="1" t="s">
        <v>2099</v>
      </c>
      <c r="B544" s="1" t="s">
        <v>2100</v>
      </c>
      <c r="C544" s="1" t="s">
        <v>1858</v>
      </c>
      <c r="D544" s="1" t="str">
        <f t="shared" si="1"/>
        <v>Electronics</v>
      </c>
      <c r="E544" s="1" t="str">
        <f t="shared" si="2"/>
        <v>Mobiles&amp;Accessories</v>
      </c>
      <c r="F544" s="1">
        <v>199.0</v>
      </c>
      <c r="G544" s="5">
        <v>1899.0</v>
      </c>
      <c r="H544" s="6">
        <f t="shared" si="3"/>
        <v>0.8952080042</v>
      </c>
      <c r="I544" s="3">
        <f>IFERROR(__xludf.DUMMYFUNCTION("GOOGLEFINANCE(""CURRENCY:INRBRL"")*F544"),12.11937563689)</f>
        <v>12.11937564</v>
      </c>
      <c r="J544" s="1">
        <v>4.0</v>
      </c>
      <c r="K544" s="1">
        <v>474.0</v>
      </c>
      <c r="L544" s="1" t="s">
        <v>2101</v>
      </c>
      <c r="M544" s="7" t="s">
        <v>2102</v>
      </c>
    </row>
    <row r="545">
      <c r="A545" s="1" t="s">
        <v>2103</v>
      </c>
      <c r="B545" s="1" t="s">
        <v>2104</v>
      </c>
      <c r="C545" s="1" t="s">
        <v>1375</v>
      </c>
      <c r="D545" s="1" t="str">
        <f t="shared" si="1"/>
        <v>Electronics</v>
      </c>
      <c r="E545" s="1" t="str">
        <f t="shared" si="2"/>
        <v>Mobiles&amp;Accessories</v>
      </c>
      <c r="F545" s="5">
        <v>23999.0</v>
      </c>
      <c r="G545" s="5">
        <v>32999.0</v>
      </c>
      <c r="H545" s="6">
        <f t="shared" si="3"/>
        <v>0.2727355374</v>
      </c>
      <c r="I545" s="3">
        <f>IFERROR(__xludf.DUMMYFUNCTION("GOOGLEFINANCE(""CURRENCY:INRBRL"")*F545"),1461.57234125489)</f>
        <v>1461.572341</v>
      </c>
      <c r="J545" s="1">
        <v>4.52</v>
      </c>
      <c r="K545" s="1">
        <v>8866.0</v>
      </c>
      <c r="L545" s="1" t="s">
        <v>2105</v>
      </c>
      <c r="M545" s="7" t="s">
        <v>2106</v>
      </c>
    </row>
    <row r="546">
      <c r="A546" s="1" t="s">
        <v>2107</v>
      </c>
      <c r="B546" s="1" t="s">
        <v>2108</v>
      </c>
      <c r="C546" s="1" t="s">
        <v>1375</v>
      </c>
      <c r="D546" s="1" t="str">
        <f t="shared" si="1"/>
        <v>Electronics</v>
      </c>
      <c r="E546" s="1" t="str">
        <f t="shared" si="2"/>
        <v>Mobiles&amp;Accessories</v>
      </c>
      <c r="F546" s="5">
        <v>29990.0</v>
      </c>
      <c r="G546" s="5">
        <v>39990.0</v>
      </c>
      <c r="H546" s="6">
        <f t="shared" si="3"/>
        <v>0.2500625156</v>
      </c>
      <c r="I546" s="3">
        <f>IFERROR(__xludf.DUMMYFUNCTION("GOOGLEFINANCE(""CURRENCY:INRBRL"")*F546"),1826.4325394489)</f>
        <v>1826.432539</v>
      </c>
      <c r="J546" s="1">
        <v>4.5</v>
      </c>
      <c r="K546" s="1">
        <v>8399.0</v>
      </c>
      <c r="L546" s="1" t="s">
        <v>2109</v>
      </c>
      <c r="M546" s="7" t="s">
        <v>2110</v>
      </c>
    </row>
    <row r="547">
      <c r="A547" s="1" t="s">
        <v>2111</v>
      </c>
      <c r="B547" s="1" t="s">
        <v>2112</v>
      </c>
      <c r="C547" s="1" t="s">
        <v>1357</v>
      </c>
      <c r="D547" s="1" t="str">
        <f t="shared" si="1"/>
        <v>Electronics</v>
      </c>
      <c r="E547" s="1" t="str">
        <f t="shared" si="2"/>
        <v>WearableTechnology</v>
      </c>
      <c r="F547" s="1">
        <v>281.0</v>
      </c>
      <c r="G547" s="5">
        <v>1999.0</v>
      </c>
      <c r="H547" s="6">
        <f t="shared" si="3"/>
        <v>0.8594297149</v>
      </c>
      <c r="I547" s="3">
        <f>IFERROR(__xludf.DUMMYFUNCTION("GOOGLEFINANCE(""CURRENCY:INRBRL"")*F547"),17.11328921591)</f>
        <v>17.11328922</v>
      </c>
      <c r="J547" s="1">
        <v>4.51</v>
      </c>
      <c r="K547" s="1">
        <v>87.0</v>
      </c>
      <c r="L547" s="1" t="s">
        <v>2113</v>
      </c>
      <c r="M547" s="7" t="s">
        <v>2114</v>
      </c>
    </row>
    <row r="548">
      <c r="A548" s="1" t="s">
        <v>2115</v>
      </c>
      <c r="B548" s="1" t="s">
        <v>2116</v>
      </c>
      <c r="C548" s="1" t="s">
        <v>1375</v>
      </c>
      <c r="D548" s="1" t="str">
        <f t="shared" si="1"/>
        <v>Electronics</v>
      </c>
      <c r="E548" s="1" t="str">
        <f t="shared" si="2"/>
        <v>Mobiles&amp;Accessories</v>
      </c>
      <c r="F548" s="5">
        <v>7998.0</v>
      </c>
      <c r="G548" s="5">
        <v>11999.0</v>
      </c>
      <c r="H548" s="6">
        <f t="shared" si="3"/>
        <v>0.3334444537</v>
      </c>
      <c r="I548" s="3">
        <f>IFERROR(__xludf.DUMMYFUNCTION("GOOGLEFINANCE(""CURRENCY:INRBRL"")*F548"),487.08927810977997)</f>
        <v>487.0892781</v>
      </c>
      <c r="J548" s="1">
        <v>4.51</v>
      </c>
      <c r="K548" s="1">
        <v>125.0</v>
      </c>
      <c r="L548" s="1" t="s">
        <v>2117</v>
      </c>
      <c r="M548" s="7" t="s">
        <v>2118</v>
      </c>
    </row>
    <row r="549">
      <c r="A549" s="1" t="s">
        <v>2119</v>
      </c>
      <c r="B549" s="1" t="s">
        <v>2120</v>
      </c>
      <c r="C549" s="1" t="s">
        <v>1357</v>
      </c>
      <c r="D549" s="1" t="str">
        <f t="shared" si="1"/>
        <v>Electronics</v>
      </c>
      <c r="E549" s="1" t="str">
        <f t="shared" si="2"/>
        <v>WearableTechnology</v>
      </c>
      <c r="F549" s="1">
        <v>249.0</v>
      </c>
      <c r="G549" s="1">
        <v>999.0</v>
      </c>
      <c r="H549" s="6">
        <f t="shared" si="3"/>
        <v>0.7507507508</v>
      </c>
      <c r="I549" s="3">
        <f>IFERROR(__xludf.DUMMYFUNCTION("GOOGLEFINANCE(""CURRENCY:INRBRL"")*F549"),15.16444489239)</f>
        <v>15.16444489</v>
      </c>
      <c r="J549" s="1">
        <v>4.51</v>
      </c>
      <c r="K549" s="1">
        <v>38.0</v>
      </c>
      <c r="L549" s="1" t="s">
        <v>2121</v>
      </c>
      <c r="M549" s="7" t="s">
        <v>2122</v>
      </c>
    </row>
    <row r="550">
      <c r="A550" s="1" t="s">
        <v>2123</v>
      </c>
      <c r="B550" s="1" t="s">
        <v>2124</v>
      </c>
      <c r="C550" s="1" t="s">
        <v>1766</v>
      </c>
      <c r="D550" s="1" t="str">
        <f t="shared" si="1"/>
        <v>Electronics</v>
      </c>
      <c r="E550" s="1" t="str">
        <f t="shared" si="2"/>
        <v>Mobiles&amp;Accessories</v>
      </c>
      <c r="F550" s="1">
        <v>299.0</v>
      </c>
      <c r="G550" s="1">
        <v>599.0</v>
      </c>
      <c r="H550" s="6">
        <f t="shared" si="3"/>
        <v>0.5008347245</v>
      </c>
      <c r="I550" s="3">
        <f>IFERROR(__xludf.DUMMYFUNCTION("GOOGLEFINANCE(""CURRENCY:INRBRL"")*F550"),18.209514147889998)</f>
        <v>18.20951415</v>
      </c>
      <c r="J550" s="1">
        <v>4.5</v>
      </c>
      <c r="K550" s="1">
        <v>4674.0</v>
      </c>
      <c r="L550" s="1" t="s">
        <v>2125</v>
      </c>
      <c r="M550" s="7" t="s">
        <v>2126</v>
      </c>
    </row>
    <row r="551">
      <c r="A551" s="1" t="s">
        <v>2127</v>
      </c>
      <c r="B551" s="1" t="s">
        <v>2128</v>
      </c>
      <c r="C551" s="1" t="s">
        <v>1357</v>
      </c>
      <c r="D551" s="1" t="str">
        <f t="shared" si="1"/>
        <v>Electronics</v>
      </c>
      <c r="E551" s="1" t="str">
        <f t="shared" si="2"/>
        <v>WearableTechnology</v>
      </c>
      <c r="F551" s="1">
        <v>499.0</v>
      </c>
      <c r="G551" s="5">
        <v>1899.0</v>
      </c>
      <c r="H551" s="6">
        <f t="shared" si="3"/>
        <v>0.7372301211</v>
      </c>
      <c r="I551" s="3">
        <f>IFERROR(__xludf.DUMMYFUNCTION("GOOGLEFINANCE(""CURRENCY:INRBRL"")*F551"),30.38979116989)</f>
        <v>30.38979117</v>
      </c>
      <c r="J551" s="1">
        <v>4.49</v>
      </c>
      <c r="K551" s="1">
        <v>412.0</v>
      </c>
      <c r="L551" s="1" t="s">
        <v>2129</v>
      </c>
      <c r="M551" s="7" t="s">
        <v>2130</v>
      </c>
    </row>
    <row r="552">
      <c r="A552" s="1" t="s">
        <v>2131</v>
      </c>
      <c r="B552" s="1" t="s">
        <v>2132</v>
      </c>
      <c r="C552" s="1" t="s">
        <v>1357</v>
      </c>
      <c r="D552" s="1" t="str">
        <f t="shared" si="1"/>
        <v>Electronics</v>
      </c>
      <c r="E552" s="1" t="str">
        <f t="shared" si="2"/>
        <v>WearableTechnology</v>
      </c>
      <c r="F552" s="1">
        <v>899.0</v>
      </c>
      <c r="G552" s="5">
        <v>3499.0</v>
      </c>
      <c r="H552" s="6">
        <f t="shared" si="3"/>
        <v>0.7430694484</v>
      </c>
      <c r="I552" s="3">
        <f>IFERROR(__xludf.DUMMYFUNCTION("GOOGLEFINANCE(""CURRENCY:INRBRL"")*F552"),54.75034521389)</f>
        <v>54.75034521</v>
      </c>
      <c r="J552" s="1">
        <v>3.0</v>
      </c>
      <c r="K552" s="1">
        <v>681.0</v>
      </c>
      <c r="L552" s="1" t="s">
        <v>2133</v>
      </c>
      <c r="M552" s="7" t="s">
        <v>2134</v>
      </c>
    </row>
    <row r="553">
      <c r="A553" s="1" t="s">
        <v>2135</v>
      </c>
      <c r="B553" s="1" t="s">
        <v>2136</v>
      </c>
      <c r="C553" s="1" t="s">
        <v>1370</v>
      </c>
      <c r="D553" s="1" t="str">
        <f t="shared" si="1"/>
        <v>Electronics</v>
      </c>
      <c r="E553" s="1" t="str">
        <f t="shared" si="2"/>
        <v>Mobiles&amp;Accessories</v>
      </c>
      <c r="F553" s="5">
        <v>1599.0</v>
      </c>
      <c r="G553" s="5">
        <v>3499.0</v>
      </c>
      <c r="H553" s="6">
        <f t="shared" si="3"/>
        <v>0.5430122892</v>
      </c>
      <c r="I553" s="3">
        <f>IFERROR(__xludf.DUMMYFUNCTION("GOOGLEFINANCE(""CURRENCY:INRBRL"")*F553"),97.38131479089)</f>
        <v>97.38131479</v>
      </c>
      <c r="J553" s="1">
        <v>4.0</v>
      </c>
      <c r="K553" s="1">
        <v>36384.0</v>
      </c>
      <c r="L553" s="1" t="s">
        <v>2137</v>
      </c>
      <c r="M553" s="7" t="s">
        <v>2138</v>
      </c>
    </row>
    <row r="554">
      <c r="A554" s="1" t="s">
        <v>2139</v>
      </c>
      <c r="B554" s="1" t="s">
        <v>2140</v>
      </c>
      <c r="C554" s="1" t="s">
        <v>2141</v>
      </c>
      <c r="D554" s="1" t="str">
        <f t="shared" si="1"/>
        <v>Electronics</v>
      </c>
      <c r="E554" s="1" t="str">
        <f t="shared" si="2"/>
        <v>Headphones,Earbuds&amp;Accessories</v>
      </c>
      <c r="F554" s="1">
        <v>120.0</v>
      </c>
      <c r="G554" s="1">
        <v>999.0</v>
      </c>
      <c r="H554" s="6">
        <f t="shared" si="3"/>
        <v>0.8798798799</v>
      </c>
      <c r="I554" s="3">
        <f>IFERROR(__xludf.DUMMYFUNCTION("GOOGLEFINANCE(""CURRENCY:INRBRL"")*F554"),7.3081662132)</f>
        <v>7.308166213</v>
      </c>
      <c r="J554" s="1">
        <v>4.52</v>
      </c>
      <c r="K554" s="1">
        <v>6491.0</v>
      </c>
      <c r="L554" s="1" t="s">
        <v>2142</v>
      </c>
      <c r="M554" s="7" t="s">
        <v>2143</v>
      </c>
    </row>
    <row r="555">
      <c r="A555" s="1" t="s">
        <v>2144</v>
      </c>
      <c r="B555" s="1" t="s">
        <v>2145</v>
      </c>
      <c r="C555" s="1" t="s">
        <v>1357</v>
      </c>
      <c r="D555" s="1" t="str">
        <f t="shared" si="1"/>
        <v>Electronics</v>
      </c>
      <c r="E555" s="1" t="str">
        <f t="shared" si="2"/>
        <v>WearableTechnology</v>
      </c>
      <c r="F555" s="5">
        <v>3999.0</v>
      </c>
      <c r="G555" s="5">
        <v>6999.0</v>
      </c>
      <c r="H555" s="6">
        <f t="shared" si="3"/>
        <v>0.4286326618</v>
      </c>
      <c r="I555" s="3">
        <f>IFERROR(__xludf.DUMMYFUNCTION("GOOGLEFINANCE(""CURRENCY:INRBRL"")*F555"),243.54463905488998)</f>
        <v>243.5446391</v>
      </c>
      <c r="J555" s="1">
        <v>4.49</v>
      </c>
      <c r="K555" s="1">
        <v>10229.0</v>
      </c>
      <c r="L555" s="1" t="s">
        <v>2146</v>
      </c>
      <c r="M555" s="7" t="s">
        <v>2147</v>
      </c>
    </row>
    <row r="556">
      <c r="A556" s="1" t="s">
        <v>2148</v>
      </c>
      <c r="B556" s="1" t="s">
        <v>1952</v>
      </c>
      <c r="C556" s="1" t="s">
        <v>1375</v>
      </c>
      <c r="D556" s="1" t="str">
        <f t="shared" si="1"/>
        <v>Electronics</v>
      </c>
      <c r="E556" s="1" t="str">
        <f t="shared" si="2"/>
        <v>Mobiles&amp;Accessories</v>
      </c>
      <c r="F556" s="5">
        <v>12999.0</v>
      </c>
      <c r="G556" s="5">
        <v>18999.0</v>
      </c>
      <c r="H556" s="6">
        <f t="shared" si="3"/>
        <v>0.3158060951</v>
      </c>
      <c r="I556" s="3">
        <f>IFERROR(__xludf.DUMMYFUNCTION("GOOGLEFINANCE(""CURRENCY:INRBRL"")*F556"),791.6571050448899)</f>
        <v>791.657105</v>
      </c>
      <c r="J556" s="1">
        <v>4.49</v>
      </c>
      <c r="K556" s="1">
        <v>50772.0</v>
      </c>
      <c r="L556" s="1" t="s">
        <v>1953</v>
      </c>
      <c r="M556" s="7" t="s">
        <v>2149</v>
      </c>
    </row>
    <row r="557">
      <c r="A557" s="1" t="s">
        <v>2150</v>
      </c>
      <c r="B557" s="1" t="s">
        <v>2151</v>
      </c>
      <c r="C557" s="1" t="s">
        <v>1858</v>
      </c>
      <c r="D557" s="1" t="str">
        <f t="shared" si="1"/>
        <v>Electronics</v>
      </c>
      <c r="E557" s="1" t="str">
        <f t="shared" si="2"/>
        <v>Mobiles&amp;Accessories</v>
      </c>
      <c r="F557" s="5">
        <v>1599.0</v>
      </c>
      <c r="G557" s="5">
        <v>2599.0</v>
      </c>
      <c r="H557" s="6">
        <f t="shared" si="3"/>
        <v>0.3847633705</v>
      </c>
      <c r="I557" s="3">
        <f>IFERROR(__xludf.DUMMYFUNCTION("GOOGLEFINANCE(""CURRENCY:INRBRL"")*F557"),97.38131479089)</f>
        <v>97.38131479</v>
      </c>
      <c r="J557" s="1">
        <v>4.5</v>
      </c>
      <c r="K557" s="1">
        <v>1801.0</v>
      </c>
      <c r="L557" s="1" t="s">
        <v>2152</v>
      </c>
      <c r="M557" s="7" t="s">
        <v>2153</v>
      </c>
    </row>
    <row r="558">
      <c r="A558" s="1" t="s">
        <v>2154</v>
      </c>
      <c r="B558" s="1" t="s">
        <v>2155</v>
      </c>
      <c r="C558" s="1" t="s">
        <v>1457</v>
      </c>
      <c r="D558" s="1" t="str">
        <f t="shared" si="1"/>
        <v>Electronics</v>
      </c>
      <c r="E558" s="1" t="str">
        <f t="shared" si="2"/>
        <v>Mobiles&amp;Accessories</v>
      </c>
      <c r="F558" s="1">
        <v>699.0</v>
      </c>
      <c r="G558" s="5">
        <v>1199.0</v>
      </c>
      <c r="H558" s="6">
        <f t="shared" si="3"/>
        <v>0.4170141785</v>
      </c>
      <c r="I558" s="3">
        <f>IFERROR(__xludf.DUMMYFUNCTION("GOOGLEFINANCE(""CURRENCY:INRBRL"")*F558"),42.57006819189)</f>
        <v>42.57006819</v>
      </c>
      <c r="J558" s="1">
        <v>4.0</v>
      </c>
      <c r="K558" s="1">
        <v>14404.0</v>
      </c>
      <c r="L558" s="1" t="s">
        <v>2156</v>
      </c>
      <c r="M558" s="7" t="s">
        <v>2157</v>
      </c>
    </row>
    <row r="559">
      <c r="A559" s="1" t="s">
        <v>2158</v>
      </c>
      <c r="B559" s="1" t="s">
        <v>2159</v>
      </c>
      <c r="C559" s="1" t="s">
        <v>2160</v>
      </c>
      <c r="D559" s="1" t="str">
        <f t="shared" si="1"/>
        <v>Electronics</v>
      </c>
      <c r="E559" s="1" t="str">
        <f t="shared" si="2"/>
        <v>Mobiles&amp;Accessories</v>
      </c>
      <c r="F559" s="1">
        <v>99.0</v>
      </c>
      <c r="G559" s="1">
        <v>999.0</v>
      </c>
      <c r="H559" s="6">
        <f t="shared" si="3"/>
        <v>0.9009009009</v>
      </c>
      <c r="I559" s="3">
        <f>IFERROR(__xludf.DUMMYFUNCTION("GOOGLEFINANCE(""CURRENCY:INRBRL"")*F559"),6.02923712589)</f>
        <v>6.029237126</v>
      </c>
      <c r="J559" s="1">
        <v>4.5</v>
      </c>
      <c r="K559" s="1">
        <v>305.0</v>
      </c>
      <c r="L559" s="1" t="s">
        <v>2161</v>
      </c>
      <c r="M559" s="7" t="s">
        <v>2162</v>
      </c>
    </row>
    <row r="560">
      <c r="A560" s="1" t="s">
        <v>2163</v>
      </c>
      <c r="B560" s="1" t="s">
        <v>2164</v>
      </c>
      <c r="C560" s="1" t="s">
        <v>1375</v>
      </c>
      <c r="D560" s="1" t="str">
        <f t="shared" si="1"/>
        <v>Electronics</v>
      </c>
      <c r="E560" s="1" t="str">
        <f t="shared" si="2"/>
        <v>Mobiles&amp;Accessories</v>
      </c>
      <c r="F560" s="5">
        <v>7915.0</v>
      </c>
      <c r="G560" s="5">
        <v>9999.0</v>
      </c>
      <c r="H560" s="6">
        <f t="shared" si="3"/>
        <v>0.2084208421</v>
      </c>
      <c r="I560" s="3">
        <f>IFERROR(__xludf.DUMMYFUNCTION("GOOGLEFINANCE(""CURRENCY:INRBRL"")*F560"),482.03446314564997)</f>
        <v>482.0344631</v>
      </c>
      <c r="J560" s="1">
        <v>4.5</v>
      </c>
      <c r="K560" s="1">
        <v>1376.0</v>
      </c>
      <c r="L560" s="1" t="s">
        <v>2165</v>
      </c>
      <c r="M560" s="7" t="s">
        <v>2166</v>
      </c>
    </row>
    <row r="561">
      <c r="A561" s="1" t="s">
        <v>2167</v>
      </c>
      <c r="B561" s="1" t="s">
        <v>2168</v>
      </c>
      <c r="C561" s="1" t="s">
        <v>1357</v>
      </c>
      <c r="D561" s="1" t="str">
        <f t="shared" si="1"/>
        <v>Electronics</v>
      </c>
      <c r="E561" s="1" t="str">
        <f t="shared" si="2"/>
        <v>WearableTechnology</v>
      </c>
      <c r="F561" s="5">
        <v>1499.0</v>
      </c>
      <c r="G561" s="5">
        <v>7999.0</v>
      </c>
      <c r="H561" s="6">
        <f t="shared" si="3"/>
        <v>0.8126015752</v>
      </c>
      <c r="I561" s="3">
        <f>IFERROR(__xludf.DUMMYFUNCTION("GOOGLEFINANCE(""CURRENCY:INRBRL"")*F561"),91.29117627989)</f>
        <v>91.29117628</v>
      </c>
      <c r="J561" s="1">
        <v>4.5</v>
      </c>
      <c r="K561" s="1">
        <v>22638.0</v>
      </c>
      <c r="L561" s="1" t="s">
        <v>2169</v>
      </c>
      <c r="M561" s="7" t="s">
        <v>2170</v>
      </c>
    </row>
    <row r="562">
      <c r="A562" s="1" t="s">
        <v>2171</v>
      </c>
      <c r="B562" s="1" t="s">
        <v>2172</v>
      </c>
      <c r="C562" s="1" t="s">
        <v>1403</v>
      </c>
      <c r="D562" s="1" t="str">
        <f t="shared" si="1"/>
        <v>Electronics</v>
      </c>
      <c r="E562" s="1" t="str">
        <f t="shared" si="2"/>
        <v>Mobiles&amp;Accessories</v>
      </c>
      <c r="F562" s="5">
        <v>1055.0</v>
      </c>
      <c r="G562" s="5">
        <v>1249.0</v>
      </c>
      <c r="H562" s="6">
        <f t="shared" si="3"/>
        <v>0.1553242594</v>
      </c>
      <c r="I562" s="3">
        <f>IFERROR(__xludf.DUMMYFUNCTION("GOOGLEFINANCE(""CURRENCY:INRBRL"")*F562"),64.25096129105)</f>
        <v>64.25096129</v>
      </c>
      <c r="J562" s="1">
        <v>4.51</v>
      </c>
      <c r="K562" s="1">
        <v>2352.0</v>
      </c>
      <c r="L562" s="1" t="s">
        <v>2173</v>
      </c>
      <c r="M562" s="7" t="s">
        <v>2174</v>
      </c>
    </row>
    <row r="563">
      <c r="A563" s="1" t="s">
        <v>2175</v>
      </c>
      <c r="B563" s="1" t="s">
        <v>2176</v>
      </c>
      <c r="C563" s="1" t="s">
        <v>1766</v>
      </c>
      <c r="D563" s="1" t="str">
        <f t="shared" si="1"/>
        <v>Electronics</v>
      </c>
      <c r="E563" s="1" t="str">
        <f t="shared" si="2"/>
        <v>Mobiles&amp;Accessories</v>
      </c>
      <c r="F563" s="1">
        <v>150.0</v>
      </c>
      <c r="G563" s="1">
        <v>599.0</v>
      </c>
      <c r="H563" s="6">
        <f t="shared" si="3"/>
        <v>0.7495826377</v>
      </c>
      <c r="I563" s="3">
        <f>IFERROR(__xludf.DUMMYFUNCTION("GOOGLEFINANCE(""CURRENCY:INRBRL"")*F563"),9.135207766499999)</f>
        <v>9.135207767</v>
      </c>
      <c r="J563" s="1">
        <v>4.5</v>
      </c>
      <c r="K563" s="1">
        <v>714.0</v>
      </c>
      <c r="L563" s="1" t="s">
        <v>2177</v>
      </c>
      <c r="M563" s="7" t="s">
        <v>2178</v>
      </c>
    </row>
    <row r="564">
      <c r="A564" s="1" t="s">
        <v>302</v>
      </c>
      <c r="B564" s="1" t="s">
        <v>303</v>
      </c>
      <c r="C564" s="1" t="s">
        <v>22</v>
      </c>
      <c r="D564" s="1" t="str">
        <f t="shared" si="1"/>
        <v>Computers&amp;Accessories</v>
      </c>
      <c r="E564" s="1" t="str">
        <f t="shared" si="2"/>
        <v>Accessories&amp;Peripherals</v>
      </c>
      <c r="F564" s="1">
        <v>219.0</v>
      </c>
      <c r="G564" s="1">
        <v>700.0</v>
      </c>
      <c r="H564" s="6">
        <f t="shared" si="3"/>
        <v>0.6871428571</v>
      </c>
      <c r="I564" s="3">
        <f>IFERROR(__xludf.DUMMYFUNCTION("GOOGLEFINANCE(""CURRENCY:INRBRL"")*F564"),13.337403339089999)</f>
        <v>13.33740334</v>
      </c>
      <c r="J564" s="1">
        <v>4.5</v>
      </c>
      <c r="K564" s="1">
        <v>20052.0</v>
      </c>
      <c r="L564" s="1" t="s">
        <v>304</v>
      </c>
      <c r="M564" s="7" t="s">
        <v>2179</v>
      </c>
    </row>
    <row r="565">
      <c r="A565" s="1" t="s">
        <v>2180</v>
      </c>
      <c r="B565" s="1" t="s">
        <v>2181</v>
      </c>
      <c r="C565" s="1" t="s">
        <v>1858</v>
      </c>
      <c r="D565" s="1" t="str">
        <f t="shared" si="1"/>
        <v>Electronics</v>
      </c>
      <c r="E565" s="1" t="str">
        <f t="shared" si="2"/>
        <v>Mobiles&amp;Accessories</v>
      </c>
      <c r="F565" s="1">
        <v>474.0</v>
      </c>
      <c r="G565" s="5">
        <v>1799.0</v>
      </c>
      <c r="H565" s="6">
        <f t="shared" si="3"/>
        <v>0.736520289</v>
      </c>
      <c r="I565" s="3">
        <f>IFERROR(__xludf.DUMMYFUNCTION("GOOGLEFINANCE(""CURRENCY:INRBRL"")*F565"),28.867256542139998)</f>
        <v>28.86725654</v>
      </c>
      <c r="J565" s="1">
        <v>4.5</v>
      </c>
      <c r="K565" s="1">
        <v>1454.0</v>
      </c>
      <c r="L565" s="1" t="s">
        <v>2182</v>
      </c>
      <c r="M565" s="7" t="s">
        <v>2183</v>
      </c>
    </row>
    <row r="566">
      <c r="A566" s="1" t="s">
        <v>318</v>
      </c>
      <c r="B566" s="1" t="s">
        <v>319</v>
      </c>
      <c r="C566" s="1" t="s">
        <v>22</v>
      </c>
      <c r="D566" s="1" t="str">
        <f t="shared" si="1"/>
        <v>Computers&amp;Accessories</v>
      </c>
      <c r="E566" s="1" t="str">
        <f t="shared" si="2"/>
        <v>Accessories&amp;Peripherals</v>
      </c>
      <c r="F566" s="1">
        <v>115.0</v>
      </c>
      <c r="G566" s="1">
        <v>499.0</v>
      </c>
      <c r="H566" s="6">
        <f t="shared" si="3"/>
        <v>0.7695390782</v>
      </c>
      <c r="I566" s="3">
        <f>IFERROR(__xludf.DUMMYFUNCTION("GOOGLEFINANCE(""CURRENCY:INRBRL"")*F566"),7.00365928765)</f>
        <v>7.003659288</v>
      </c>
      <c r="J566" s="1">
        <v>4.0</v>
      </c>
      <c r="K566" s="1">
        <v>7732.0</v>
      </c>
      <c r="L566" s="1" t="s">
        <v>320</v>
      </c>
      <c r="M566" s="7" t="s">
        <v>2184</v>
      </c>
    </row>
    <row r="567">
      <c r="A567" s="1" t="s">
        <v>2185</v>
      </c>
      <c r="B567" s="1" t="s">
        <v>2186</v>
      </c>
      <c r="C567" s="1" t="s">
        <v>1457</v>
      </c>
      <c r="D567" s="1" t="str">
        <f t="shared" si="1"/>
        <v>Electronics</v>
      </c>
      <c r="E567" s="1" t="str">
        <f t="shared" si="2"/>
        <v>Mobiles&amp;Accessories</v>
      </c>
      <c r="F567" s="1">
        <v>239.0</v>
      </c>
      <c r="G567" s="1">
        <v>599.0</v>
      </c>
      <c r="H567" s="6">
        <f t="shared" si="3"/>
        <v>0.6010016694</v>
      </c>
      <c r="I567" s="3">
        <f>IFERROR(__xludf.DUMMYFUNCTION("GOOGLEFINANCE(""CURRENCY:INRBRL"")*F567"),14.55543104129)</f>
        <v>14.55543104</v>
      </c>
      <c r="J567" s="1">
        <v>4.52</v>
      </c>
      <c r="K567" s="1">
        <v>2147.0</v>
      </c>
      <c r="L567" s="1" t="s">
        <v>2187</v>
      </c>
      <c r="M567" s="7" t="s">
        <v>2188</v>
      </c>
    </row>
    <row r="568">
      <c r="A568" s="1" t="s">
        <v>2189</v>
      </c>
      <c r="B568" s="1" t="s">
        <v>2190</v>
      </c>
      <c r="C568" s="1" t="s">
        <v>1375</v>
      </c>
      <c r="D568" s="1" t="str">
        <f t="shared" si="1"/>
        <v>Electronics</v>
      </c>
      <c r="E568" s="1" t="str">
        <f t="shared" si="2"/>
        <v>Mobiles&amp;Accessories</v>
      </c>
      <c r="F568" s="5">
        <v>7499.0</v>
      </c>
      <c r="G568" s="5">
        <v>9499.0</v>
      </c>
      <c r="H568" s="6">
        <f t="shared" si="3"/>
        <v>0.2105484788</v>
      </c>
      <c r="I568" s="3">
        <f>IFERROR(__xludf.DUMMYFUNCTION("GOOGLEFINANCE(""CURRENCY:INRBRL"")*F568"),456.69948693989)</f>
        <v>456.6994869</v>
      </c>
      <c r="J568" s="1">
        <v>4.49</v>
      </c>
      <c r="K568" s="1">
        <v>313832.0</v>
      </c>
      <c r="L568" s="1" t="s">
        <v>2191</v>
      </c>
      <c r="M568" s="7" t="s">
        <v>2192</v>
      </c>
    </row>
    <row r="569">
      <c r="A569" s="1" t="s">
        <v>2193</v>
      </c>
      <c r="B569" s="1" t="s">
        <v>2194</v>
      </c>
      <c r="C569" s="1" t="s">
        <v>1357</v>
      </c>
      <c r="D569" s="1" t="str">
        <f t="shared" si="1"/>
        <v>Electronics</v>
      </c>
      <c r="E569" s="1" t="str">
        <f t="shared" si="2"/>
        <v>WearableTechnology</v>
      </c>
      <c r="F569" s="1">
        <v>265.0</v>
      </c>
      <c r="G569" s="1">
        <v>999.0</v>
      </c>
      <c r="H569" s="6">
        <f t="shared" si="3"/>
        <v>0.7347347347</v>
      </c>
      <c r="I569" s="3">
        <f>IFERROR(__xludf.DUMMYFUNCTION("GOOGLEFINANCE(""CURRENCY:INRBRL"")*F569"),16.138867054149998)</f>
        <v>16.13886705</v>
      </c>
      <c r="J569" s="1">
        <v>4.51</v>
      </c>
      <c r="K569" s="1">
        <v>465.0</v>
      </c>
      <c r="L569" s="1" t="s">
        <v>2195</v>
      </c>
      <c r="M569" s="7" t="s">
        <v>2196</v>
      </c>
    </row>
    <row r="570">
      <c r="A570" s="1" t="s">
        <v>2197</v>
      </c>
      <c r="B570" s="1" t="s">
        <v>2198</v>
      </c>
      <c r="C570" s="1" t="s">
        <v>1375</v>
      </c>
      <c r="D570" s="1" t="str">
        <f t="shared" si="1"/>
        <v>Electronics</v>
      </c>
      <c r="E570" s="1" t="str">
        <f t="shared" si="2"/>
        <v>Mobiles&amp;Accessories</v>
      </c>
      <c r="F570" s="5">
        <v>37990.0</v>
      </c>
      <c r="G570" s="5">
        <v>74999.0</v>
      </c>
      <c r="H570" s="6">
        <f t="shared" si="3"/>
        <v>0.4934599128</v>
      </c>
      <c r="I570" s="3">
        <f>IFERROR(__xludf.DUMMYFUNCTION("GOOGLEFINANCE(""CURRENCY:INRBRL"")*F570"),2313.6436203289)</f>
        <v>2313.64362</v>
      </c>
      <c r="J570" s="1">
        <v>4.5</v>
      </c>
      <c r="K570" s="1">
        <v>2779.0</v>
      </c>
      <c r="L570" s="1" t="s">
        <v>2199</v>
      </c>
      <c r="M570" s="7" t="s">
        <v>2200</v>
      </c>
    </row>
    <row r="571">
      <c r="A571" s="1" t="s">
        <v>326</v>
      </c>
      <c r="B571" s="1" t="s">
        <v>327</v>
      </c>
      <c r="C571" s="1" t="s">
        <v>22</v>
      </c>
      <c r="D571" s="1" t="str">
        <f t="shared" si="1"/>
        <v>Computers&amp;Accessories</v>
      </c>
      <c r="E571" s="1" t="str">
        <f t="shared" si="2"/>
        <v>Accessories&amp;Peripherals</v>
      </c>
      <c r="F571" s="1">
        <v>199.0</v>
      </c>
      <c r="G571" s="1">
        <v>499.0</v>
      </c>
      <c r="H571" s="6">
        <f t="shared" si="3"/>
        <v>0.6012024048</v>
      </c>
      <c r="I571" s="3">
        <f>IFERROR(__xludf.DUMMYFUNCTION("GOOGLEFINANCE(""CURRENCY:INRBRL"")*F571"),12.11937563689)</f>
        <v>12.11937564</v>
      </c>
      <c r="J571" s="1">
        <v>4.49</v>
      </c>
      <c r="K571" s="1">
        <v>602.0</v>
      </c>
      <c r="L571" s="1" t="s">
        <v>328</v>
      </c>
      <c r="M571" s="7" t="s">
        <v>2201</v>
      </c>
    </row>
    <row r="572">
      <c r="A572" s="1" t="s">
        <v>330</v>
      </c>
      <c r="B572" s="1" t="s">
        <v>331</v>
      </c>
      <c r="C572" s="1" t="s">
        <v>22</v>
      </c>
      <c r="D572" s="1" t="str">
        <f t="shared" si="1"/>
        <v>Computers&amp;Accessories</v>
      </c>
      <c r="E572" s="1" t="str">
        <f t="shared" si="2"/>
        <v>Accessories&amp;Peripherals</v>
      </c>
      <c r="F572" s="1">
        <v>179.0</v>
      </c>
      <c r="G572" s="1">
        <v>399.0</v>
      </c>
      <c r="H572" s="6">
        <f t="shared" si="3"/>
        <v>0.5513784461</v>
      </c>
      <c r="I572" s="3">
        <f>IFERROR(__xludf.DUMMYFUNCTION("GOOGLEFINANCE(""CURRENCY:INRBRL"")*F572"),10.90134793469)</f>
        <v>10.90134793</v>
      </c>
      <c r="J572" s="1">
        <v>4.0</v>
      </c>
      <c r="K572" s="1">
        <v>1423.0</v>
      </c>
      <c r="L572" s="1" t="s">
        <v>332</v>
      </c>
      <c r="M572" s="7" t="s">
        <v>2202</v>
      </c>
    </row>
    <row r="573">
      <c r="A573" s="1" t="s">
        <v>2203</v>
      </c>
      <c r="B573" s="1" t="s">
        <v>2204</v>
      </c>
      <c r="C573" s="1" t="s">
        <v>1588</v>
      </c>
      <c r="D573" s="1" t="str">
        <f t="shared" si="1"/>
        <v>Electronics</v>
      </c>
      <c r="E573" s="1" t="str">
        <f t="shared" si="2"/>
        <v>Mobiles&amp;Accessories</v>
      </c>
      <c r="F573" s="5">
        <v>1799.0</v>
      </c>
      <c r="G573" s="5">
        <v>3999.0</v>
      </c>
      <c r="H573" s="6">
        <f t="shared" si="3"/>
        <v>0.5501375344</v>
      </c>
      <c r="I573" s="3">
        <f>IFERROR(__xludf.DUMMYFUNCTION("GOOGLEFINANCE(""CURRENCY:INRBRL"")*F573"),109.56159181289)</f>
        <v>109.5615918</v>
      </c>
      <c r="J573" s="1">
        <v>4.51</v>
      </c>
      <c r="K573" s="1">
        <v>245.0</v>
      </c>
      <c r="L573" s="1" t="s">
        <v>2205</v>
      </c>
      <c r="M573" s="7" t="s">
        <v>2206</v>
      </c>
    </row>
    <row r="574">
      <c r="A574" s="1" t="s">
        <v>2207</v>
      </c>
      <c r="B574" s="1" t="s">
        <v>2208</v>
      </c>
      <c r="C574" s="1" t="s">
        <v>1375</v>
      </c>
      <c r="D574" s="1" t="str">
        <f t="shared" si="1"/>
        <v>Electronics</v>
      </c>
      <c r="E574" s="1" t="str">
        <f t="shared" si="2"/>
        <v>Mobiles&amp;Accessories</v>
      </c>
      <c r="F574" s="5">
        <v>8499.0</v>
      </c>
      <c r="G574" s="5">
        <v>11999.0</v>
      </c>
      <c r="H574" s="6">
        <f t="shared" si="3"/>
        <v>0.2916909742</v>
      </c>
      <c r="I574" s="3">
        <f>IFERROR(__xludf.DUMMYFUNCTION("GOOGLEFINANCE(""CURRENCY:INRBRL"")*F574"),517.60087204989)</f>
        <v>517.600872</v>
      </c>
      <c r="J574" s="1">
        <v>4.52</v>
      </c>
      <c r="K574" s="1">
        <v>276.0</v>
      </c>
      <c r="L574" s="1" t="s">
        <v>2209</v>
      </c>
      <c r="M574" s="7" t="s">
        <v>2210</v>
      </c>
    </row>
    <row r="575">
      <c r="A575" s="1" t="s">
        <v>2211</v>
      </c>
      <c r="B575" s="1" t="s">
        <v>2212</v>
      </c>
      <c r="C575" s="1" t="s">
        <v>1357</v>
      </c>
      <c r="D575" s="1" t="str">
        <f t="shared" si="1"/>
        <v>Electronics</v>
      </c>
      <c r="E575" s="1" t="str">
        <f t="shared" si="2"/>
        <v>WearableTechnology</v>
      </c>
      <c r="F575" s="5">
        <v>1999.0</v>
      </c>
      <c r="G575" s="5">
        <v>3999.0</v>
      </c>
      <c r="H575" s="6">
        <f t="shared" si="3"/>
        <v>0.5001250313</v>
      </c>
      <c r="I575" s="3">
        <f>IFERROR(__xludf.DUMMYFUNCTION("GOOGLEFINANCE(""CURRENCY:INRBRL"")*F575"),121.74186883489)</f>
        <v>121.7418688</v>
      </c>
      <c r="J575" s="1">
        <v>4.0</v>
      </c>
      <c r="K575" s="1">
        <v>30254.0</v>
      </c>
      <c r="L575" s="1" t="s">
        <v>2213</v>
      </c>
      <c r="M575" s="7" t="s">
        <v>2214</v>
      </c>
    </row>
    <row r="576">
      <c r="A576" s="1" t="s">
        <v>2215</v>
      </c>
      <c r="B576" s="1" t="s">
        <v>1518</v>
      </c>
      <c r="C576" s="1" t="s">
        <v>1357</v>
      </c>
      <c r="D576" s="1" t="str">
        <f t="shared" si="1"/>
        <v>Electronics</v>
      </c>
      <c r="E576" s="1" t="str">
        <f t="shared" si="2"/>
        <v>WearableTechnology</v>
      </c>
      <c r="F576" s="5">
        <v>3999.0</v>
      </c>
      <c r="G576" s="5">
        <v>17999.0</v>
      </c>
      <c r="H576" s="6">
        <f t="shared" si="3"/>
        <v>0.7778209901</v>
      </c>
      <c r="I576" s="3">
        <f>IFERROR(__xludf.DUMMYFUNCTION("GOOGLEFINANCE(""CURRENCY:INRBRL"")*F576"),243.54463905488998)</f>
        <v>243.5446391</v>
      </c>
      <c r="J576" s="1">
        <v>4.5</v>
      </c>
      <c r="K576" s="1">
        <v>17161.0</v>
      </c>
      <c r="L576" s="1" t="s">
        <v>2216</v>
      </c>
      <c r="M576" s="7" t="s">
        <v>2217</v>
      </c>
    </row>
    <row r="577">
      <c r="A577" s="1" t="s">
        <v>2218</v>
      </c>
      <c r="B577" s="1" t="s">
        <v>2219</v>
      </c>
      <c r="C577" s="1" t="s">
        <v>1457</v>
      </c>
      <c r="D577" s="1" t="str">
        <f t="shared" si="1"/>
        <v>Electronics</v>
      </c>
      <c r="E577" s="1" t="str">
        <f t="shared" si="2"/>
        <v>Mobiles&amp;Accessories</v>
      </c>
      <c r="F577" s="1">
        <v>219.0</v>
      </c>
      <c r="G577" s="1">
        <v>499.0</v>
      </c>
      <c r="H577" s="6">
        <f t="shared" si="3"/>
        <v>0.5611222445</v>
      </c>
      <c r="I577" s="3">
        <f>IFERROR(__xludf.DUMMYFUNCTION("GOOGLEFINANCE(""CURRENCY:INRBRL"")*F577"),13.337403339089999)</f>
        <v>13.33740334</v>
      </c>
      <c r="J577" s="1">
        <v>4.5</v>
      </c>
      <c r="K577" s="1">
        <v>14.0</v>
      </c>
      <c r="L577" s="1" t="s">
        <v>2220</v>
      </c>
      <c r="M577" s="7" t="s">
        <v>2221</v>
      </c>
    </row>
    <row r="578">
      <c r="A578" s="1" t="s">
        <v>2222</v>
      </c>
      <c r="B578" s="1" t="s">
        <v>2223</v>
      </c>
      <c r="C578" s="1" t="s">
        <v>1588</v>
      </c>
      <c r="D578" s="1" t="str">
        <f t="shared" si="1"/>
        <v>Electronics</v>
      </c>
      <c r="E578" s="1" t="str">
        <f t="shared" si="2"/>
        <v>Mobiles&amp;Accessories</v>
      </c>
      <c r="F578" s="1">
        <v>599.0</v>
      </c>
      <c r="G578" s="5">
        <v>1399.0</v>
      </c>
      <c r="H578" s="6">
        <f t="shared" si="3"/>
        <v>0.5718370264</v>
      </c>
      <c r="I578" s="3">
        <f>IFERROR(__xludf.DUMMYFUNCTION("GOOGLEFINANCE(""CURRENCY:INRBRL"")*F578"),36.479929680889995)</f>
        <v>36.47992968</v>
      </c>
      <c r="J578" s="1">
        <v>4.49</v>
      </c>
      <c r="K578" s="1">
        <v>1456.0</v>
      </c>
      <c r="L578" s="1" t="s">
        <v>2224</v>
      </c>
      <c r="M578" s="7" t="s">
        <v>2225</v>
      </c>
    </row>
    <row r="579">
      <c r="A579" s="1" t="s">
        <v>2226</v>
      </c>
      <c r="B579" s="1" t="s">
        <v>2227</v>
      </c>
      <c r="C579" s="1" t="s">
        <v>1370</v>
      </c>
      <c r="D579" s="1" t="str">
        <f t="shared" si="1"/>
        <v>Electronics</v>
      </c>
      <c r="E579" s="1" t="str">
        <f t="shared" si="2"/>
        <v>Mobiles&amp;Accessories</v>
      </c>
      <c r="F579" s="5">
        <v>2499.0</v>
      </c>
      <c r="G579" s="5">
        <v>2999.0</v>
      </c>
      <c r="H579" s="6">
        <f t="shared" si="3"/>
        <v>0.1667222407</v>
      </c>
      <c r="I579" s="3">
        <f>IFERROR(__xludf.DUMMYFUNCTION("GOOGLEFINANCE(""CURRENCY:INRBRL"")*F579"),152.19256138989)</f>
        <v>152.1925614</v>
      </c>
      <c r="J579" s="1">
        <v>4.49</v>
      </c>
      <c r="K579" s="1">
        <v>3156.0</v>
      </c>
      <c r="L579" s="1" t="s">
        <v>2228</v>
      </c>
      <c r="M579" s="7" t="s">
        <v>2229</v>
      </c>
    </row>
    <row r="580">
      <c r="A580" s="1" t="s">
        <v>2230</v>
      </c>
      <c r="B580" s="1" t="s">
        <v>2231</v>
      </c>
      <c r="C580" s="1" t="s">
        <v>2232</v>
      </c>
      <c r="D580" s="1" t="str">
        <f t="shared" si="1"/>
        <v>Electronics</v>
      </c>
      <c r="E580" s="1" t="str">
        <f t="shared" si="2"/>
        <v>Mobiles&amp;Accessories</v>
      </c>
      <c r="F580" s="1">
        <v>89.0</v>
      </c>
      <c r="G580" s="1">
        <v>499.0</v>
      </c>
      <c r="H580" s="6">
        <f t="shared" si="3"/>
        <v>0.8216432866</v>
      </c>
      <c r="I580" s="3">
        <f>IFERROR(__xludf.DUMMYFUNCTION("GOOGLEFINANCE(""CURRENCY:INRBRL"")*F580"),5.42022327479)</f>
        <v>5.420223275</v>
      </c>
      <c r="J580" s="1">
        <v>4.49</v>
      </c>
      <c r="K580" s="1">
        <v>934.0</v>
      </c>
      <c r="L580" s="1" t="s">
        <v>2233</v>
      </c>
      <c r="M580" s="7" t="s">
        <v>2234</v>
      </c>
    </row>
    <row r="581">
      <c r="A581" s="1" t="s">
        <v>2235</v>
      </c>
      <c r="B581" s="1" t="s">
        <v>2236</v>
      </c>
      <c r="C581" s="1" t="s">
        <v>1357</v>
      </c>
      <c r="D581" s="1" t="str">
        <f t="shared" si="1"/>
        <v>Electronics</v>
      </c>
      <c r="E581" s="1" t="str">
        <f t="shared" si="2"/>
        <v>WearableTechnology</v>
      </c>
      <c r="F581" s="5">
        <v>2999.0</v>
      </c>
      <c r="G581" s="5">
        <v>11999.0</v>
      </c>
      <c r="H581" s="6">
        <f t="shared" si="3"/>
        <v>0.7500625052</v>
      </c>
      <c r="I581" s="3">
        <f>IFERROR(__xludf.DUMMYFUNCTION("GOOGLEFINANCE(""CURRENCY:INRBRL"")*F581"),182.64325394489)</f>
        <v>182.6432539</v>
      </c>
      <c r="J581" s="1">
        <v>4.5</v>
      </c>
      <c r="K581" s="1">
        <v>768.0</v>
      </c>
      <c r="L581" s="1" t="s">
        <v>2237</v>
      </c>
      <c r="M581" s="7" t="s">
        <v>2238</v>
      </c>
    </row>
    <row r="582">
      <c r="A582" s="1" t="s">
        <v>2239</v>
      </c>
      <c r="B582" s="1" t="s">
        <v>2240</v>
      </c>
      <c r="C582" s="1" t="s">
        <v>1618</v>
      </c>
      <c r="D582" s="1" t="str">
        <f t="shared" si="1"/>
        <v>Electronics</v>
      </c>
      <c r="E582" s="1" t="str">
        <f t="shared" si="2"/>
        <v>Mobiles&amp;Accessories</v>
      </c>
      <c r="F582" s="1">
        <v>314.0</v>
      </c>
      <c r="G582" s="5">
        <v>1499.0</v>
      </c>
      <c r="H582" s="6">
        <f t="shared" si="3"/>
        <v>0.790527018</v>
      </c>
      <c r="I582" s="3">
        <f>IFERROR(__xludf.DUMMYFUNCTION("GOOGLEFINANCE(""CURRENCY:INRBRL"")*F582"),19.12303492454)</f>
        <v>19.12303492</v>
      </c>
      <c r="J582" s="1">
        <v>4.51</v>
      </c>
      <c r="K582" s="1">
        <v>28978.0</v>
      </c>
      <c r="L582" s="1" t="s">
        <v>2241</v>
      </c>
      <c r="M582" s="7" t="s">
        <v>2242</v>
      </c>
    </row>
    <row r="583">
      <c r="A583" s="1" t="s">
        <v>2243</v>
      </c>
      <c r="B583" s="1" t="s">
        <v>2244</v>
      </c>
      <c r="C583" s="1" t="s">
        <v>1375</v>
      </c>
      <c r="D583" s="1" t="str">
        <f t="shared" si="1"/>
        <v>Electronics</v>
      </c>
      <c r="E583" s="1" t="str">
        <f t="shared" si="2"/>
        <v>Mobiles&amp;Accessories</v>
      </c>
      <c r="F583" s="5">
        <v>13999.0</v>
      </c>
      <c r="G583" s="5">
        <v>19499.0</v>
      </c>
      <c r="H583" s="6">
        <f t="shared" si="3"/>
        <v>0.282065747</v>
      </c>
      <c r="I583" s="3">
        <f>IFERROR(__xludf.DUMMYFUNCTION("GOOGLEFINANCE(""CURRENCY:INRBRL"")*F583"),852.5584901548899)</f>
        <v>852.5584902</v>
      </c>
      <c r="J583" s="1">
        <v>4.49</v>
      </c>
      <c r="K583" s="1">
        <v>18998.0</v>
      </c>
      <c r="L583" s="1" t="s">
        <v>1601</v>
      </c>
      <c r="M583" s="7" t="s">
        <v>2245</v>
      </c>
    </row>
    <row r="584">
      <c r="A584" s="1" t="s">
        <v>2246</v>
      </c>
      <c r="B584" s="1" t="s">
        <v>2247</v>
      </c>
      <c r="C584" s="1" t="s">
        <v>1514</v>
      </c>
      <c r="D584" s="1" t="str">
        <f t="shared" si="1"/>
        <v>Electronics</v>
      </c>
      <c r="E584" s="1" t="str">
        <f t="shared" si="2"/>
        <v>Mobiles&amp;Accessories</v>
      </c>
      <c r="F584" s="1">
        <v>139.0</v>
      </c>
      <c r="G584" s="1">
        <v>499.0</v>
      </c>
      <c r="H584" s="6">
        <f t="shared" si="3"/>
        <v>0.7214428858</v>
      </c>
      <c r="I584" s="3">
        <f>IFERROR(__xludf.DUMMYFUNCTION("GOOGLEFINANCE(""CURRENCY:INRBRL"")*F584"),8.46529253029)</f>
        <v>8.46529253</v>
      </c>
      <c r="J584" s="1">
        <v>4.5</v>
      </c>
      <c r="K584" s="1">
        <v>4971.0</v>
      </c>
      <c r="L584" s="1" t="s">
        <v>2248</v>
      </c>
      <c r="M584" s="7" t="s">
        <v>2249</v>
      </c>
    </row>
    <row r="585">
      <c r="A585" s="1" t="s">
        <v>2250</v>
      </c>
      <c r="B585" s="1" t="s">
        <v>2251</v>
      </c>
      <c r="C585" s="1" t="s">
        <v>1810</v>
      </c>
      <c r="D585" s="1" t="str">
        <f t="shared" si="1"/>
        <v>Electronics</v>
      </c>
      <c r="E585" s="1" t="str">
        <f t="shared" si="2"/>
        <v>Mobiles&amp;Accessories</v>
      </c>
      <c r="F585" s="5">
        <v>2599.0</v>
      </c>
      <c r="G585" s="5">
        <v>6999.0</v>
      </c>
      <c r="H585" s="6">
        <f t="shared" si="3"/>
        <v>0.6286612373</v>
      </c>
      <c r="I585" s="3">
        <f>IFERROR(__xludf.DUMMYFUNCTION("GOOGLEFINANCE(""CURRENCY:INRBRL"")*F585"),158.28269990088998)</f>
        <v>158.2826999</v>
      </c>
      <c r="J585" s="1">
        <v>4.51</v>
      </c>
      <c r="K585" s="1">
        <v>1526.0</v>
      </c>
      <c r="L585" s="1" t="s">
        <v>2252</v>
      </c>
      <c r="M585" s="7" t="s">
        <v>2253</v>
      </c>
    </row>
    <row r="586">
      <c r="A586" s="1" t="s">
        <v>2254</v>
      </c>
      <c r="B586" s="1" t="s">
        <v>2255</v>
      </c>
      <c r="C586" s="1" t="s">
        <v>1412</v>
      </c>
      <c r="D586" s="1" t="str">
        <f t="shared" si="1"/>
        <v>Electronics</v>
      </c>
      <c r="E586" s="1" t="str">
        <f t="shared" si="2"/>
        <v>Headphones,Earbuds&amp;Accessories</v>
      </c>
      <c r="F586" s="1">
        <v>365.0</v>
      </c>
      <c r="G586" s="1">
        <v>999.0</v>
      </c>
      <c r="H586" s="6">
        <f t="shared" si="3"/>
        <v>0.6346346346</v>
      </c>
      <c r="I586" s="3">
        <f>IFERROR(__xludf.DUMMYFUNCTION("GOOGLEFINANCE(""CURRENCY:INRBRL"")*F586"),22.22900556515)</f>
        <v>22.22900557</v>
      </c>
      <c r="J586" s="1">
        <v>4.49</v>
      </c>
      <c r="K586" s="1">
        <v>363711.0</v>
      </c>
      <c r="L586" s="1" t="s">
        <v>1605</v>
      </c>
      <c r="M586" s="7" t="s">
        <v>2256</v>
      </c>
    </row>
    <row r="587">
      <c r="A587" s="1" t="s">
        <v>2257</v>
      </c>
      <c r="B587" s="1" t="s">
        <v>2258</v>
      </c>
      <c r="C587" s="1" t="s">
        <v>1412</v>
      </c>
      <c r="D587" s="1" t="str">
        <f t="shared" si="1"/>
        <v>Electronics</v>
      </c>
      <c r="E587" s="1" t="str">
        <f t="shared" si="2"/>
        <v>Headphones,Earbuds&amp;Accessories</v>
      </c>
      <c r="F587" s="5">
        <v>1499.0</v>
      </c>
      <c r="G587" s="5">
        <v>4499.0</v>
      </c>
      <c r="H587" s="6">
        <f t="shared" si="3"/>
        <v>0.6668148477</v>
      </c>
      <c r="I587" s="3">
        <f>IFERROR(__xludf.DUMMYFUNCTION("GOOGLEFINANCE(""CURRENCY:INRBRL"")*F587"),91.29117627989)</f>
        <v>91.29117628</v>
      </c>
      <c r="J587" s="1">
        <v>4.52</v>
      </c>
      <c r="K587" s="1">
        <v>136954.0</v>
      </c>
      <c r="L587" s="1" t="s">
        <v>2259</v>
      </c>
      <c r="M587" s="7" t="s">
        <v>2260</v>
      </c>
    </row>
    <row r="588">
      <c r="A588" s="1" t="s">
        <v>1360</v>
      </c>
      <c r="B588" s="1" t="s">
        <v>1361</v>
      </c>
      <c r="C588" s="1" t="s">
        <v>1357</v>
      </c>
      <c r="D588" s="1" t="str">
        <f t="shared" si="1"/>
        <v>Electronics</v>
      </c>
      <c r="E588" s="1" t="str">
        <f t="shared" si="2"/>
        <v>WearableTechnology</v>
      </c>
      <c r="F588" s="5">
        <v>1998.0</v>
      </c>
      <c r="G588" s="5">
        <v>9999.0</v>
      </c>
      <c r="H588" s="6">
        <f t="shared" si="3"/>
        <v>0.800180018</v>
      </c>
      <c r="I588" s="3">
        <f>IFERROR(__xludf.DUMMYFUNCTION("GOOGLEFINANCE(""CURRENCY:INRBRL"")*F588"),121.68096744978)</f>
        <v>121.6809674</v>
      </c>
      <c r="J588" s="1">
        <v>4.5</v>
      </c>
      <c r="K588" s="1">
        <v>27709.0</v>
      </c>
      <c r="L588" s="1" t="s">
        <v>1362</v>
      </c>
      <c r="M588" s="7" t="s">
        <v>2261</v>
      </c>
    </row>
    <row r="589">
      <c r="A589" s="1" t="s">
        <v>1364</v>
      </c>
      <c r="B589" s="1" t="s">
        <v>1365</v>
      </c>
      <c r="C589" s="1" t="s">
        <v>1357</v>
      </c>
      <c r="D589" s="1" t="str">
        <f t="shared" si="1"/>
        <v>Electronics</v>
      </c>
      <c r="E589" s="1" t="str">
        <f t="shared" si="2"/>
        <v>WearableTechnology</v>
      </c>
      <c r="F589" s="5">
        <v>1799.0</v>
      </c>
      <c r="G589" s="5">
        <v>7990.0</v>
      </c>
      <c r="H589" s="6">
        <f t="shared" si="3"/>
        <v>0.7748435544</v>
      </c>
      <c r="I589" s="3">
        <f>IFERROR(__xludf.DUMMYFUNCTION("GOOGLEFINANCE(""CURRENCY:INRBRL"")*F589"),109.56159181289)</f>
        <v>109.5615918</v>
      </c>
      <c r="J589" s="1">
        <v>4.51</v>
      </c>
      <c r="K589" s="1">
        <v>17833.0</v>
      </c>
      <c r="L589" s="1" t="s">
        <v>1366</v>
      </c>
      <c r="M589" s="7" t="s">
        <v>2262</v>
      </c>
    </row>
    <row r="590">
      <c r="A590" s="1" t="s">
        <v>2263</v>
      </c>
      <c r="B590" s="1" t="s">
        <v>2264</v>
      </c>
      <c r="C590" s="1" t="s">
        <v>2265</v>
      </c>
      <c r="D590" s="1" t="str">
        <f t="shared" si="1"/>
        <v>Computers&amp;Accessories</v>
      </c>
      <c r="E590" s="1" t="str">
        <f t="shared" si="2"/>
        <v>ExternalDevices&amp;DataStorage</v>
      </c>
      <c r="F590" s="1">
        <v>289.0</v>
      </c>
      <c r="G590" s="1">
        <v>650.0</v>
      </c>
      <c r="H590" s="6">
        <f t="shared" si="3"/>
        <v>0.5553846154</v>
      </c>
      <c r="I590" s="3">
        <f>IFERROR(__xludf.DUMMYFUNCTION("GOOGLEFINANCE(""CURRENCY:INRBRL"")*F590"),17.60050029679)</f>
        <v>17.6005003</v>
      </c>
      <c r="J590" s="1">
        <v>4.5</v>
      </c>
      <c r="K590" s="1">
        <v>253105.0</v>
      </c>
      <c r="L590" s="1" t="s">
        <v>2266</v>
      </c>
      <c r="M590" s="7" t="s">
        <v>2267</v>
      </c>
    </row>
    <row r="591">
      <c r="A591" s="1" t="s">
        <v>2268</v>
      </c>
      <c r="B591" s="1" t="s">
        <v>2269</v>
      </c>
      <c r="C591" s="1" t="s">
        <v>2270</v>
      </c>
      <c r="D591" s="1" t="str">
        <f t="shared" si="1"/>
        <v>Computers&amp;Accessories</v>
      </c>
      <c r="E591" s="1" t="str">
        <f t="shared" si="2"/>
        <v>Accessories&amp;Peripherals</v>
      </c>
      <c r="F591" s="1">
        <v>599.0</v>
      </c>
      <c r="G591" s="1">
        <v>895.0</v>
      </c>
      <c r="H591" s="6">
        <f t="shared" si="3"/>
        <v>0.330726257</v>
      </c>
      <c r="I591" s="3">
        <f>IFERROR(__xludf.DUMMYFUNCTION("GOOGLEFINANCE(""CURRENCY:INRBRL"")*F591"),36.479929680889995)</f>
        <v>36.47992968</v>
      </c>
      <c r="J591" s="1">
        <v>4.5</v>
      </c>
      <c r="K591" s="1">
        <v>61314.0</v>
      </c>
      <c r="L591" s="1" t="s">
        <v>2271</v>
      </c>
      <c r="M591" s="7" t="s">
        <v>2272</v>
      </c>
    </row>
    <row r="592">
      <c r="A592" s="1" t="s">
        <v>2273</v>
      </c>
      <c r="B592" s="1" t="s">
        <v>2274</v>
      </c>
      <c r="C592" s="1" t="s">
        <v>2275</v>
      </c>
      <c r="D592" s="1" t="str">
        <f t="shared" si="1"/>
        <v>Computers&amp;Accessories</v>
      </c>
      <c r="E592" s="1" t="str">
        <f t="shared" si="2"/>
        <v>Accessories&amp;Peripherals</v>
      </c>
      <c r="F592" s="1">
        <v>217.0</v>
      </c>
      <c r="G592" s="1">
        <v>237.0</v>
      </c>
      <c r="H592" s="6">
        <f t="shared" si="3"/>
        <v>0.08438818565</v>
      </c>
      <c r="I592" s="3">
        <f>IFERROR(__xludf.DUMMYFUNCTION("GOOGLEFINANCE(""CURRENCY:INRBRL"")*F592"),13.21560056887)</f>
        <v>13.21560057</v>
      </c>
      <c r="J592" s="1">
        <v>4.51</v>
      </c>
      <c r="K592" s="1">
        <v>7354.0</v>
      </c>
      <c r="L592" s="1" t="s">
        <v>2276</v>
      </c>
      <c r="M592" s="7" t="s">
        <v>2277</v>
      </c>
    </row>
    <row r="593">
      <c r="A593" s="1" t="s">
        <v>2278</v>
      </c>
      <c r="B593" s="1" t="s">
        <v>2279</v>
      </c>
      <c r="C593" s="1" t="s">
        <v>1412</v>
      </c>
      <c r="D593" s="1" t="str">
        <f t="shared" si="1"/>
        <v>Electronics</v>
      </c>
      <c r="E593" s="1" t="str">
        <f t="shared" si="2"/>
        <v>Headphones,Earbuds&amp;Accessories</v>
      </c>
      <c r="F593" s="5">
        <v>1299.0</v>
      </c>
      <c r="G593" s="5">
        <v>2990.0</v>
      </c>
      <c r="H593" s="6">
        <f t="shared" si="3"/>
        <v>0.5655518395</v>
      </c>
      <c r="I593" s="3">
        <f>IFERROR(__xludf.DUMMYFUNCTION("GOOGLEFINANCE(""CURRENCY:INRBRL"")*F593"),79.11089925789)</f>
        <v>79.11089926</v>
      </c>
      <c r="J593" s="1">
        <v>4.51</v>
      </c>
      <c r="K593" s="1">
        <v>180998.0</v>
      </c>
      <c r="L593" s="1" t="s">
        <v>2280</v>
      </c>
      <c r="M593" s="7" t="s">
        <v>2281</v>
      </c>
    </row>
    <row r="594">
      <c r="A594" s="1" t="s">
        <v>2282</v>
      </c>
      <c r="B594" s="1" t="s">
        <v>2283</v>
      </c>
      <c r="C594" s="1" t="s">
        <v>2284</v>
      </c>
      <c r="D594" s="1" t="str">
        <f t="shared" si="1"/>
        <v>Computers&amp;Accessories</v>
      </c>
      <c r="E594" s="1" t="str">
        <f t="shared" si="2"/>
        <v>Accessories&amp;Peripherals</v>
      </c>
      <c r="F594" s="1">
        <v>263.0</v>
      </c>
      <c r="G594" s="1">
        <v>699.0</v>
      </c>
      <c r="H594" s="6">
        <f t="shared" si="3"/>
        <v>0.6237482117</v>
      </c>
      <c r="I594" s="3">
        <f>IFERROR(__xludf.DUMMYFUNCTION("GOOGLEFINANCE(""CURRENCY:INRBRL"")*F594"),16.01706428393)</f>
        <v>16.01706428</v>
      </c>
      <c r="J594" s="1">
        <v>4.5</v>
      </c>
      <c r="K594" s="1">
        <v>690.0</v>
      </c>
      <c r="L594" s="1" t="s">
        <v>2285</v>
      </c>
      <c r="M594" s="7" t="s">
        <v>2286</v>
      </c>
    </row>
    <row r="595">
      <c r="A595" s="1" t="s">
        <v>1392</v>
      </c>
      <c r="B595" s="1" t="s">
        <v>1393</v>
      </c>
      <c r="C595" s="1" t="s">
        <v>1394</v>
      </c>
      <c r="D595" s="1" t="str">
        <f t="shared" si="1"/>
        <v>Electronics</v>
      </c>
      <c r="E595" s="1" t="str">
        <f t="shared" si="2"/>
        <v>Accessories</v>
      </c>
      <c r="F595" s="1">
        <v>569.0</v>
      </c>
      <c r="G595" s="1">
        <v>999.0</v>
      </c>
      <c r="H595" s="6">
        <f t="shared" si="3"/>
        <v>0.4304304304</v>
      </c>
      <c r="I595" s="3">
        <f>IFERROR(__xludf.DUMMYFUNCTION("GOOGLEFINANCE(""CURRENCY:INRBRL"")*F595"),34.652888127589996)</f>
        <v>34.65288813</v>
      </c>
      <c r="J595" s="1">
        <v>4.5</v>
      </c>
      <c r="K595" s="1">
        <v>67262.0</v>
      </c>
      <c r="L595" s="1" t="s">
        <v>1395</v>
      </c>
      <c r="M595" s="7" t="s">
        <v>2287</v>
      </c>
    </row>
    <row r="596">
      <c r="A596" s="1" t="s">
        <v>1397</v>
      </c>
      <c r="B596" s="1" t="s">
        <v>1398</v>
      </c>
      <c r="C596" s="1" t="s">
        <v>1357</v>
      </c>
      <c r="D596" s="1" t="str">
        <f t="shared" si="1"/>
        <v>Electronics</v>
      </c>
      <c r="E596" s="1" t="str">
        <f t="shared" si="2"/>
        <v>WearableTechnology</v>
      </c>
      <c r="F596" s="5">
        <v>1999.0</v>
      </c>
      <c r="G596" s="5">
        <v>4999.0</v>
      </c>
      <c r="H596" s="6">
        <f t="shared" si="3"/>
        <v>0.600120024</v>
      </c>
      <c r="I596" s="3">
        <f>IFERROR(__xludf.DUMMYFUNCTION("GOOGLEFINANCE(""CURRENCY:INRBRL"")*F596"),121.74186883489)</f>
        <v>121.7418688</v>
      </c>
      <c r="J596" s="1">
        <v>4.49</v>
      </c>
      <c r="K596" s="1">
        <v>10689.0</v>
      </c>
      <c r="L596" s="1" t="s">
        <v>1399</v>
      </c>
      <c r="M596" s="7" t="s">
        <v>2288</v>
      </c>
    </row>
    <row r="597">
      <c r="A597" s="1" t="s">
        <v>2289</v>
      </c>
      <c r="B597" s="1" t="s">
        <v>2290</v>
      </c>
      <c r="C597" s="1" t="s">
        <v>1412</v>
      </c>
      <c r="D597" s="1" t="str">
        <f t="shared" si="1"/>
        <v>Electronics</v>
      </c>
      <c r="E597" s="1" t="str">
        <f t="shared" si="2"/>
        <v>Headphones,Earbuds&amp;Accessories</v>
      </c>
      <c r="F597" s="5">
        <v>1399.0</v>
      </c>
      <c r="G597" s="5">
        <v>3999.0</v>
      </c>
      <c r="H597" s="6">
        <f t="shared" si="3"/>
        <v>0.6501625406</v>
      </c>
      <c r="I597" s="3">
        <f>IFERROR(__xludf.DUMMYFUNCTION("GOOGLEFINANCE(""CURRENCY:INRBRL"")*F597"),85.20103776889)</f>
        <v>85.20103777</v>
      </c>
      <c r="J597" s="1">
        <v>4.49</v>
      </c>
      <c r="K597" s="1">
        <v>141841.0</v>
      </c>
      <c r="L597" s="1" t="s">
        <v>2291</v>
      </c>
      <c r="M597" s="7" t="s">
        <v>2292</v>
      </c>
    </row>
    <row r="598">
      <c r="A598" s="1" t="s">
        <v>2293</v>
      </c>
      <c r="B598" s="1" t="s">
        <v>2294</v>
      </c>
      <c r="C598" s="1" t="s">
        <v>2295</v>
      </c>
      <c r="D598" s="1" t="str">
        <f t="shared" si="1"/>
        <v>Computers&amp;Accessories</v>
      </c>
      <c r="E598" s="1" t="str">
        <f t="shared" si="2"/>
        <v>Accessories&amp;Peripherals</v>
      </c>
      <c r="F598" s="1">
        <v>349.0</v>
      </c>
      <c r="G598" s="5">
        <v>1499.0</v>
      </c>
      <c r="H598" s="6">
        <f t="shared" si="3"/>
        <v>0.7671781187</v>
      </c>
      <c r="I598" s="3">
        <f>IFERROR(__xludf.DUMMYFUNCTION("GOOGLEFINANCE(""CURRENCY:INRBRL"")*F598"),21.25458340339)</f>
        <v>21.2545834</v>
      </c>
      <c r="J598" s="1">
        <v>4.5</v>
      </c>
      <c r="K598" s="1">
        <v>24791.0</v>
      </c>
      <c r="L598" s="1" t="s">
        <v>2296</v>
      </c>
      <c r="M598" s="7" t="s">
        <v>2297</v>
      </c>
    </row>
    <row r="599">
      <c r="A599" s="1" t="s">
        <v>2298</v>
      </c>
      <c r="B599" s="1" t="s">
        <v>2299</v>
      </c>
      <c r="C599" s="1" t="s">
        <v>1412</v>
      </c>
      <c r="D599" s="1" t="str">
        <f t="shared" si="1"/>
        <v>Electronics</v>
      </c>
      <c r="E599" s="1" t="str">
        <f t="shared" si="2"/>
        <v>Headphones,Earbuds&amp;Accessories</v>
      </c>
      <c r="F599" s="1">
        <v>149.0</v>
      </c>
      <c r="G599" s="1">
        <v>399.0</v>
      </c>
      <c r="H599" s="6">
        <f t="shared" si="3"/>
        <v>0.626566416</v>
      </c>
      <c r="I599" s="3">
        <f>IFERROR(__xludf.DUMMYFUNCTION("GOOGLEFINANCE(""CURRENCY:INRBRL"")*F599"),9.07430638139)</f>
        <v>9.074306381</v>
      </c>
      <c r="J599" s="1">
        <v>4.5</v>
      </c>
      <c r="K599" s="1">
        <v>21764.0</v>
      </c>
      <c r="L599" s="1" t="s">
        <v>2300</v>
      </c>
      <c r="M599" s="7" t="s">
        <v>2301</v>
      </c>
    </row>
    <row r="600">
      <c r="A600" s="1" t="s">
        <v>1410</v>
      </c>
      <c r="B600" s="1" t="s">
        <v>1411</v>
      </c>
      <c r="C600" s="1" t="s">
        <v>1412</v>
      </c>
      <c r="D600" s="1" t="str">
        <f t="shared" si="1"/>
        <v>Electronics</v>
      </c>
      <c r="E600" s="1" t="str">
        <f t="shared" si="2"/>
        <v>Headphones,Earbuds&amp;Accessories</v>
      </c>
      <c r="F600" s="1">
        <v>599.0</v>
      </c>
      <c r="G600" s="1">
        <v>999.0</v>
      </c>
      <c r="H600" s="6">
        <f t="shared" si="3"/>
        <v>0.4004004004</v>
      </c>
      <c r="I600" s="3">
        <f>IFERROR(__xludf.DUMMYFUNCTION("GOOGLEFINANCE(""CURRENCY:INRBRL"")*F600"),36.479929680889995)</f>
        <v>36.47992968</v>
      </c>
      <c r="J600" s="1">
        <v>4.49</v>
      </c>
      <c r="K600" s="1">
        <v>192587.0</v>
      </c>
      <c r="L600" s="1" t="s">
        <v>1413</v>
      </c>
      <c r="M600" s="7" t="s">
        <v>2302</v>
      </c>
    </row>
    <row r="601">
      <c r="A601" s="1" t="s">
        <v>2303</v>
      </c>
      <c r="B601" s="1" t="s">
        <v>2304</v>
      </c>
      <c r="C601" s="1" t="s">
        <v>2078</v>
      </c>
      <c r="D601" s="1" t="str">
        <f t="shared" si="1"/>
        <v>Electronics</v>
      </c>
      <c r="E601" s="1" t="str">
        <f t="shared" si="2"/>
        <v>Headphones,Earbuds&amp;Accessories</v>
      </c>
      <c r="F601" s="5">
        <v>1220.0</v>
      </c>
      <c r="G601" s="5">
        <v>3990.0</v>
      </c>
      <c r="H601" s="6">
        <f t="shared" si="3"/>
        <v>0.694235589</v>
      </c>
      <c r="I601" s="3">
        <f>IFERROR(__xludf.DUMMYFUNCTION("GOOGLEFINANCE(""CURRENCY:INRBRL"")*F601"),74.2996898342)</f>
        <v>74.29968983</v>
      </c>
      <c r="J601" s="1">
        <v>4.49</v>
      </c>
      <c r="K601" s="1">
        <v>1070151.0</v>
      </c>
      <c r="L601" s="1" t="s">
        <v>2305</v>
      </c>
      <c r="M601" s="7" t="s">
        <v>2306</v>
      </c>
    </row>
    <row r="602">
      <c r="A602" s="1" t="s">
        <v>1406</v>
      </c>
      <c r="B602" s="1" t="s">
        <v>1407</v>
      </c>
      <c r="C602" s="1" t="s">
        <v>1357</v>
      </c>
      <c r="D602" s="1" t="str">
        <f t="shared" si="1"/>
        <v>Electronics</v>
      </c>
      <c r="E602" s="1" t="str">
        <f t="shared" si="2"/>
        <v>WearableTechnology</v>
      </c>
      <c r="F602" s="5">
        <v>1499.0</v>
      </c>
      <c r="G602" s="5">
        <v>6990.0</v>
      </c>
      <c r="H602" s="6">
        <f t="shared" si="3"/>
        <v>0.7855507868</v>
      </c>
      <c r="I602" s="3">
        <f>IFERROR(__xludf.DUMMYFUNCTION("GOOGLEFINANCE(""CURRENCY:INRBRL"")*F602"),91.29117627989)</f>
        <v>91.29117628</v>
      </c>
      <c r="J602" s="1">
        <v>4.52</v>
      </c>
      <c r="K602" s="1">
        <v>21797.0</v>
      </c>
      <c r="L602" s="1" t="s">
        <v>1408</v>
      </c>
      <c r="M602" s="7" t="s">
        <v>2307</v>
      </c>
    </row>
    <row r="603">
      <c r="A603" s="1" t="s">
        <v>2308</v>
      </c>
      <c r="B603" s="1" t="s">
        <v>2309</v>
      </c>
      <c r="C603" s="1" t="s">
        <v>1412</v>
      </c>
      <c r="D603" s="1" t="str">
        <f t="shared" si="1"/>
        <v>Electronics</v>
      </c>
      <c r="E603" s="1" t="str">
        <f t="shared" si="2"/>
        <v>Headphones,Earbuds&amp;Accessories</v>
      </c>
      <c r="F603" s="1">
        <v>499.0</v>
      </c>
      <c r="G603" s="1">
        <v>999.0</v>
      </c>
      <c r="H603" s="6">
        <f t="shared" si="3"/>
        <v>0.5005005005</v>
      </c>
      <c r="I603" s="3">
        <f>IFERROR(__xludf.DUMMYFUNCTION("GOOGLEFINANCE(""CURRENCY:INRBRL"")*F603"),30.38979116989)</f>
        <v>30.38979117</v>
      </c>
      <c r="J603" s="1">
        <v>4.52</v>
      </c>
      <c r="K603" s="1">
        <v>92995.0</v>
      </c>
      <c r="L603" s="1" t="s">
        <v>2310</v>
      </c>
      <c r="M603" s="7" t="s">
        <v>2311</v>
      </c>
    </row>
    <row r="604">
      <c r="A604" s="1" t="s">
        <v>2312</v>
      </c>
      <c r="B604" s="1" t="s">
        <v>2313</v>
      </c>
      <c r="C604" s="1" t="s">
        <v>1631</v>
      </c>
      <c r="D604" s="1" t="str">
        <f t="shared" si="1"/>
        <v>Computers&amp;Accessories</v>
      </c>
      <c r="E604" s="1" t="str">
        <f t="shared" si="2"/>
        <v>Accessories&amp;Peripherals</v>
      </c>
      <c r="F604" s="1">
        <v>99.0</v>
      </c>
      <c r="G604" s="1">
        <v>999.0</v>
      </c>
      <c r="H604" s="6">
        <f t="shared" si="3"/>
        <v>0.9009009009</v>
      </c>
      <c r="I604" s="3">
        <f>IFERROR(__xludf.DUMMYFUNCTION("GOOGLEFINANCE(""CURRENCY:INRBRL"")*F604"),6.02923712589)</f>
        <v>6.029237126</v>
      </c>
      <c r="J604" s="1">
        <v>4.49</v>
      </c>
      <c r="K604" s="1">
        <v>8751.0</v>
      </c>
      <c r="L604" s="1" t="s">
        <v>2161</v>
      </c>
      <c r="M604" s="7" t="s">
        <v>2314</v>
      </c>
    </row>
    <row r="605">
      <c r="A605" s="1" t="s">
        <v>1427</v>
      </c>
      <c r="B605" s="1" t="s">
        <v>1428</v>
      </c>
      <c r="C605" s="1" t="s">
        <v>1429</v>
      </c>
      <c r="D605" s="1" t="str">
        <f t="shared" si="1"/>
        <v>Electronics</v>
      </c>
      <c r="E605" s="1" t="str">
        <f t="shared" si="2"/>
        <v>Mobiles&amp;Accessories</v>
      </c>
      <c r="F605" s="1">
        <v>349.0</v>
      </c>
      <c r="G605" s="5">
        <v>1299.0</v>
      </c>
      <c r="H605" s="6">
        <f t="shared" si="3"/>
        <v>0.7313317937</v>
      </c>
      <c r="I605" s="3">
        <f>IFERROR(__xludf.DUMMYFUNCTION("GOOGLEFINANCE(""CURRENCY:INRBRL"")*F605"),21.25458340339)</f>
        <v>21.2545834</v>
      </c>
      <c r="J605" s="1">
        <v>4.0</v>
      </c>
      <c r="K605" s="1">
        <v>14283.0</v>
      </c>
      <c r="L605" s="1" t="s">
        <v>1430</v>
      </c>
      <c r="M605" s="7" t="s">
        <v>2315</v>
      </c>
    </row>
    <row r="606">
      <c r="A606" s="1" t="s">
        <v>2316</v>
      </c>
      <c r="B606" s="1" t="s">
        <v>2317</v>
      </c>
      <c r="C606" s="1" t="s">
        <v>2265</v>
      </c>
      <c r="D606" s="1" t="str">
        <f t="shared" si="1"/>
        <v>Computers&amp;Accessories</v>
      </c>
      <c r="E606" s="1" t="str">
        <f t="shared" si="2"/>
        <v>ExternalDevices&amp;DataStorage</v>
      </c>
      <c r="F606" s="1">
        <v>475.0</v>
      </c>
      <c r="G606" s="5">
        <v>1499.0</v>
      </c>
      <c r="H606" s="6">
        <f t="shared" si="3"/>
        <v>0.6831220814</v>
      </c>
      <c r="I606" s="3">
        <f>IFERROR(__xludf.DUMMYFUNCTION("GOOGLEFINANCE(""CURRENCY:INRBRL"")*F606"),28.92815792725)</f>
        <v>28.92815793</v>
      </c>
      <c r="J606" s="1">
        <v>4.5</v>
      </c>
      <c r="K606" s="1">
        <v>64273.0</v>
      </c>
      <c r="L606" s="1" t="s">
        <v>2318</v>
      </c>
      <c r="M606" s="7" t="s">
        <v>2319</v>
      </c>
    </row>
    <row r="607">
      <c r="A607" s="1" t="s">
        <v>2320</v>
      </c>
      <c r="B607" s="1" t="s">
        <v>2321</v>
      </c>
      <c r="C607" s="1" t="s">
        <v>2270</v>
      </c>
      <c r="D607" s="1" t="str">
        <f t="shared" si="1"/>
        <v>Computers&amp;Accessories</v>
      </c>
      <c r="E607" s="1" t="str">
        <f t="shared" si="2"/>
        <v>Accessories&amp;Peripherals</v>
      </c>
      <c r="F607" s="1">
        <v>269.0</v>
      </c>
      <c r="G607" s="1">
        <v>649.0</v>
      </c>
      <c r="H607" s="6">
        <f t="shared" si="3"/>
        <v>0.5855161787</v>
      </c>
      <c r="I607" s="3">
        <f>IFERROR(__xludf.DUMMYFUNCTION("GOOGLEFINANCE(""CURRENCY:INRBRL"")*F607"),16.38247259459)</f>
        <v>16.38247259</v>
      </c>
      <c r="J607" s="1">
        <v>4.5</v>
      </c>
      <c r="K607" s="1">
        <v>54315.0</v>
      </c>
      <c r="L607" s="1" t="s">
        <v>2322</v>
      </c>
      <c r="M607" s="7" t="s">
        <v>2323</v>
      </c>
    </row>
    <row r="608">
      <c r="A608" s="1" t="s">
        <v>2324</v>
      </c>
      <c r="B608" s="1" t="s">
        <v>2325</v>
      </c>
      <c r="C608" s="1" t="s">
        <v>2270</v>
      </c>
      <c r="D608" s="1" t="str">
        <f t="shared" si="1"/>
        <v>Computers&amp;Accessories</v>
      </c>
      <c r="E608" s="1" t="str">
        <f t="shared" si="2"/>
        <v>Accessories&amp;Peripherals</v>
      </c>
      <c r="F608" s="1">
        <v>299.0</v>
      </c>
      <c r="G608" s="1">
        <v>599.0</v>
      </c>
      <c r="H608" s="6">
        <f t="shared" si="3"/>
        <v>0.5008347245</v>
      </c>
      <c r="I608" s="3">
        <f>IFERROR(__xludf.DUMMYFUNCTION("GOOGLEFINANCE(""CURRENCY:INRBRL"")*F608"),18.209514147889998)</f>
        <v>18.20951415</v>
      </c>
      <c r="J608" s="1">
        <v>4.49</v>
      </c>
      <c r="K608" s="1">
        <v>1597.0</v>
      </c>
      <c r="L608" s="1" t="s">
        <v>2326</v>
      </c>
      <c r="M608" s="7" t="s">
        <v>2327</v>
      </c>
    </row>
    <row r="609">
      <c r="A609" s="1" t="s">
        <v>1460</v>
      </c>
      <c r="B609" s="1" t="s">
        <v>1461</v>
      </c>
      <c r="C609" s="1" t="s">
        <v>1357</v>
      </c>
      <c r="D609" s="1" t="str">
        <f t="shared" si="1"/>
        <v>Electronics</v>
      </c>
      <c r="E609" s="1" t="str">
        <f t="shared" si="2"/>
        <v>WearableTechnology</v>
      </c>
      <c r="F609" s="5">
        <v>1599.0</v>
      </c>
      <c r="G609" s="5">
        <v>3999.0</v>
      </c>
      <c r="H609" s="6">
        <f t="shared" si="3"/>
        <v>0.6001500375</v>
      </c>
      <c r="I609" s="3">
        <f>IFERROR(__xludf.DUMMYFUNCTION("GOOGLEFINANCE(""CURRENCY:INRBRL"")*F609"),97.38131479089)</f>
        <v>97.38131479</v>
      </c>
      <c r="J609" s="1">
        <v>4.0</v>
      </c>
      <c r="K609" s="1">
        <v>30254.0</v>
      </c>
      <c r="L609" s="1" t="s">
        <v>1462</v>
      </c>
      <c r="M609" s="7" t="s">
        <v>2328</v>
      </c>
    </row>
    <row r="610">
      <c r="A610" s="1" t="s">
        <v>1464</v>
      </c>
      <c r="B610" s="1" t="s">
        <v>1465</v>
      </c>
      <c r="C610" s="1" t="s">
        <v>1357</v>
      </c>
      <c r="D610" s="1" t="str">
        <f t="shared" si="1"/>
        <v>Electronics</v>
      </c>
      <c r="E610" s="1" t="str">
        <f t="shared" si="2"/>
        <v>WearableTechnology</v>
      </c>
      <c r="F610" s="5">
        <v>1499.0</v>
      </c>
      <c r="G610" s="5">
        <v>7999.0</v>
      </c>
      <c r="H610" s="6">
        <f t="shared" si="3"/>
        <v>0.8126015752</v>
      </c>
      <c r="I610" s="3">
        <f>IFERROR(__xludf.DUMMYFUNCTION("GOOGLEFINANCE(""CURRENCY:INRBRL"")*F610"),91.29117627989)</f>
        <v>91.29117628</v>
      </c>
      <c r="J610" s="1">
        <v>4.5</v>
      </c>
      <c r="K610" s="1">
        <v>22638.0</v>
      </c>
      <c r="L610" s="1" t="s">
        <v>1466</v>
      </c>
      <c r="M610" s="7" t="s">
        <v>2329</v>
      </c>
    </row>
    <row r="611">
      <c r="A611" s="1" t="s">
        <v>2330</v>
      </c>
      <c r="B611" s="1" t="s">
        <v>2331</v>
      </c>
      <c r="C611" s="1" t="s">
        <v>1412</v>
      </c>
      <c r="D611" s="1" t="str">
        <f t="shared" si="1"/>
        <v>Electronics</v>
      </c>
      <c r="E611" s="1" t="str">
        <f t="shared" si="2"/>
        <v>Headphones,Earbuds&amp;Accessories</v>
      </c>
      <c r="F611" s="1">
        <v>329.0</v>
      </c>
      <c r="G611" s="1">
        <v>999.0</v>
      </c>
      <c r="H611" s="6">
        <f t="shared" si="3"/>
        <v>0.6706706707</v>
      </c>
      <c r="I611" s="3">
        <f>IFERROR(__xludf.DUMMYFUNCTION("GOOGLEFINANCE(""CURRENCY:INRBRL"")*F611"),20.03655570119)</f>
        <v>20.0365557</v>
      </c>
      <c r="J611" s="1">
        <v>4.52</v>
      </c>
      <c r="K611" s="1">
        <v>77027.0</v>
      </c>
      <c r="L611" s="1" t="s">
        <v>2332</v>
      </c>
      <c r="M611" s="7" t="s">
        <v>2333</v>
      </c>
    </row>
    <row r="612">
      <c r="A612" s="1" t="s">
        <v>2334</v>
      </c>
      <c r="B612" s="1" t="s">
        <v>2335</v>
      </c>
      <c r="C612" s="1" t="s">
        <v>2336</v>
      </c>
      <c r="D612" s="1" t="str">
        <f t="shared" si="1"/>
        <v>Computers&amp;Accessories</v>
      </c>
      <c r="E612" s="1" t="str">
        <f t="shared" si="2"/>
        <v>Accessories&amp;Peripherals</v>
      </c>
      <c r="F612" s="1">
        <v>549.0</v>
      </c>
      <c r="G612" s="5">
        <v>1799.0</v>
      </c>
      <c r="H612" s="6">
        <f t="shared" si="3"/>
        <v>0.6948304614</v>
      </c>
      <c r="I612" s="3">
        <f>IFERROR(__xludf.DUMMYFUNCTION("GOOGLEFINANCE(""CURRENCY:INRBRL"")*F612"),33.43486042539)</f>
        <v>33.43486043</v>
      </c>
      <c r="J612" s="1">
        <v>4.5</v>
      </c>
      <c r="K612" s="1">
        <v>28829.0</v>
      </c>
      <c r="L612" s="1" t="s">
        <v>2337</v>
      </c>
      <c r="M612" s="7" t="s">
        <v>2338</v>
      </c>
    </row>
    <row r="613">
      <c r="A613" s="1" t="s">
        <v>1483</v>
      </c>
      <c r="B613" s="1" t="s">
        <v>1484</v>
      </c>
      <c r="C613" s="1" t="s">
        <v>1357</v>
      </c>
      <c r="D613" s="1" t="str">
        <f t="shared" si="1"/>
        <v>Electronics</v>
      </c>
      <c r="E613" s="1" t="str">
        <f t="shared" si="2"/>
        <v>WearableTechnology</v>
      </c>
      <c r="F613" s="5">
        <v>2199.0</v>
      </c>
      <c r="G613" s="5">
        <v>9999.0</v>
      </c>
      <c r="H613" s="6">
        <f t="shared" si="3"/>
        <v>0.7800780078</v>
      </c>
      <c r="I613" s="3">
        <f>IFERROR(__xludf.DUMMYFUNCTION("GOOGLEFINANCE(""CURRENCY:INRBRL"")*F613"),133.92214585688998)</f>
        <v>133.9221459</v>
      </c>
      <c r="J613" s="1">
        <v>4.5</v>
      </c>
      <c r="K613" s="1">
        <v>29478.0</v>
      </c>
      <c r="L613" s="1" t="s">
        <v>1485</v>
      </c>
      <c r="M613" s="7" t="s">
        <v>2339</v>
      </c>
    </row>
    <row r="614">
      <c r="A614" s="1" t="s">
        <v>2340</v>
      </c>
      <c r="B614" s="1" t="s">
        <v>2341</v>
      </c>
      <c r="C614" s="1" t="s">
        <v>2270</v>
      </c>
      <c r="D614" s="1" t="str">
        <f t="shared" si="1"/>
        <v>Computers&amp;Accessories</v>
      </c>
      <c r="E614" s="1" t="str">
        <f t="shared" si="2"/>
        <v>Accessories&amp;Peripherals</v>
      </c>
      <c r="F614" s="1">
        <v>299.0</v>
      </c>
      <c r="G614" s="1">
        <v>650.0</v>
      </c>
      <c r="H614" s="6">
        <f t="shared" si="3"/>
        <v>0.54</v>
      </c>
      <c r="I614" s="3">
        <f>IFERROR(__xludf.DUMMYFUNCTION("GOOGLEFINANCE(""CURRENCY:INRBRL"")*F614"),18.209514147889998)</f>
        <v>18.20951415</v>
      </c>
      <c r="J614" s="1">
        <v>4.51</v>
      </c>
      <c r="K614" s="1">
        <v>33176.0</v>
      </c>
      <c r="L614" s="1" t="s">
        <v>2342</v>
      </c>
      <c r="M614" s="7" t="s">
        <v>2343</v>
      </c>
    </row>
    <row r="615">
      <c r="A615" s="1" t="s">
        <v>2344</v>
      </c>
      <c r="B615" s="1" t="s">
        <v>2345</v>
      </c>
      <c r="C615" s="1" t="s">
        <v>2346</v>
      </c>
      <c r="D615" s="1" t="str">
        <f t="shared" si="1"/>
        <v>MusicalInstruments</v>
      </c>
      <c r="E615" s="1" t="str">
        <f t="shared" si="2"/>
        <v>Microphones</v>
      </c>
      <c r="F615" s="1">
        <v>798.0</v>
      </c>
      <c r="G615" s="5">
        <v>1999.0</v>
      </c>
      <c r="H615" s="6">
        <f t="shared" si="3"/>
        <v>0.6008004002</v>
      </c>
      <c r="I615" s="3">
        <f>IFERROR(__xludf.DUMMYFUNCTION("GOOGLEFINANCE(""CURRENCY:INRBRL"")*F615"),48.59930531778)</f>
        <v>48.59930532</v>
      </c>
      <c r="J615" s="1">
        <v>4.0</v>
      </c>
      <c r="K615" s="1">
        <v>68664.0</v>
      </c>
      <c r="L615" s="1" t="s">
        <v>2347</v>
      </c>
      <c r="M615" s="7" t="s">
        <v>2348</v>
      </c>
    </row>
    <row r="616">
      <c r="A616" s="1" t="s">
        <v>20</v>
      </c>
      <c r="B616" s="1" t="s">
        <v>21</v>
      </c>
      <c r="C616" s="1" t="s">
        <v>22</v>
      </c>
      <c r="D616" s="1" t="str">
        <f t="shared" si="1"/>
        <v>Computers&amp;Accessories</v>
      </c>
      <c r="E616" s="1" t="str">
        <f t="shared" si="2"/>
        <v>Accessories&amp;Peripherals</v>
      </c>
      <c r="F616" s="1">
        <v>399.0</v>
      </c>
      <c r="G616" s="5">
        <v>1099.0</v>
      </c>
      <c r="H616" s="6">
        <f t="shared" si="3"/>
        <v>0.6369426752</v>
      </c>
      <c r="I616" s="3">
        <f>IFERROR(__xludf.DUMMYFUNCTION("GOOGLEFINANCE(""CURRENCY:INRBRL"")*F616"),24.29965265889)</f>
        <v>24.29965266</v>
      </c>
      <c r="J616" s="1">
        <v>4.5</v>
      </c>
      <c r="K616" s="1">
        <v>24269.0</v>
      </c>
      <c r="L616" s="1" t="s">
        <v>23</v>
      </c>
      <c r="M616" s="7" t="s">
        <v>2349</v>
      </c>
    </row>
    <row r="617">
      <c r="A617" s="1" t="s">
        <v>2350</v>
      </c>
      <c r="B617" s="1" t="s">
        <v>2351</v>
      </c>
      <c r="C617" s="1" t="s">
        <v>2352</v>
      </c>
      <c r="D617" s="1" t="str">
        <f t="shared" si="1"/>
        <v>Electronics</v>
      </c>
      <c r="E617" s="1" t="str">
        <f t="shared" si="2"/>
        <v>GeneralPurposeBatteries&amp;BatteryChargers</v>
      </c>
      <c r="F617" s="1">
        <v>266.0</v>
      </c>
      <c r="G617" s="1">
        <v>315.0</v>
      </c>
      <c r="H617" s="6">
        <f t="shared" si="3"/>
        <v>0.1555555556</v>
      </c>
      <c r="I617" s="3">
        <f>IFERROR(__xludf.DUMMYFUNCTION("GOOGLEFINANCE(""CURRENCY:INRBRL"")*F617"),16.199768439259998)</f>
        <v>16.19976844</v>
      </c>
      <c r="J617" s="1">
        <v>4.51</v>
      </c>
      <c r="K617" s="1">
        <v>2803.0</v>
      </c>
      <c r="L617" s="1" t="s">
        <v>2353</v>
      </c>
      <c r="M617" s="7" t="s">
        <v>2354</v>
      </c>
    </row>
    <row r="618">
      <c r="A618" s="1" t="s">
        <v>2355</v>
      </c>
      <c r="B618" s="1" t="s">
        <v>2356</v>
      </c>
      <c r="C618" s="1" t="s">
        <v>2357</v>
      </c>
      <c r="D618" s="1" t="str">
        <f t="shared" si="1"/>
        <v>OfficeProducts</v>
      </c>
      <c r="E618" s="1" t="str">
        <f t="shared" si="2"/>
        <v>OfficePaperProducts</v>
      </c>
      <c r="F618" s="1">
        <v>50.0</v>
      </c>
      <c r="G618" s="1">
        <v>50.0</v>
      </c>
      <c r="H618" s="6">
        <f t="shared" si="3"/>
        <v>0</v>
      </c>
      <c r="I618" s="3">
        <f>IFERROR(__xludf.DUMMYFUNCTION("GOOGLEFINANCE(""CURRENCY:INRBRL"")*F618"),3.0450692555)</f>
        <v>3.045069256</v>
      </c>
      <c r="J618" s="1">
        <v>4.5</v>
      </c>
      <c r="K618" s="1">
        <v>5792.0</v>
      </c>
      <c r="L618" s="1" t="s">
        <v>2358</v>
      </c>
      <c r="M618" s="7" t="s">
        <v>2359</v>
      </c>
    </row>
    <row r="619">
      <c r="A619" s="1" t="s">
        <v>2360</v>
      </c>
      <c r="B619" s="1" t="s">
        <v>2361</v>
      </c>
      <c r="C619" s="1" t="s">
        <v>2362</v>
      </c>
      <c r="D619" s="1" t="str">
        <f t="shared" si="1"/>
        <v>Home&amp;Kitchen</v>
      </c>
      <c r="E619" s="1" t="str">
        <f t="shared" si="2"/>
        <v>CraftMaterials</v>
      </c>
      <c r="F619" s="1">
        <v>130.0</v>
      </c>
      <c r="G619" s="1">
        <v>165.0</v>
      </c>
      <c r="H619" s="6">
        <f t="shared" si="3"/>
        <v>0.2121212121</v>
      </c>
      <c r="I619" s="3">
        <f>IFERROR(__xludf.DUMMYFUNCTION("GOOGLEFINANCE(""CURRENCY:INRBRL"")*F619"),7.9171800643)</f>
        <v>7.917180064</v>
      </c>
      <c r="J619" s="1">
        <v>4.52</v>
      </c>
      <c r="K619" s="1">
        <v>14778.0</v>
      </c>
      <c r="L619" s="1" t="s">
        <v>2363</v>
      </c>
      <c r="M619" s="7" t="s">
        <v>2364</v>
      </c>
    </row>
    <row r="620">
      <c r="A620" s="1" t="s">
        <v>2365</v>
      </c>
      <c r="B620" s="1" t="s">
        <v>2366</v>
      </c>
      <c r="C620" s="1" t="s">
        <v>1412</v>
      </c>
      <c r="D620" s="1" t="str">
        <f t="shared" si="1"/>
        <v>Electronics</v>
      </c>
      <c r="E620" s="1" t="str">
        <f t="shared" si="2"/>
        <v>Headphones,Earbuds&amp;Accessories</v>
      </c>
      <c r="F620" s="1">
        <v>449.0</v>
      </c>
      <c r="G620" s="5">
        <v>1299.0</v>
      </c>
      <c r="H620" s="6">
        <f t="shared" si="3"/>
        <v>0.6543494996</v>
      </c>
      <c r="I620" s="3">
        <f>IFERROR(__xludf.DUMMYFUNCTION("GOOGLEFINANCE(""CURRENCY:INRBRL"")*F620"),27.34472191439)</f>
        <v>27.34472191</v>
      </c>
      <c r="J620" s="1">
        <v>4.49</v>
      </c>
      <c r="K620" s="1">
        <v>9177.0</v>
      </c>
      <c r="L620" s="1" t="s">
        <v>2367</v>
      </c>
      <c r="M620" s="7" t="s">
        <v>2368</v>
      </c>
    </row>
    <row r="621">
      <c r="A621" s="1" t="s">
        <v>1517</v>
      </c>
      <c r="B621" s="1" t="s">
        <v>1518</v>
      </c>
      <c r="C621" s="1" t="s">
        <v>1357</v>
      </c>
      <c r="D621" s="1" t="str">
        <f t="shared" si="1"/>
        <v>Electronics</v>
      </c>
      <c r="E621" s="1" t="str">
        <f t="shared" si="2"/>
        <v>WearableTechnology</v>
      </c>
      <c r="F621" s="5">
        <v>3999.0</v>
      </c>
      <c r="G621" s="5">
        <v>16999.0</v>
      </c>
      <c r="H621" s="6">
        <f t="shared" si="3"/>
        <v>0.7647508677</v>
      </c>
      <c r="I621" s="3">
        <f>IFERROR(__xludf.DUMMYFUNCTION("GOOGLEFINANCE(""CURRENCY:INRBRL"")*F621"),243.54463905488998)</f>
        <v>243.5446391</v>
      </c>
      <c r="J621" s="1">
        <v>4.5</v>
      </c>
      <c r="K621" s="1">
        <v>17162.0</v>
      </c>
      <c r="L621" s="1" t="s">
        <v>1519</v>
      </c>
      <c r="M621" s="7" t="s">
        <v>2369</v>
      </c>
    </row>
    <row r="622">
      <c r="A622" s="1" t="s">
        <v>2370</v>
      </c>
      <c r="B622" s="1" t="s">
        <v>2371</v>
      </c>
      <c r="C622" s="1" t="s">
        <v>1412</v>
      </c>
      <c r="D622" s="1" t="str">
        <f t="shared" si="1"/>
        <v>Electronics</v>
      </c>
      <c r="E622" s="1" t="str">
        <f t="shared" si="2"/>
        <v>Headphones,Earbuds&amp;Accessories</v>
      </c>
      <c r="F622" s="1">
        <v>399.0</v>
      </c>
      <c r="G622" s="5">
        <v>1299.0</v>
      </c>
      <c r="H622" s="6">
        <f t="shared" si="3"/>
        <v>0.6928406467</v>
      </c>
      <c r="I622" s="3">
        <f>IFERROR(__xludf.DUMMYFUNCTION("GOOGLEFINANCE(""CURRENCY:INRBRL"")*F622"),24.29965265889)</f>
        <v>24.29965266</v>
      </c>
      <c r="J622" s="1">
        <v>4.5</v>
      </c>
      <c r="K622" s="1">
        <v>206.0</v>
      </c>
      <c r="L622" s="1" t="s">
        <v>2372</v>
      </c>
      <c r="M622" s="7" t="s">
        <v>2373</v>
      </c>
    </row>
    <row r="623">
      <c r="A623" s="1" t="s">
        <v>2374</v>
      </c>
      <c r="B623" s="1" t="s">
        <v>2375</v>
      </c>
      <c r="C623" s="1" t="s">
        <v>2376</v>
      </c>
      <c r="D623" s="1" t="str">
        <f t="shared" si="1"/>
        <v>Computers&amp;Accessories</v>
      </c>
      <c r="E623" s="1" t="str">
        <f t="shared" si="2"/>
        <v>Accessories&amp;Peripherals</v>
      </c>
      <c r="F623" s="5">
        <v>1399.0</v>
      </c>
      <c r="G623" s="5">
        <v>2498.0</v>
      </c>
      <c r="H623" s="6">
        <f t="shared" si="3"/>
        <v>0.4399519616</v>
      </c>
      <c r="I623" s="3">
        <f>IFERROR(__xludf.DUMMYFUNCTION("GOOGLEFINANCE(""CURRENCY:INRBRL"")*F623"),85.20103776889)</f>
        <v>85.20103777</v>
      </c>
      <c r="J623" s="1">
        <v>4.5</v>
      </c>
      <c r="K623" s="1">
        <v>33717.0</v>
      </c>
      <c r="L623" s="1" t="s">
        <v>2377</v>
      </c>
      <c r="M623" s="7" t="s">
        <v>2378</v>
      </c>
    </row>
    <row r="624">
      <c r="A624" s="1" t="s">
        <v>25</v>
      </c>
      <c r="B624" s="1" t="s">
        <v>26</v>
      </c>
      <c r="C624" s="1" t="s">
        <v>22</v>
      </c>
      <c r="D624" s="1" t="str">
        <f t="shared" si="1"/>
        <v>Computers&amp;Accessories</v>
      </c>
      <c r="E624" s="1" t="str">
        <f t="shared" si="2"/>
        <v>Accessories&amp;Peripherals</v>
      </c>
      <c r="F624" s="1">
        <v>199.0</v>
      </c>
      <c r="G624" s="1">
        <v>349.0</v>
      </c>
      <c r="H624" s="6">
        <f t="shared" si="3"/>
        <v>0.4297994269</v>
      </c>
      <c r="I624" s="3">
        <f>IFERROR(__xludf.DUMMYFUNCTION("GOOGLEFINANCE(""CURRENCY:INRBRL"")*F624"),12.11937563689)</f>
        <v>12.11937564</v>
      </c>
      <c r="J624" s="1">
        <v>4.0</v>
      </c>
      <c r="K624" s="1">
        <v>43994.0</v>
      </c>
      <c r="L624" s="1" t="s">
        <v>27</v>
      </c>
      <c r="M624" s="7" t="s">
        <v>2379</v>
      </c>
    </row>
    <row r="625">
      <c r="A625" s="1" t="s">
        <v>29</v>
      </c>
      <c r="B625" s="1" t="s">
        <v>30</v>
      </c>
      <c r="C625" s="1" t="s">
        <v>22</v>
      </c>
      <c r="D625" s="1" t="str">
        <f t="shared" si="1"/>
        <v>Computers&amp;Accessories</v>
      </c>
      <c r="E625" s="1" t="str">
        <f t="shared" si="2"/>
        <v>Accessories&amp;Peripherals</v>
      </c>
      <c r="F625" s="1">
        <v>199.0</v>
      </c>
      <c r="G625" s="1">
        <v>999.0</v>
      </c>
      <c r="H625" s="6">
        <f t="shared" si="3"/>
        <v>0.8008008008</v>
      </c>
      <c r="I625" s="3">
        <f>IFERROR(__xludf.DUMMYFUNCTION("GOOGLEFINANCE(""CURRENCY:INRBRL"")*F625"),12.11937563689)</f>
        <v>12.11937564</v>
      </c>
      <c r="J625" s="1">
        <v>4.52</v>
      </c>
      <c r="K625" s="1">
        <v>7928.0</v>
      </c>
      <c r="L625" s="1" t="s">
        <v>31</v>
      </c>
      <c r="M625" s="7" t="s">
        <v>2380</v>
      </c>
    </row>
    <row r="626">
      <c r="A626" s="1" t="s">
        <v>1521</v>
      </c>
      <c r="B626" s="1" t="s">
        <v>1522</v>
      </c>
      <c r="C626" s="1" t="s">
        <v>1357</v>
      </c>
      <c r="D626" s="1" t="str">
        <f t="shared" si="1"/>
        <v>Electronics</v>
      </c>
      <c r="E626" s="1" t="str">
        <f t="shared" si="2"/>
        <v>WearableTechnology</v>
      </c>
      <c r="F626" s="5">
        <v>2998.0</v>
      </c>
      <c r="G626" s="5">
        <v>5999.0</v>
      </c>
      <c r="H626" s="6">
        <f t="shared" si="3"/>
        <v>0.5002500417</v>
      </c>
      <c r="I626" s="3">
        <f>IFERROR(__xludf.DUMMYFUNCTION("GOOGLEFINANCE(""CURRENCY:INRBRL"")*F626"),182.58235255978)</f>
        <v>182.5823526</v>
      </c>
      <c r="J626" s="1">
        <v>4.49</v>
      </c>
      <c r="K626" s="1">
        <v>5179.0</v>
      </c>
      <c r="L626" s="1" t="s">
        <v>1523</v>
      </c>
      <c r="M626" s="7" t="s">
        <v>2381</v>
      </c>
    </row>
    <row r="627">
      <c r="A627" s="1" t="s">
        <v>2382</v>
      </c>
      <c r="B627" s="1" t="s">
        <v>2383</v>
      </c>
      <c r="C627" s="1" t="s">
        <v>2384</v>
      </c>
      <c r="D627" s="1" t="str">
        <f t="shared" si="1"/>
        <v>Computers&amp;Accessories</v>
      </c>
      <c r="E627" s="1" t="str">
        <f t="shared" si="2"/>
        <v>ExternalDevices&amp;DataStorage</v>
      </c>
      <c r="F627" s="5">
        <v>4098.0</v>
      </c>
      <c r="G627" s="5">
        <v>4999.0</v>
      </c>
      <c r="H627" s="6">
        <f t="shared" si="3"/>
        <v>0.1802360472</v>
      </c>
      <c r="I627" s="3">
        <f>IFERROR(__xludf.DUMMYFUNCTION("GOOGLEFINANCE(""CURRENCY:INRBRL"")*F627"),249.57387618078)</f>
        <v>249.5738762</v>
      </c>
      <c r="J627" s="1">
        <v>4.51</v>
      </c>
      <c r="K627" s="1">
        <v>5081.0</v>
      </c>
      <c r="L627" s="1" t="s">
        <v>2385</v>
      </c>
      <c r="M627" s="7" t="s">
        <v>2386</v>
      </c>
    </row>
    <row r="628">
      <c r="A628" s="1" t="s">
        <v>2387</v>
      </c>
      <c r="B628" s="1" t="s">
        <v>2388</v>
      </c>
      <c r="C628" s="1" t="s">
        <v>2389</v>
      </c>
      <c r="D628" s="1" t="str">
        <f t="shared" si="1"/>
        <v>Electronics</v>
      </c>
      <c r="E628" s="1" t="str">
        <f t="shared" si="2"/>
        <v>Cameras&amp;Photography</v>
      </c>
      <c r="F628" s="1">
        <v>499.0</v>
      </c>
      <c r="G628" s="5">
        <v>1999.0</v>
      </c>
      <c r="H628" s="6">
        <f t="shared" si="3"/>
        <v>0.7503751876</v>
      </c>
      <c r="I628" s="3">
        <f>IFERROR(__xludf.DUMMYFUNCTION("GOOGLEFINANCE(""CURRENCY:INRBRL"")*F628"),30.38979116989)</f>
        <v>30.38979117</v>
      </c>
      <c r="J628" s="1">
        <v>4.51</v>
      </c>
      <c r="K628" s="1">
        <v>3369.0</v>
      </c>
      <c r="L628" s="1" t="s">
        <v>2390</v>
      </c>
      <c r="M628" s="7" t="s">
        <v>2391</v>
      </c>
    </row>
    <row r="629">
      <c r="A629" s="1" t="s">
        <v>2392</v>
      </c>
      <c r="B629" s="1" t="s">
        <v>2393</v>
      </c>
      <c r="C629" s="1" t="s">
        <v>2270</v>
      </c>
      <c r="D629" s="1" t="str">
        <f t="shared" si="1"/>
        <v>Computers&amp;Accessories</v>
      </c>
      <c r="E629" s="1" t="str">
        <f t="shared" si="2"/>
        <v>Accessories&amp;Peripherals</v>
      </c>
      <c r="F629" s="1">
        <v>299.0</v>
      </c>
      <c r="G629" s="1">
        <v>449.0</v>
      </c>
      <c r="H629" s="6">
        <f t="shared" si="3"/>
        <v>0.3340757238</v>
      </c>
      <c r="I629" s="3">
        <f>IFERROR(__xludf.DUMMYFUNCTION("GOOGLEFINANCE(""CURRENCY:INRBRL"")*F629"),18.209514147889998)</f>
        <v>18.20951415</v>
      </c>
      <c r="J629" s="1">
        <v>4.5</v>
      </c>
      <c r="K629" s="1">
        <v>11827.0</v>
      </c>
      <c r="L629" s="1" t="s">
        <v>2394</v>
      </c>
      <c r="M629" s="7" t="s">
        <v>2395</v>
      </c>
    </row>
    <row r="630">
      <c r="A630" s="1" t="s">
        <v>33</v>
      </c>
      <c r="B630" s="1" t="s">
        <v>34</v>
      </c>
      <c r="C630" s="1" t="s">
        <v>22</v>
      </c>
      <c r="D630" s="1" t="str">
        <f t="shared" si="1"/>
        <v>Computers&amp;Accessories</v>
      </c>
      <c r="E630" s="1" t="str">
        <f t="shared" si="2"/>
        <v>Accessories&amp;Peripherals</v>
      </c>
      <c r="F630" s="1">
        <v>329.0</v>
      </c>
      <c r="G630" s="1">
        <v>699.0</v>
      </c>
      <c r="H630" s="6">
        <f t="shared" si="3"/>
        <v>0.5293276109</v>
      </c>
      <c r="I630" s="3">
        <f>IFERROR(__xludf.DUMMYFUNCTION("GOOGLEFINANCE(""CURRENCY:INRBRL"")*F630"),20.03655570119)</f>
        <v>20.0365557</v>
      </c>
      <c r="J630" s="1">
        <v>4.5</v>
      </c>
      <c r="K630" s="1">
        <v>94364.0</v>
      </c>
      <c r="L630" s="1" t="s">
        <v>35</v>
      </c>
      <c r="M630" s="7" t="s">
        <v>2396</v>
      </c>
    </row>
    <row r="631">
      <c r="A631" s="1" t="s">
        <v>2397</v>
      </c>
      <c r="B631" s="1" t="s">
        <v>2398</v>
      </c>
      <c r="C631" s="1" t="s">
        <v>2376</v>
      </c>
      <c r="D631" s="1" t="str">
        <f t="shared" si="1"/>
        <v>Computers&amp;Accessories</v>
      </c>
      <c r="E631" s="1" t="str">
        <f t="shared" si="2"/>
        <v>Accessories&amp;Peripherals</v>
      </c>
      <c r="F631" s="1">
        <v>699.0</v>
      </c>
      <c r="G631" s="1">
        <v>999.0</v>
      </c>
      <c r="H631" s="6">
        <f t="shared" si="3"/>
        <v>0.3003003003</v>
      </c>
      <c r="I631" s="3">
        <f>IFERROR(__xludf.DUMMYFUNCTION("GOOGLEFINANCE(""CURRENCY:INRBRL"")*F631"),42.57006819189)</f>
        <v>42.57006819</v>
      </c>
      <c r="J631" s="1">
        <v>4.5</v>
      </c>
      <c r="K631" s="1">
        <v>15295.0</v>
      </c>
      <c r="L631" s="1" t="s">
        <v>2399</v>
      </c>
      <c r="M631" s="7" t="s">
        <v>2400</v>
      </c>
    </row>
    <row r="632">
      <c r="A632" s="1" t="s">
        <v>2401</v>
      </c>
      <c r="B632" s="1" t="s">
        <v>2402</v>
      </c>
      <c r="C632" s="1" t="s">
        <v>2403</v>
      </c>
      <c r="D632" s="1" t="str">
        <f t="shared" si="1"/>
        <v>Electronics</v>
      </c>
      <c r="E632" s="1" t="str">
        <f t="shared" si="2"/>
        <v>Cameras&amp;Photography</v>
      </c>
      <c r="F632" s="1">
        <v>799.0</v>
      </c>
      <c r="G632" s="5">
        <v>3999.0</v>
      </c>
      <c r="H632" s="6">
        <f t="shared" si="3"/>
        <v>0.80020005</v>
      </c>
      <c r="I632" s="3">
        <f>IFERROR(__xludf.DUMMYFUNCTION("GOOGLEFINANCE(""CURRENCY:INRBRL"")*F632"),48.66020670289)</f>
        <v>48.6602067</v>
      </c>
      <c r="J632" s="1">
        <v>4.5</v>
      </c>
      <c r="K632" s="1">
        <v>27139.0</v>
      </c>
      <c r="L632" s="1" t="s">
        <v>2404</v>
      </c>
      <c r="M632" s="7" t="s">
        <v>2405</v>
      </c>
    </row>
    <row r="633">
      <c r="A633" s="1" t="s">
        <v>2406</v>
      </c>
      <c r="B633" s="1" t="s">
        <v>2407</v>
      </c>
      <c r="C633" s="1" t="s">
        <v>1412</v>
      </c>
      <c r="D633" s="1" t="str">
        <f t="shared" si="1"/>
        <v>Electronics</v>
      </c>
      <c r="E633" s="1" t="str">
        <f t="shared" si="2"/>
        <v>Headphones,Earbuds&amp;Accessories</v>
      </c>
      <c r="F633" s="5">
        <v>1399.0</v>
      </c>
      <c r="G633" s="5">
        <v>5499.0</v>
      </c>
      <c r="H633" s="6">
        <f t="shared" si="3"/>
        <v>0.7455901073</v>
      </c>
      <c r="I633" s="3">
        <f>IFERROR(__xludf.DUMMYFUNCTION("GOOGLEFINANCE(""CURRENCY:INRBRL"")*F633"),85.20103776889)</f>
        <v>85.20103777</v>
      </c>
      <c r="J633" s="1">
        <v>4.52</v>
      </c>
      <c r="K633" s="1">
        <v>9504.0</v>
      </c>
      <c r="L633" s="1" t="s">
        <v>2408</v>
      </c>
      <c r="M633" s="7" t="s">
        <v>2409</v>
      </c>
    </row>
    <row r="634">
      <c r="A634" s="1" t="s">
        <v>37</v>
      </c>
      <c r="B634" s="1" t="s">
        <v>38</v>
      </c>
      <c r="C634" s="1" t="s">
        <v>22</v>
      </c>
      <c r="D634" s="1" t="str">
        <f t="shared" si="1"/>
        <v>Computers&amp;Accessories</v>
      </c>
      <c r="E634" s="1" t="str">
        <f t="shared" si="2"/>
        <v>Accessories&amp;Peripherals</v>
      </c>
      <c r="F634" s="1">
        <v>154.0</v>
      </c>
      <c r="G634" s="1">
        <v>399.0</v>
      </c>
      <c r="H634" s="6">
        <f t="shared" si="3"/>
        <v>0.6140350877</v>
      </c>
      <c r="I634" s="3">
        <f>IFERROR(__xludf.DUMMYFUNCTION("GOOGLEFINANCE(""CURRENCY:INRBRL"")*F634"),9.37881330694)</f>
        <v>9.378813307</v>
      </c>
      <c r="J634" s="1">
        <v>4.5</v>
      </c>
      <c r="K634" s="1">
        <v>16905.0</v>
      </c>
      <c r="L634" s="1" t="s">
        <v>39</v>
      </c>
      <c r="M634" s="7" t="s">
        <v>2410</v>
      </c>
    </row>
    <row r="635">
      <c r="A635" s="1" t="s">
        <v>2411</v>
      </c>
      <c r="B635" s="1" t="s">
        <v>2412</v>
      </c>
      <c r="C635" s="1" t="s">
        <v>2265</v>
      </c>
      <c r="D635" s="1" t="str">
        <f t="shared" si="1"/>
        <v>Computers&amp;Accessories</v>
      </c>
      <c r="E635" s="1" t="str">
        <f t="shared" si="2"/>
        <v>ExternalDevices&amp;DataStorage</v>
      </c>
      <c r="F635" s="1">
        <v>519.0</v>
      </c>
      <c r="G635" s="5">
        <v>1359.0</v>
      </c>
      <c r="H635" s="6">
        <f t="shared" si="3"/>
        <v>0.6181015453</v>
      </c>
      <c r="I635" s="3">
        <f>IFERROR(__xludf.DUMMYFUNCTION("GOOGLEFINANCE(""CURRENCY:INRBRL"")*F635"),31.60781887209)</f>
        <v>31.60781887</v>
      </c>
      <c r="J635" s="1">
        <v>4.5</v>
      </c>
      <c r="K635" s="1">
        <v>30058.0</v>
      </c>
      <c r="L635" s="1" t="s">
        <v>2413</v>
      </c>
      <c r="M635" s="7" t="s">
        <v>2414</v>
      </c>
    </row>
    <row r="636">
      <c r="A636" s="1" t="s">
        <v>1582</v>
      </c>
      <c r="B636" s="1" t="s">
        <v>1583</v>
      </c>
      <c r="C636" s="1" t="s">
        <v>1357</v>
      </c>
      <c r="D636" s="1" t="str">
        <f t="shared" si="1"/>
        <v>Electronics</v>
      </c>
      <c r="E636" s="1" t="str">
        <f t="shared" si="2"/>
        <v>WearableTechnology</v>
      </c>
      <c r="F636" s="5">
        <v>2299.0</v>
      </c>
      <c r="G636" s="5">
        <v>7990.0</v>
      </c>
      <c r="H636" s="6">
        <f t="shared" si="3"/>
        <v>0.7122653317</v>
      </c>
      <c r="I636" s="3">
        <f>IFERROR(__xludf.DUMMYFUNCTION("GOOGLEFINANCE(""CURRENCY:INRBRL"")*F636"),140.01228436789)</f>
        <v>140.0122844</v>
      </c>
      <c r="J636" s="1">
        <v>4.5</v>
      </c>
      <c r="K636" s="1">
        <v>69619.0</v>
      </c>
      <c r="L636" s="1" t="s">
        <v>1584</v>
      </c>
      <c r="M636" s="7" t="s">
        <v>2415</v>
      </c>
    </row>
    <row r="637">
      <c r="A637" s="1" t="s">
        <v>1586</v>
      </c>
      <c r="B637" s="1" t="s">
        <v>1587</v>
      </c>
      <c r="C637" s="1" t="s">
        <v>1588</v>
      </c>
      <c r="D637" s="1" t="str">
        <f t="shared" si="1"/>
        <v>Electronics</v>
      </c>
      <c r="E637" s="1" t="str">
        <f t="shared" si="2"/>
        <v>Mobiles&amp;Accessories</v>
      </c>
      <c r="F637" s="1">
        <v>399.0</v>
      </c>
      <c r="G637" s="5">
        <v>1999.0</v>
      </c>
      <c r="H637" s="6">
        <f t="shared" si="3"/>
        <v>0.8004002001</v>
      </c>
      <c r="I637" s="3">
        <f>IFERROR(__xludf.DUMMYFUNCTION("GOOGLEFINANCE(""CURRENCY:INRBRL"")*F637"),24.29965265889)</f>
        <v>24.29965266</v>
      </c>
      <c r="J637" s="1">
        <v>4.0</v>
      </c>
      <c r="K637" s="1">
        <v>3382.0</v>
      </c>
      <c r="L637" s="1" t="s">
        <v>1589</v>
      </c>
      <c r="M637" s="7" t="s">
        <v>2416</v>
      </c>
    </row>
    <row r="638">
      <c r="A638" s="1" t="s">
        <v>2417</v>
      </c>
      <c r="B638" s="1" t="s">
        <v>2418</v>
      </c>
      <c r="C638" s="1" t="s">
        <v>1412</v>
      </c>
      <c r="D638" s="1" t="str">
        <f t="shared" si="1"/>
        <v>Electronics</v>
      </c>
      <c r="E638" s="1" t="str">
        <f t="shared" si="2"/>
        <v>Headphones,Earbuds&amp;Accessories</v>
      </c>
      <c r="F638" s="5">
        <v>1499.0</v>
      </c>
      <c r="G638" s="5">
        <v>3999.0</v>
      </c>
      <c r="H638" s="6">
        <f t="shared" si="3"/>
        <v>0.6251562891</v>
      </c>
      <c r="I638" s="3">
        <f>IFERROR(__xludf.DUMMYFUNCTION("GOOGLEFINANCE(""CURRENCY:INRBRL"")*F638"),91.29117627989)</f>
        <v>91.29117628</v>
      </c>
      <c r="J638" s="1">
        <v>4.49</v>
      </c>
      <c r="K638" s="1">
        <v>1090864.0</v>
      </c>
      <c r="L638" s="1" t="s">
        <v>2419</v>
      </c>
      <c r="M638" s="7" t="s">
        <v>2420</v>
      </c>
    </row>
    <row r="639">
      <c r="A639" s="1" t="s">
        <v>2421</v>
      </c>
      <c r="B639" s="1" t="s">
        <v>2422</v>
      </c>
      <c r="C639" s="1" t="s">
        <v>2423</v>
      </c>
      <c r="D639" s="1" t="str">
        <f t="shared" si="1"/>
        <v>OfficeProducts</v>
      </c>
      <c r="E639" s="1" t="str">
        <f t="shared" si="2"/>
        <v>OfficeElectronics</v>
      </c>
      <c r="F639" s="5">
        <v>1295.0</v>
      </c>
      <c r="G639" s="5">
        <v>1295.0</v>
      </c>
      <c r="H639" s="6">
        <f t="shared" si="3"/>
        <v>0</v>
      </c>
      <c r="I639" s="3">
        <f>IFERROR(__xludf.DUMMYFUNCTION("GOOGLEFINANCE(""CURRENCY:INRBRL"")*F639"),78.86729371745)</f>
        <v>78.86729372</v>
      </c>
      <c r="J639" s="1">
        <v>4.51</v>
      </c>
      <c r="K639" s="1">
        <v>576.0</v>
      </c>
      <c r="L639" s="1" t="s">
        <v>2424</v>
      </c>
      <c r="M639" s="7" t="s">
        <v>2425</v>
      </c>
    </row>
    <row r="640">
      <c r="A640" s="1" t="s">
        <v>2426</v>
      </c>
      <c r="B640" s="1" t="s">
        <v>2427</v>
      </c>
      <c r="C640" s="1" t="s">
        <v>2428</v>
      </c>
      <c r="D640" s="1" t="str">
        <f t="shared" si="1"/>
        <v>Computers&amp;Accessories</v>
      </c>
      <c r="E640" s="1" t="str">
        <f t="shared" si="2"/>
        <v>NetworkingDevices</v>
      </c>
      <c r="F640" s="5">
        <v>1889.0</v>
      </c>
      <c r="G640" s="5">
        <v>5499.0</v>
      </c>
      <c r="H640" s="6">
        <f t="shared" si="3"/>
        <v>0.6564829969</v>
      </c>
      <c r="I640" s="3">
        <f>IFERROR(__xludf.DUMMYFUNCTION("GOOGLEFINANCE(""CURRENCY:INRBRL"")*F640"),115.04271647278999)</f>
        <v>115.0427165</v>
      </c>
      <c r="J640" s="1">
        <v>4.5</v>
      </c>
      <c r="K640" s="1">
        <v>49551.0</v>
      </c>
      <c r="L640" s="1" t="s">
        <v>2429</v>
      </c>
      <c r="M640" s="7" t="s">
        <v>2430</v>
      </c>
    </row>
    <row r="641">
      <c r="A641" s="1" t="s">
        <v>2431</v>
      </c>
      <c r="B641" s="1" t="s">
        <v>2432</v>
      </c>
      <c r="C641" s="1" t="s">
        <v>1412</v>
      </c>
      <c r="D641" s="1" t="str">
        <f t="shared" si="1"/>
        <v>Electronics</v>
      </c>
      <c r="E641" s="1" t="str">
        <f t="shared" si="2"/>
        <v>Headphones,Earbuds&amp;Accessories</v>
      </c>
      <c r="F641" s="1">
        <v>455.0</v>
      </c>
      <c r="G641" s="5">
        <v>1490.0</v>
      </c>
      <c r="H641" s="6">
        <f t="shared" si="3"/>
        <v>0.6946308725</v>
      </c>
      <c r="I641" s="3">
        <f>IFERROR(__xludf.DUMMYFUNCTION("GOOGLEFINANCE(""CURRENCY:INRBRL"")*F641"),27.710130225049998)</f>
        <v>27.71013023</v>
      </c>
      <c r="J641" s="1">
        <v>4.49</v>
      </c>
      <c r="K641" s="1">
        <v>161677.0</v>
      </c>
      <c r="L641" s="1" t="s">
        <v>2433</v>
      </c>
      <c r="M641" s="7" t="s">
        <v>2434</v>
      </c>
    </row>
    <row r="642">
      <c r="A642" s="1" t="s">
        <v>2435</v>
      </c>
      <c r="B642" s="1" t="s">
        <v>2436</v>
      </c>
      <c r="C642" s="1" t="s">
        <v>2437</v>
      </c>
      <c r="D642" s="1" t="str">
        <f t="shared" si="1"/>
        <v>Electronics</v>
      </c>
      <c r="E642" s="1" t="str">
        <f t="shared" si="2"/>
        <v>Cameras&amp;Photography</v>
      </c>
      <c r="F642" s="1">
        <v>399.0</v>
      </c>
      <c r="G642" s="1">
        <v>995.0</v>
      </c>
      <c r="H642" s="6">
        <f t="shared" si="3"/>
        <v>0.5989949749</v>
      </c>
      <c r="I642" s="3">
        <f>IFERROR(__xludf.DUMMYFUNCTION("GOOGLEFINANCE(""CURRENCY:INRBRL"")*F642"),24.29965265889)</f>
        <v>24.29965266</v>
      </c>
      <c r="J642" s="1">
        <v>4.52</v>
      </c>
      <c r="K642" s="1">
        <v>21372.0</v>
      </c>
      <c r="L642" s="1" t="s">
        <v>2438</v>
      </c>
      <c r="M642" s="7" t="s">
        <v>2439</v>
      </c>
    </row>
    <row r="643">
      <c r="A643" s="1" t="s">
        <v>1591</v>
      </c>
      <c r="B643" s="1" t="s">
        <v>1592</v>
      </c>
      <c r="C643" s="1" t="s">
        <v>1394</v>
      </c>
      <c r="D643" s="1" t="str">
        <f t="shared" si="1"/>
        <v>Electronics</v>
      </c>
      <c r="E643" s="1" t="str">
        <f t="shared" si="2"/>
        <v>Accessories</v>
      </c>
      <c r="F643" s="5">
        <v>1059.0</v>
      </c>
      <c r="G643" s="5">
        <v>3999.0</v>
      </c>
      <c r="H643" s="6">
        <f t="shared" si="3"/>
        <v>0.7351837959</v>
      </c>
      <c r="I643" s="3">
        <f>IFERROR(__xludf.DUMMYFUNCTION("GOOGLEFINANCE(""CURRENCY:INRBRL"")*F643"),64.49456683148999)</f>
        <v>64.49456683</v>
      </c>
      <c r="J643" s="1">
        <v>4.5</v>
      </c>
      <c r="K643" s="1">
        <v>140035.0</v>
      </c>
      <c r="L643" s="1" t="s">
        <v>1593</v>
      </c>
      <c r="M643" s="7" t="s">
        <v>2440</v>
      </c>
    </row>
    <row r="644">
      <c r="A644" s="1" t="s">
        <v>41</v>
      </c>
      <c r="B644" s="1" t="s">
        <v>42</v>
      </c>
      <c r="C644" s="1" t="s">
        <v>22</v>
      </c>
      <c r="D644" s="1" t="str">
        <f t="shared" si="1"/>
        <v>Computers&amp;Accessories</v>
      </c>
      <c r="E644" s="1" t="str">
        <f t="shared" si="2"/>
        <v>Accessories&amp;Peripherals</v>
      </c>
      <c r="F644" s="1">
        <v>149.0</v>
      </c>
      <c r="G644" s="1">
        <v>999.0</v>
      </c>
      <c r="H644" s="6">
        <f t="shared" si="3"/>
        <v>0.8508508509</v>
      </c>
      <c r="I644" s="3">
        <f>IFERROR(__xludf.DUMMYFUNCTION("GOOGLEFINANCE(""CURRENCY:INRBRL"")*F644"),9.07430638139)</f>
        <v>9.074306381</v>
      </c>
      <c r="J644" s="1">
        <v>4.52</v>
      </c>
      <c r="K644" s="1">
        <v>2487.0</v>
      </c>
      <c r="L644" s="1" t="s">
        <v>43</v>
      </c>
      <c r="M644" s="7" t="s">
        <v>2441</v>
      </c>
    </row>
    <row r="645">
      <c r="A645" s="1" t="s">
        <v>2442</v>
      </c>
      <c r="B645" s="1" t="s">
        <v>2443</v>
      </c>
      <c r="C645" s="1" t="s">
        <v>2444</v>
      </c>
      <c r="D645" s="1" t="str">
        <f t="shared" si="1"/>
        <v>Computers&amp;Accessories</v>
      </c>
      <c r="E645" s="1" t="str">
        <f t="shared" si="2"/>
        <v>Printers,Inks&amp;Accessories</v>
      </c>
      <c r="F645" s="1">
        <v>717.0</v>
      </c>
      <c r="G645" s="1">
        <v>761.0</v>
      </c>
      <c r="H645" s="6">
        <f t="shared" si="3"/>
        <v>0.05781865966</v>
      </c>
      <c r="I645" s="3">
        <f>IFERROR(__xludf.DUMMYFUNCTION("GOOGLEFINANCE(""CURRENCY:INRBRL"")*F645"),43.66629312387)</f>
        <v>43.66629312</v>
      </c>
      <c r="J645" s="1">
        <v>4.0</v>
      </c>
      <c r="K645" s="1">
        <v>7199.0</v>
      </c>
      <c r="L645" s="1" t="s">
        <v>2445</v>
      </c>
      <c r="M645" s="7" t="s">
        <v>2446</v>
      </c>
    </row>
    <row r="646">
      <c r="A646" s="1" t="s">
        <v>1629</v>
      </c>
      <c r="B646" s="1" t="s">
        <v>1630</v>
      </c>
      <c r="C646" s="1" t="s">
        <v>1631</v>
      </c>
      <c r="D646" s="1" t="str">
        <f t="shared" si="1"/>
        <v>Computers&amp;Accessories</v>
      </c>
      <c r="E646" s="1" t="str">
        <f t="shared" si="2"/>
        <v>Accessories&amp;Peripherals</v>
      </c>
      <c r="F646" s="1">
        <v>99.0</v>
      </c>
      <c r="G646" s="1">
        <v>999.0</v>
      </c>
      <c r="H646" s="6">
        <f t="shared" si="3"/>
        <v>0.9009009009</v>
      </c>
      <c r="I646" s="3">
        <f>IFERROR(__xludf.DUMMYFUNCTION("GOOGLEFINANCE(""CURRENCY:INRBRL"")*F646"),6.02923712589)</f>
        <v>6.029237126</v>
      </c>
      <c r="J646" s="1">
        <v>4.0</v>
      </c>
      <c r="K646" s="1">
        <v>1396.0</v>
      </c>
      <c r="L646" s="1" t="s">
        <v>1632</v>
      </c>
      <c r="M646" s="7" t="s">
        <v>2447</v>
      </c>
    </row>
    <row r="647">
      <c r="A647" s="1" t="s">
        <v>2448</v>
      </c>
      <c r="B647" s="1" t="s">
        <v>2449</v>
      </c>
      <c r="C647" s="1" t="s">
        <v>2450</v>
      </c>
      <c r="D647" s="1" t="str">
        <f t="shared" si="1"/>
        <v>Computers&amp;Accessories</v>
      </c>
      <c r="E647" s="1" t="str">
        <f t="shared" si="2"/>
        <v>Accessories&amp;Peripherals</v>
      </c>
      <c r="F647" s="1">
        <v>39.0</v>
      </c>
      <c r="G647" s="1">
        <v>299.0</v>
      </c>
      <c r="H647" s="6">
        <f t="shared" si="3"/>
        <v>0.8695652174</v>
      </c>
      <c r="I647" s="3">
        <f>IFERROR(__xludf.DUMMYFUNCTION("GOOGLEFINANCE(""CURRENCY:INRBRL"")*F647"),2.37515401929)</f>
        <v>2.375154019</v>
      </c>
      <c r="J647" s="1">
        <v>4.5</v>
      </c>
      <c r="K647" s="1">
        <v>15233.0</v>
      </c>
      <c r="L647" s="1" t="s">
        <v>2451</v>
      </c>
      <c r="M647" s="7" t="s">
        <v>2452</v>
      </c>
    </row>
    <row r="648">
      <c r="A648" s="1" t="s">
        <v>2453</v>
      </c>
      <c r="B648" s="1" t="s">
        <v>2454</v>
      </c>
      <c r="C648" s="1" t="s">
        <v>2265</v>
      </c>
      <c r="D648" s="1" t="str">
        <f t="shared" si="1"/>
        <v>Computers&amp;Accessories</v>
      </c>
      <c r="E648" s="1" t="str">
        <f t="shared" si="2"/>
        <v>ExternalDevices&amp;DataStorage</v>
      </c>
      <c r="F648" s="1">
        <v>889.0</v>
      </c>
      <c r="G648" s="5">
        <v>2499.0</v>
      </c>
      <c r="H648" s="6">
        <f t="shared" si="3"/>
        <v>0.6442577031</v>
      </c>
      <c r="I648" s="3">
        <f>IFERROR(__xludf.DUMMYFUNCTION("GOOGLEFINANCE(""CURRENCY:INRBRL"")*F648"),54.14133136279)</f>
        <v>54.14133136</v>
      </c>
      <c r="J648" s="1">
        <v>4.5</v>
      </c>
      <c r="K648" s="1">
        <v>55747.0</v>
      </c>
      <c r="L648" s="1" t="s">
        <v>2455</v>
      </c>
      <c r="M648" s="7" t="s">
        <v>2456</v>
      </c>
    </row>
    <row r="649">
      <c r="A649" s="1" t="s">
        <v>2457</v>
      </c>
      <c r="B649" s="1" t="s">
        <v>2458</v>
      </c>
      <c r="C649" s="1" t="s">
        <v>1412</v>
      </c>
      <c r="D649" s="1" t="str">
        <f t="shared" si="1"/>
        <v>Electronics</v>
      </c>
      <c r="E649" s="1" t="str">
        <f t="shared" si="2"/>
        <v>Headphones,Earbuds&amp;Accessories</v>
      </c>
      <c r="F649" s="5">
        <v>1199.0</v>
      </c>
      <c r="G649" s="5">
        <v>4999.0</v>
      </c>
      <c r="H649" s="6">
        <f t="shared" si="3"/>
        <v>0.7601520304</v>
      </c>
      <c r="I649" s="3">
        <f>IFERROR(__xludf.DUMMYFUNCTION("GOOGLEFINANCE(""CURRENCY:INRBRL"")*F649"),73.02076074688999)</f>
        <v>73.02076075</v>
      </c>
      <c r="J649" s="1">
        <v>4.51</v>
      </c>
      <c r="K649" s="1">
        <v>14961.0</v>
      </c>
      <c r="L649" s="1" t="s">
        <v>2459</v>
      </c>
      <c r="M649" s="7" t="s">
        <v>2460</v>
      </c>
    </row>
    <row r="650">
      <c r="A650" s="1" t="s">
        <v>2461</v>
      </c>
      <c r="B650" s="1" t="s">
        <v>2462</v>
      </c>
      <c r="C650" s="1" t="s">
        <v>2270</v>
      </c>
      <c r="D650" s="1" t="str">
        <f t="shared" si="1"/>
        <v>Computers&amp;Accessories</v>
      </c>
      <c r="E650" s="1" t="str">
        <f t="shared" si="2"/>
        <v>Accessories&amp;Peripherals</v>
      </c>
      <c r="F650" s="1">
        <v>569.0</v>
      </c>
      <c r="G650" s="5">
        <v>1299.0</v>
      </c>
      <c r="H650" s="6">
        <f t="shared" si="3"/>
        <v>0.5619707467</v>
      </c>
      <c r="I650" s="3">
        <f>IFERROR(__xludf.DUMMYFUNCTION("GOOGLEFINANCE(""CURRENCY:INRBRL"")*F650"),34.652888127589996)</f>
        <v>34.65288813</v>
      </c>
      <c r="J650" s="1">
        <v>4.5</v>
      </c>
      <c r="K650" s="1">
        <v>9275.0</v>
      </c>
      <c r="L650" s="1" t="s">
        <v>2463</v>
      </c>
      <c r="M650" s="7" t="s">
        <v>2464</v>
      </c>
    </row>
    <row r="651">
      <c r="A651" s="1" t="s">
        <v>2465</v>
      </c>
      <c r="B651" s="1" t="s">
        <v>2466</v>
      </c>
      <c r="C651" s="1" t="s">
        <v>1412</v>
      </c>
      <c r="D651" s="1" t="str">
        <f t="shared" si="1"/>
        <v>Electronics</v>
      </c>
      <c r="E651" s="1" t="str">
        <f t="shared" si="2"/>
        <v>Headphones,Earbuds&amp;Accessories</v>
      </c>
      <c r="F651" s="5">
        <v>1499.0</v>
      </c>
      <c r="G651" s="5">
        <v>8999.0</v>
      </c>
      <c r="H651" s="6">
        <f t="shared" si="3"/>
        <v>0.8334259362</v>
      </c>
      <c r="I651" s="3">
        <f>IFERROR(__xludf.DUMMYFUNCTION("GOOGLEFINANCE(""CURRENCY:INRBRL"")*F651"),91.29117627989)</f>
        <v>91.29117628</v>
      </c>
      <c r="J651" s="1">
        <v>4.51</v>
      </c>
      <c r="K651" s="1">
        <v>28324.0</v>
      </c>
      <c r="L651" s="1" t="s">
        <v>2467</v>
      </c>
      <c r="M651" s="7" t="s">
        <v>2468</v>
      </c>
    </row>
    <row r="652">
      <c r="A652" s="1" t="s">
        <v>2469</v>
      </c>
      <c r="B652" s="1" t="s">
        <v>2470</v>
      </c>
      <c r="C652" s="1" t="s">
        <v>2352</v>
      </c>
      <c r="D652" s="1" t="str">
        <f t="shared" si="1"/>
        <v>Electronics</v>
      </c>
      <c r="E652" s="1" t="str">
        <f t="shared" si="2"/>
        <v>GeneralPurposeBatteries&amp;BatteryChargers</v>
      </c>
      <c r="F652" s="1">
        <v>149.0</v>
      </c>
      <c r="G652" s="1">
        <v>180.0</v>
      </c>
      <c r="H652" s="6">
        <f t="shared" si="3"/>
        <v>0.1722222222</v>
      </c>
      <c r="I652" s="3">
        <f>IFERROR(__xludf.DUMMYFUNCTION("GOOGLEFINANCE(""CURRENCY:INRBRL"")*F652"),9.07430638139)</f>
        <v>9.074306381</v>
      </c>
      <c r="J652" s="1">
        <v>4.5</v>
      </c>
      <c r="K652" s="1">
        <v>644.0</v>
      </c>
      <c r="L652" s="1" t="s">
        <v>2471</v>
      </c>
      <c r="M652" s="7" t="s">
        <v>2472</v>
      </c>
    </row>
    <row r="653">
      <c r="A653" s="1" t="s">
        <v>2473</v>
      </c>
      <c r="B653" s="1" t="s">
        <v>2474</v>
      </c>
      <c r="C653" s="1" t="s">
        <v>2475</v>
      </c>
      <c r="D653" s="1" t="str">
        <f t="shared" si="1"/>
        <v>Computers&amp;Accessories</v>
      </c>
      <c r="E653" s="1" t="str">
        <f t="shared" si="2"/>
        <v>Accessories&amp;Peripherals</v>
      </c>
      <c r="F653" s="1">
        <v>399.0</v>
      </c>
      <c r="G653" s="1">
        <v>549.0</v>
      </c>
      <c r="H653" s="6">
        <f t="shared" si="3"/>
        <v>0.2732240437</v>
      </c>
      <c r="I653" s="3">
        <f>IFERROR(__xludf.DUMMYFUNCTION("GOOGLEFINANCE(""CURRENCY:INRBRL"")*F653"),24.29965265889)</f>
        <v>24.29965266</v>
      </c>
      <c r="J653" s="1">
        <v>4.5</v>
      </c>
      <c r="K653" s="1">
        <v>18139.0</v>
      </c>
      <c r="L653" s="1" t="s">
        <v>2476</v>
      </c>
      <c r="M653" s="7" t="s">
        <v>2477</v>
      </c>
    </row>
    <row r="654">
      <c r="A654" s="1" t="s">
        <v>2478</v>
      </c>
      <c r="B654" s="1" t="s">
        <v>2479</v>
      </c>
      <c r="C654" s="1" t="s">
        <v>2480</v>
      </c>
      <c r="D654" s="1" t="str">
        <f t="shared" si="1"/>
        <v>Home&amp;Kitchen</v>
      </c>
      <c r="E654" s="1" t="str">
        <f t="shared" si="2"/>
        <v>CraftMaterials</v>
      </c>
      <c r="F654" s="1">
        <v>191.0</v>
      </c>
      <c r="G654" s="1">
        <v>225.0</v>
      </c>
      <c r="H654" s="6">
        <f t="shared" si="3"/>
        <v>0.1511111111</v>
      </c>
      <c r="I654" s="3">
        <f>IFERROR(__xludf.DUMMYFUNCTION("GOOGLEFINANCE(""CURRENCY:INRBRL"")*F654"),11.63216455601)</f>
        <v>11.63216456</v>
      </c>
      <c r="J654" s="1">
        <v>4.5</v>
      </c>
      <c r="K654" s="1">
        <v>7203.0</v>
      </c>
      <c r="L654" s="1" t="s">
        <v>2481</v>
      </c>
      <c r="M654" s="7" t="s">
        <v>2482</v>
      </c>
    </row>
    <row r="655">
      <c r="A655" s="1" t="s">
        <v>2483</v>
      </c>
      <c r="B655" s="1" t="s">
        <v>2484</v>
      </c>
      <c r="C655" s="1" t="s">
        <v>2485</v>
      </c>
      <c r="D655" s="1" t="str">
        <f t="shared" si="1"/>
        <v>Computers&amp;Accessories</v>
      </c>
      <c r="E655" s="1" t="str">
        <f t="shared" si="2"/>
        <v>Accessories&amp;Peripherals</v>
      </c>
      <c r="F655" s="1">
        <v>129.0</v>
      </c>
      <c r="G655" s="1">
        <v>999.0</v>
      </c>
      <c r="H655" s="6">
        <f t="shared" si="3"/>
        <v>0.8708708709</v>
      </c>
      <c r="I655" s="3">
        <f>IFERROR(__xludf.DUMMYFUNCTION("GOOGLEFINANCE(""CURRENCY:INRBRL"")*F655"),7.85627867919)</f>
        <v>7.856278679</v>
      </c>
      <c r="J655" s="1">
        <v>4.5</v>
      </c>
      <c r="K655" s="1">
        <v>491.0</v>
      </c>
      <c r="L655" s="1" t="s">
        <v>2486</v>
      </c>
      <c r="M655" s="7" t="s">
        <v>2487</v>
      </c>
    </row>
    <row r="656">
      <c r="A656" s="1" t="s">
        <v>2488</v>
      </c>
      <c r="B656" s="1" t="s">
        <v>2489</v>
      </c>
      <c r="C656" s="1" t="s">
        <v>2490</v>
      </c>
      <c r="D656" s="1" t="str">
        <f t="shared" si="1"/>
        <v>Computers&amp;Accessories</v>
      </c>
      <c r="E656" s="1" t="str">
        <f t="shared" si="2"/>
        <v>Accessories&amp;Peripherals</v>
      </c>
      <c r="F656" s="1">
        <v>199.0</v>
      </c>
      <c r="G656" s="1">
        <v>599.0</v>
      </c>
      <c r="H656" s="6">
        <f t="shared" si="3"/>
        <v>0.6677796327</v>
      </c>
      <c r="I656" s="3">
        <f>IFERROR(__xludf.DUMMYFUNCTION("GOOGLEFINANCE(""CURRENCY:INRBRL"")*F656"),12.11937563689)</f>
        <v>12.11937564</v>
      </c>
      <c r="J656" s="1">
        <v>4.51</v>
      </c>
      <c r="K656" s="1">
        <v>13568.0</v>
      </c>
      <c r="L656" s="1" t="s">
        <v>2491</v>
      </c>
      <c r="M656" s="7" t="s">
        <v>2492</v>
      </c>
    </row>
    <row r="657">
      <c r="A657" s="1" t="s">
        <v>2493</v>
      </c>
      <c r="B657" s="1" t="s">
        <v>2494</v>
      </c>
      <c r="C657" s="1" t="s">
        <v>1412</v>
      </c>
      <c r="D657" s="1" t="str">
        <f t="shared" si="1"/>
        <v>Electronics</v>
      </c>
      <c r="E657" s="1" t="str">
        <f t="shared" si="2"/>
        <v>Headphones,Earbuds&amp;Accessories</v>
      </c>
      <c r="F657" s="1">
        <v>999.0</v>
      </c>
      <c r="G657" s="5">
        <v>4499.0</v>
      </c>
      <c r="H657" s="6">
        <f t="shared" si="3"/>
        <v>0.7779506557</v>
      </c>
      <c r="I657" s="3">
        <f>IFERROR(__xludf.DUMMYFUNCTION("GOOGLEFINANCE(""CURRENCY:INRBRL"")*F657"),60.84048372489)</f>
        <v>60.84048372</v>
      </c>
      <c r="J657" s="1">
        <v>4.51</v>
      </c>
      <c r="K657" s="1">
        <v>339.0</v>
      </c>
      <c r="L657" s="1" t="s">
        <v>2495</v>
      </c>
      <c r="M657" s="7" t="s">
        <v>2496</v>
      </c>
    </row>
    <row r="658">
      <c r="A658" s="1" t="s">
        <v>2497</v>
      </c>
      <c r="B658" s="1" t="s">
        <v>2498</v>
      </c>
      <c r="C658" s="1" t="s">
        <v>1412</v>
      </c>
      <c r="D658" s="1" t="str">
        <f t="shared" si="1"/>
        <v>Electronics</v>
      </c>
      <c r="E658" s="1" t="str">
        <f t="shared" si="2"/>
        <v>Headphones,Earbuds&amp;Accessories</v>
      </c>
      <c r="F658" s="1">
        <v>899.0</v>
      </c>
      <c r="G658" s="5">
        <v>4499.0</v>
      </c>
      <c r="H658" s="6">
        <f t="shared" si="3"/>
        <v>0.8001778173</v>
      </c>
      <c r="I658" s="3">
        <f>IFERROR(__xludf.DUMMYFUNCTION("GOOGLEFINANCE(""CURRENCY:INRBRL"")*F658"),54.75034521389)</f>
        <v>54.75034521</v>
      </c>
      <c r="J658" s="1">
        <v>4.51</v>
      </c>
      <c r="K658" s="1">
        <v>1031952.0</v>
      </c>
      <c r="L658" s="1" t="s">
        <v>2499</v>
      </c>
      <c r="M658" s="7" t="s">
        <v>2500</v>
      </c>
    </row>
    <row r="659">
      <c r="A659" s="1" t="s">
        <v>1666</v>
      </c>
      <c r="B659" s="1" t="s">
        <v>1667</v>
      </c>
      <c r="C659" s="1" t="s">
        <v>1370</v>
      </c>
      <c r="D659" s="1" t="str">
        <f t="shared" si="1"/>
        <v>Electronics</v>
      </c>
      <c r="E659" s="1" t="str">
        <f t="shared" si="2"/>
        <v>Mobiles&amp;Accessories</v>
      </c>
      <c r="F659" s="5">
        <v>1799.0</v>
      </c>
      <c r="G659" s="5">
        <v>2499.0</v>
      </c>
      <c r="H659" s="6">
        <f t="shared" si="3"/>
        <v>0.2801120448</v>
      </c>
      <c r="I659" s="3">
        <f>IFERROR(__xludf.DUMMYFUNCTION("GOOGLEFINANCE(""CURRENCY:INRBRL"")*F659"),109.56159181289)</f>
        <v>109.5615918</v>
      </c>
      <c r="J659" s="1">
        <v>4.49</v>
      </c>
      <c r="K659" s="1">
        <v>18678.0</v>
      </c>
      <c r="L659" s="1" t="s">
        <v>1668</v>
      </c>
      <c r="M659" s="7" t="s">
        <v>2501</v>
      </c>
    </row>
    <row r="660">
      <c r="A660" s="1" t="s">
        <v>45</v>
      </c>
      <c r="B660" s="1" t="s">
        <v>46</v>
      </c>
      <c r="C660" s="1" t="s">
        <v>22</v>
      </c>
      <c r="D660" s="1" t="str">
        <f t="shared" si="1"/>
        <v>Computers&amp;Accessories</v>
      </c>
      <c r="E660" s="1" t="str">
        <f t="shared" si="2"/>
        <v>Accessories&amp;Peripherals</v>
      </c>
      <c r="F660" s="1">
        <v>176.68</v>
      </c>
      <c r="G660" s="1">
        <v>499.0</v>
      </c>
      <c r="H660" s="6">
        <f t="shared" si="3"/>
        <v>0.6459318637</v>
      </c>
      <c r="I660" s="3">
        <f>IFERROR(__xludf.DUMMYFUNCTION("GOOGLEFINANCE(""CURRENCY:INRBRL"")*F660"),10.7600567212348)</f>
        <v>10.76005672</v>
      </c>
      <c r="J660" s="1">
        <v>4.49</v>
      </c>
      <c r="K660" s="1">
        <v>15189.0</v>
      </c>
      <c r="L660" s="1" t="s">
        <v>47</v>
      </c>
      <c r="M660" s="7" t="s">
        <v>2502</v>
      </c>
    </row>
    <row r="661">
      <c r="A661" s="1" t="s">
        <v>2503</v>
      </c>
      <c r="B661" s="1" t="s">
        <v>2504</v>
      </c>
      <c r="C661" s="1" t="s">
        <v>2423</v>
      </c>
      <c r="D661" s="1" t="str">
        <f t="shared" si="1"/>
        <v>OfficeProducts</v>
      </c>
      <c r="E661" s="1" t="str">
        <f t="shared" si="2"/>
        <v>OfficeElectronics</v>
      </c>
      <c r="F661" s="1">
        <v>522.0</v>
      </c>
      <c r="G661" s="1">
        <v>550.0</v>
      </c>
      <c r="H661" s="6">
        <f t="shared" si="3"/>
        <v>0.05090909091</v>
      </c>
      <c r="I661" s="3">
        <f>IFERROR(__xludf.DUMMYFUNCTION("GOOGLEFINANCE(""CURRENCY:INRBRL"")*F661"),31.790523027419997)</f>
        <v>31.79052303</v>
      </c>
      <c r="J661" s="1">
        <v>4.5</v>
      </c>
      <c r="K661" s="1">
        <v>12179.0</v>
      </c>
      <c r="L661" s="1" t="s">
        <v>2505</v>
      </c>
      <c r="M661" s="7" t="s">
        <v>2506</v>
      </c>
    </row>
    <row r="662">
      <c r="A662" s="1" t="s">
        <v>2507</v>
      </c>
      <c r="B662" s="1" t="s">
        <v>2508</v>
      </c>
      <c r="C662" s="1" t="s">
        <v>2509</v>
      </c>
      <c r="D662" s="1" t="str">
        <f t="shared" si="1"/>
        <v>Electronics</v>
      </c>
      <c r="E662" s="1" t="str">
        <f t="shared" si="2"/>
        <v>Cameras&amp;Photography</v>
      </c>
      <c r="F662" s="1">
        <v>799.0</v>
      </c>
      <c r="G662" s="5">
        <v>1999.0</v>
      </c>
      <c r="H662" s="6">
        <f t="shared" si="3"/>
        <v>0.6003001501</v>
      </c>
      <c r="I662" s="3">
        <f>IFERROR(__xludf.DUMMYFUNCTION("GOOGLEFINANCE(""CURRENCY:INRBRL"")*F662"),48.66020670289)</f>
        <v>48.6602067</v>
      </c>
      <c r="J662" s="1">
        <v>4.51</v>
      </c>
      <c r="K662" s="1">
        <v>12958.0</v>
      </c>
      <c r="L662" s="1" t="s">
        <v>2510</v>
      </c>
      <c r="M662" s="7" t="s">
        <v>2511</v>
      </c>
    </row>
    <row r="663">
      <c r="A663" s="1" t="s">
        <v>2512</v>
      </c>
      <c r="B663" s="1" t="s">
        <v>2513</v>
      </c>
      <c r="C663" s="1" t="s">
        <v>2270</v>
      </c>
      <c r="D663" s="1" t="str">
        <f t="shared" si="1"/>
        <v>Computers&amp;Accessories</v>
      </c>
      <c r="E663" s="1" t="str">
        <f t="shared" si="2"/>
        <v>Accessories&amp;Peripherals</v>
      </c>
      <c r="F663" s="1">
        <v>681.0</v>
      </c>
      <c r="G663" s="5">
        <v>1199.0</v>
      </c>
      <c r="H663" s="6">
        <f t="shared" si="3"/>
        <v>0.4320266889</v>
      </c>
      <c r="I663" s="3">
        <f>IFERROR(__xludf.DUMMYFUNCTION("GOOGLEFINANCE(""CURRENCY:INRBRL"")*F663"),41.47384325991)</f>
        <v>41.47384326</v>
      </c>
      <c r="J663" s="1">
        <v>4.5</v>
      </c>
      <c r="K663" s="1">
        <v>8258.0</v>
      </c>
      <c r="L663" s="1" t="s">
        <v>2514</v>
      </c>
      <c r="M663" s="7" t="s">
        <v>2515</v>
      </c>
    </row>
    <row r="664">
      <c r="A664" s="1" t="s">
        <v>2516</v>
      </c>
      <c r="B664" s="1" t="s">
        <v>2517</v>
      </c>
      <c r="C664" s="1" t="s">
        <v>2518</v>
      </c>
      <c r="D664" s="1" t="str">
        <f t="shared" si="1"/>
        <v>Computers&amp;Accessories</v>
      </c>
      <c r="E664" s="1" t="str">
        <f t="shared" si="2"/>
        <v>#VALUE!</v>
      </c>
      <c r="F664" s="5">
        <v>1199.0</v>
      </c>
      <c r="G664" s="5">
        <v>3490.0</v>
      </c>
      <c r="H664" s="6">
        <f t="shared" si="3"/>
        <v>0.6564469914</v>
      </c>
      <c r="I664" s="3">
        <f>IFERROR(__xludf.DUMMYFUNCTION("GOOGLEFINANCE(""CURRENCY:INRBRL"")*F664"),73.02076074688999)</f>
        <v>73.02076075</v>
      </c>
      <c r="J664" s="1">
        <v>4.49</v>
      </c>
      <c r="K664" s="1">
        <v>11716.0</v>
      </c>
      <c r="L664" s="1" t="s">
        <v>2519</v>
      </c>
      <c r="M664" s="7" t="s">
        <v>2520</v>
      </c>
    </row>
    <row r="665">
      <c r="A665" s="1" t="s">
        <v>2521</v>
      </c>
      <c r="B665" s="1" t="s">
        <v>2522</v>
      </c>
      <c r="C665" s="1" t="s">
        <v>2523</v>
      </c>
      <c r="D665" s="1" t="str">
        <f t="shared" si="1"/>
        <v>Computers&amp;Accessories</v>
      </c>
      <c r="E665" s="1" t="str">
        <f t="shared" si="2"/>
        <v>NetworkingDevices</v>
      </c>
      <c r="F665" s="5">
        <v>2499.0</v>
      </c>
      <c r="G665" s="5">
        <v>4999.0</v>
      </c>
      <c r="H665" s="6">
        <f t="shared" si="3"/>
        <v>0.50010002</v>
      </c>
      <c r="I665" s="3">
        <f>IFERROR(__xludf.DUMMYFUNCTION("GOOGLEFINANCE(""CURRENCY:INRBRL"")*F665"),152.19256138989)</f>
        <v>152.1925614</v>
      </c>
      <c r="J665" s="1">
        <v>4.5</v>
      </c>
      <c r="K665" s="1">
        <v>35024.0</v>
      </c>
      <c r="L665" s="1" t="s">
        <v>2524</v>
      </c>
      <c r="M665" s="7" t="s">
        <v>2525</v>
      </c>
    </row>
    <row r="666">
      <c r="A666" s="1" t="s">
        <v>2526</v>
      </c>
      <c r="B666" s="1" t="s">
        <v>2527</v>
      </c>
      <c r="C666" s="1" t="s">
        <v>2528</v>
      </c>
      <c r="D666" s="1" t="str">
        <f t="shared" si="1"/>
        <v>Electronics</v>
      </c>
      <c r="E666" s="1" t="str">
        <f t="shared" si="2"/>
        <v>Headphones,Earbuds&amp;Accessories</v>
      </c>
      <c r="F666" s="5">
        <v>1799.0</v>
      </c>
      <c r="G666" s="5">
        <v>4999.0</v>
      </c>
      <c r="H666" s="6">
        <f t="shared" si="3"/>
        <v>0.6401280256</v>
      </c>
      <c r="I666" s="3">
        <f>IFERROR(__xludf.DUMMYFUNCTION("GOOGLEFINANCE(""CURRENCY:INRBRL"")*F666"),109.56159181289)</f>
        <v>109.5615918</v>
      </c>
      <c r="J666" s="1">
        <v>4.49</v>
      </c>
      <c r="K666" s="1">
        <v>55192.0</v>
      </c>
      <c r="L666" s="1" t="s">
        <v>2529</v>
      </c>
      <c r="M666" s="7" t="s">
        <v>2530</v>
      </c>
    </row>
    <row r="667">
      <c r="A667" s="1" t="s">
        <v>2531</v>
      </c>
      <c r="B667" s="1" t="s">
        <v>2532</v>
      </c>
      <c r="C667" s="1" t="s">
        <v>1412</v>
      </c>
      <c r="D667" s="1" t="str">
        <f t="shared" si="1"/>
        <v>Electronics</v>
      </c>
      <c r="E667" s="1" t="str">
        <f t="shared" si="2"/>
        <v>Headphones,Earbuds&amp;Accessories</v>
      </c>
      <c r="F667" s="1">
        <v>429.0</v>
      </c>
      <c r="G667" s="1">
        <v>599.0</v>
      </c>
      <c r="H667" s="6">
        <f t="shared" si="3"/>
        <v>0.2838063439</v>
      </c>
      <c r="I667" s="3">
        <f>IFERROR(__xludf.DUMMYFUNCTION("GOOGLEFINANCE(""CURRENCY:INRBRL"")*F667"),26.12669421219)</f>
        <v>26.12669421</v>
      </c>
      <c r="J667" s="1">
        <v>4.49</v>
      </c>
      <c r="K667" s="1">
        <v>119466.0</v>
      </c>
      <c r="L667" s="1" t="s">
        <v>2533</v>
      </c>
      <c r="M667" s="7" t="s">
        <v>2534</v>
      </c>
    </row>
    <row r="668">
      <c r="A668" s="1" t="s">
        <v>2535</v>
      </c>
      <c r="B668" s="1" t="s">
        <v>2536</v>
      </c>
      <c r="C668" s="1" t="s">
        <v>2275</v>
      </c>
      <c r="D668" s="1" t="str">
        <f t="shared" si="1"/>
        <v>Computers&amp;Accessories</v>
      </c>
      <c r="E668" s="1" t="str">
        <f t="shared" si="2"/>
        <v>Accessories&amp;Peripherals</v>
      </c>
      <c r="F668" s="1">
        <v>100.0</v>
      </c>
      <c r="G668" s="1">
        <v>499.0</v>
      </c>
      <c r="H668" s="6">
        <f t="shared" si="3"/>
        <v>0.7995991984</v>
      </c>
      <c r="I668" s="3">
        <f>IFERROR(__xludf.DUMMYFUNCTION("GOOGLEFINANCE(""CURRENCY:INRBRL"")*F668"),6.090138511)</f>
        <v>6.090138511</v>
      </c>
      <c r="J668" s="1">
        <v>4.5</v>
      </c>
      <c r="K668" s="1">
        <v>9638.0</v>
      </c>
      <c r="L668" s="1" t="s">
        <v>2537</v>
      </c>
      <c r="M668" s="7" t="s">
        <v>2538</v>
      </c>
    </row>
    <row r="669">
      <c r="A669" s="1" t="s">
        <v>2539</v>
      </c>
      <c r="B669" s="1" t="s">
        <v>2540</v>
      </c>
      <c r="C669" s="1" t="s">
        <v>2336</v>
      </c>
      <c r="D669" s="1" t="str">
        <f t="shared" si="1"/>
        <v>Computers&amp;Accessories</v>
      </c>
      <c r="E669" s="1" t="str">
        <f t="shared" si="2"/>
        <v>Accessories&amp;Peripherals</v>
      </c>
      <c r="F669" s="1">
        <v>329.0</v>
      </c>
      <c r="G669" s="1">
        <v>399.0</v>
      </c>
      <c r="H669" s="6">
        <f t="shared" si="3"/>
        <v>0.1754385965</v>
      </c>
      <c r="I669" s="3">
        <f>IFERROR(__xludf.DUMMYFUNCTION("GOOGLEFINANCE(""CURRENCY:INRBRL"")*F669"),20.03655570119)</f>
        <v>20.0365557</v>
      </c>
      <c r="J669" s="1">
        <v>4.51</v>
      </c>
      <c r="K669" s="1">
        <v>33735.0</v>
      </c>
      <c r="L669" s="1" t="s">
        <v>2541</v>
      </c>
      <c r="M669" s="7" t="s">
        <v>2542</v>
      </c>
    </row>
    <row r="670">
      <c r="A670" s="1" t="s">
        <v>49</v>
      </c>
      <c r="B670" s="1" t="s">
        <v>50</v>
      </c>
      <c r="C670" s="1" t="s">
        <v>22</v>
      </c>
      <c r="D670" s="1" t="str">
        <f t="shared" si="1"/>
        <v>Computers&amp;Accessories</v>
      </c>
      <c r="E670" s="1" t="str">
        <f t="shared" si="2"/>
        <v>Accessories&amp;Peripherals</v>
      </c>
      <c r="F670" s="1">
        <v>229.0</v>
      </c>
      <c r="G670" s="1">
        <v>299.0</v>
      </c>
      <c r="H670" s="6">
        <f t="shared" si="3"/>
        <v>0.2341137124</v>
      </c>
      <c r="I670" s="3">
        <f>IFERROR(__xludf.DUMMYFUNCTION("GOOGLEFINANCE(""CURRENCY:INRBRL"")*F670"),13.94641719019)</f>
        <v>13.94641719</v>
      </c>
      <c r="J670" s="1">
        <v>4.5</v>
      </c>
      <c r="K670" s="1">
        <v>30411.0</v>
      </c>
      <c r="L670" s="1" t="s">
        <v>51</v>
      </c>
      <c r="M670" s="7" t="s">
        <v>2543</v>
      </c>
    </row>
    <row r="671">
      <c r="A671" s="1" t="s">
        <v>2544</v>
      </c>
      <c r="B671" s="1" t="s">
        <v>2545</v>
      </c>
      <c r="C671" s="1" t="s">
        <v>2270</v>
      </c>
      <c r="D671" s="1" t="str">
        <f t="shared" si="1"/>
        <v>Computers&amp;Accessories</v>
      </c>
      <c r="E671" s="1" t="str">
        <f t="shared" si="2"/>
        <v>Accessories&amp;Peripherals</v>
      </c>
      <c r="F671" s="1">
        <v>139.0</v>
      </c>
      <c r="G671" s="1">
        <v>299.0</v>
      </c>
      <c r="H671" s="6">
        <f t="shared" si="3"/>
        <v>0.5351170569</v>
      </c>
      <c r="I671" s="3">
        <f>IFERROR(__xludf.DUMMYFUNCTION("GOOGLEFINANCE(""CURRENCY:INRBRL"")*F671"),8.46529253029)</f>
        <v>8.46529253</v>
      </c>
      <c r="J671" s="1">
        <v>4.51</v>
      </c>
      <c r="K671" s="1">
        <v>3044.0</v>
      </c>
      <c r="L671" s="1" t="s">
        <v>2546</v>
      </c>
      <c r="M671" s="7" t="s">
        <v>2547</v>
      </c>
    </row>
    <row r="672">
      <c r="A672" s="1" t="s">
        <v>2548</v>
      </c>
      <c r="B672" s="1" t="s">
        <v>2549</v>
      </c>
      <c r="C672" s="1" t="s">
        <v>2078</v>
      </c>
      <c r="D672" s="1" t="str">
        <f t="shared" si="1"/>
        <v>Electronics</v>
      </c>
      <c r="E672" s="1" t="str">
        <f t="shared" si="2"/>
        <v>Headphones,Earbuds&amp;Accessories</v>
      </c>
      <c r="F672" s="5">
        <v>1199.0</v>
      </c>
      <c r="G672" s="5">
        <v>2499.0</v>
      </c>
      <c r="H672" s="6">
        <f t="shared" si="3"/>
        <v>0.5202080832</v>
      </c>
      <c r="I672" s="3">
        <f>IFERROR(__xludf.DUMMYFUNCTION("GOOGLEFINANCE(""CURRENCY:INRBRL"")*F672"),73.02076074688999)</f>
        <v>73.02076075</v>
      </c>
      <c r="J672" s="1">
        <v>4.0</v>
      </c>
      <c r="K672" s="1">
        <v>33584.0</v>
      </c>
      <c r="L672" s="1" t="s">
        <v>2550</v>
      </c>
      <c r="M672" s="7" t="s">
        <v>2551</v>
      </c>
    </row>
    <row r="673">
      <c r="A673" s="1" t="s">
        <v>2552</v>
      </c>
      <c r="B673" s="1" t="s">
        <v>2553</v>
      </c>
      <c r="C673" s="1" t="s">
        <v>2554</v>
      </c>
      <c r="D673" s="1" t="str">
        <f t="shared" si="1"/>
        <v>Electronics</v>
      </c>
      <c r="E673" s="1" t="str">
        <f t="shared" si="2"/>
        <v>HomeAudio</v>
      </c>
      <c r="F673" s="5">
        <v>1049.0</v>
      </c>
      <c r="G673" s="5">
        <v>2299.0</v>
      </c>
      <c r="H673" s="6">
        <f t="shared" si="3"/>
        <v>0.5437146585</v>
      </c>
      <c r="I673" s="3">
        <f>IFERROR(__xludf.DUMMYFUNCTION("GOOGLEFINANCE(""CURRENCY:INRBRL"")*F673"),63.885552980389996)</f>
        <v>63.88555298</v>
      </c>
      <c r="J673" s="1">
        <v>4.52</v>
      </c>
      <c r="K673" s="1">
        <v>1779.0</v>
      </c>
      <c r="L673" s="1" t="s">
        <v>2555</v>
      </c>
      <c r="M673" s="7" t="s">
        <v>2556</v>
      </c>
    </row>
    <row r="674">
      <c r="A674" s="1" t="s">
        <v>1688</v>
      </c>
      <c r="B674" s="1" t="s">
        <v>1689</v>
      </c>
      <c r="C674" s="1" t="s">
        <v>1690</v>
      </c>
      <c r="D674" s="1" t="str">
        <f t="shared" si="1"/>
        <v>Electronics</v>
      </c>
      <c r="E674" s="1" t="str">
        <f t="shared" si="2"/>
        <v>Mobiles&amp;Accessories</v>
      </c>
      <c r="F674" s="1">
        <v>119.0</v>
      </c>
      <c r="G674" s="1">
        <v>299.0</v>
      </c>
      <c r="H674" s="6">
        <f t="shared" si="3"/>
        <v>0.602006689</v>
      </c>
      <c r="I674" s="3">
        <f>IFERROR(__xludf.DUMMYFUNCTION("GOOGLEFINANCE(""CURRENCY:INRBRL"")*F674"),7.24726482809)</f>
        <v>7.247264828</v>
      </c>
      <c r="J674" s="1">
        <v>4.49</v>
      </c>
      <c r="K674" s="1">
        <v>5999.0</v>
      </c>
      <c r="L674" s="1" t="s">
        <v>1691</v>
      </c>
      <c r="M674" s="7" t="s">
        <v>2557</v>
      </c>
    </row>
    <row r="675">
      <c r="A675" s="1" t="s">
        <v>62</v>
      </c>
      <c r="B675" s="1" t="s">
        <v>63</v>
      </c>
      <c r="C675" s="1" t="s">
        <v>22</v>
      </c>
      <c r="D675" s="1" t="str">
        <f t="shared" si="1"/>
        <v>Computers&amp;Accessories</v>
      </c>
      <c r="E675" s="1" t="str">
        <f t="shared" si="2"/>
        <v>Accessories&amp;Peripherals</v>
      </c>
      <c r="F675" s="1">
        <v>154.0</v>
      </c>
      <c r="G675" s="1">
        <v>339.0</v>
      </c>
      <c r="H675" s="6">
        <f t="shared" si="3"/>
        <v>0.5457227139</v>
      </c>
      <c r="I675" s="3">
        <f>IFERROR(__xludf.DUMMYFUNCTION("GOOGLEFINANCE(""CURRENCY:INRBRL"")*F675"),9.37881330694)</f>
        <v>9.378813307</v>
      </c>
      <c r="J675" s="1">
        <v>4.5</v>
      </c>
      <c r="K675" s="1">
        <v>13391.0</v>
      </c>
      <c r="L675" s="1" t="s">
        <v>64</v>
      </c>
      <c r="M675" s="7" t="s">
        <v>2558</v>
      </c>
    </row>
    <row r="676">
      <c r="A676" s="1" t="s">
        <v>2559</v>
      </c>
      <c r="B676" s="1" t="s">
        <v>2560</v>
      </c>
      <c r="C676" s="1" t="s">
        <v>2561</v>
      </c>
      <c r="D676" s="1" t="str">
        <f t="shared" si="1"/>
        <v>Electronics</v>
      </c>
      <c r="E676" s="1" t="str">
        <f t="shared" si="2"/>
        <v>#VALUE!</v>
      </c>
      <c r="F676" s="1">
        <v>225.0</v>
      </c>
      <c r="G676" s="1">
        <v>250.0</v>
      </c>
      <c r="H676" s="6">
        <f t="shared" si="3"/>
        <v>0.1</v>
      </c>
      <c r="I676" s="3">
        <f>IFERROR(__xludf.DUMMYFUNCTION("GOOGLEFINANCE(""CURRENCY:INRBRL"")*F676"),13.70281164975)</f>
        <v>13.70281165</v>
      </c>
      <c r="J676" s="1">
        <v>4.5</v>
      </c>
      <c r="K676" s="1">
        <v>26556.0</v>
      </c>
      <c r="L676" s="1" t="s">
        <v>2562</v>
      </c>
      <c r="M676" s="7" t="s">
        <v>2563</v>
      </c>
    </row>
    <row r="677">
      <c r="A677" s="1" t="s">
        <v>2564</v>
      </c>
      <c r="B677" s="1" t="s">
        <v>2565</v>
      </c>
      <c r="C677" s="1" t="s">
        <v>2284</v>
      </c>
      <c r="D677" s="1" t="str">
        <f t="shared" si="1"/>
        <v>Computers&amp;Accessories</v>
      </c>
      <c r="E677" s="1" t="str">
        <f t="shared" si="2"/>
        <v>Accessories&amp;Peripherals</v>
      </c>
      <c r="F677" s="1">
        <v>656.0</v>
      </c>
      <c r="G677" s="5">
        <v>1499.0</v>
      </c>
      <c r="H677" s="6">
        <f t="shared" si="3"/>
        <v>0.5623749166</v>
      </c>
      <c r="I677" s="3">
        <f>IFERROR(__xludf.DUMMYFUNCTION("GOOGLEFINANCE(""CURRENCY:INRBRL"")*F677"),39.95130863216)</f>
        <v>39.95130863</v>
      </c>
      <c r="J677" s="1">
        <v>4.5</v>
      </c>
      <c r="K677" s="1">
        <v>25903.0</v>
      </c>
      <c r="L677" s="1" t="s">
        <v>2566</v>
      </c>
      <c r="M677" s="7" t="s">
        <v>2567</v>
      </c>
    </row>
    <row r="678">
      <c r="A678" s="1" t="s">
        <v>2568</v>
      </c>
      <c r="B678" s="1" t="s">
        <v>2569</v>
      </c>
      <c r="C678" s="1" t="s">
        <v>2265</v>
      </c>
      <c r="D678" s="1" t="str">
        <f t="shared" si="1"/>
        <v>Computers&amp;Accessories</v>
      </c>
      <c r="E678" s="1" t="str">
        <f t="shared" si="2"/>
        <v>ExternalDevices&amp;DataStorage</v>
      </c>
      <c r="F678" s="5">
        <v>1109.0</v>
      </c>
      <c r="G678" s="5">
        <v>2799.0</v>
      </c>
      <c r="H678" s="6">
        <f t="shared" si="3"/>
        <v>0.6037870668</v>
      </c>
      <c r="I678" s="3">
        <f>IFERROR(__xludf.DUMMYFUNCTION("GOOGLEFINANCE(""CURRENCY:INRBRL"")*F678"),67.53963608699)</f>
        <v>67.53963609</v>
      </c>
      <c r="J678" s="1">
        <v>4.5</v>
      </c>
      <c r="K678" s="1">
        <v>53464.0</v>
      </c>
      <c r="L678" s="1" t="s">
        <v>2570</v>
      </c>
      <c r="M678" s="7" t="s">
        <v>2571</v>
      </c>
    </row>
    <row r="679">
      <c r="A679" s="1" t="s">
        <v>1674</v>
      </c>
      <c r="B679" s="1" t="s">
        <v>1675</v>
      </c>
      <c r="C679" s="1" t="s">
        <v>1357</v>
      </c>
      <c r="D679" s="1" t="str">
        <f t="shared" si="1"/>
        <v>Electronics</v>
      </c>
      <c r="E679" s="1" t="str">
        <f t="shared" si="2"/>
        <v>WearableTechnology</v>
      </c>
      <c r="F679" s="5">
        <v>2999.0</v>
      </c>
      <c r="G679" s="5">
        <v>7999.0</v>
      </c>
      <c r="H679" s="6">
        <f t="shared" si="3"/>
        <v>0.6250781348</v>
      </c>
      <c r="I679" s="3">
        <f>IFERROR(__xludf.DUMMYFUNCTION("GOOGLEFINANCE(""CURRENCY:INRBRL"")*F679"),182.64325394489)</f>
        <v>182.6432539</v>
      </c>
      <c r="J679" s="1">
        <v>4.49</v>
      </c>
      <c r="K679" s="1">
        <v>48448.0</v>
      </c>
      <c r="L679" s="1" t="s">
        <v>1584</v>
      </c>
      <c r="M679" s="7" t="s">
        <v>2572</v>
      </c>
    </row>
    <row r="680">
      <c r="A680" s="1" t="s">
        <v>2573</v>
      </c>
      <c r="B680" s="1" t="s">
        <v>2574</v>
      </c>
      <c r="C680" s="1" t="s">
        <v>2485</v>
      </c>
      <c r="D680" s="1" t="str">
        <f t="shared" si="1"/>
        <v>Computers&amp;Accessories</v>
      </c>
      <c r="E680" s="1" t="str">
        <f t="shared" si="2"/>
        <v>Accessories&amp;Peripherals</v>
      </c>
      <c r="F680" s="1">
        <v>169.0</v>
      </c>
      <c r="G680" s="1">
        <v>299.0</v>
      </c>
      <c r="H680" s="6">
        <f t="shared" si="3"/>
        <v>0.4347826087</v>
      </c>
      <c r="I680" s="3">
        <f>IFERROR(__xludf.DUMMYFUNCTION("GOOGLEFINANCE(""CURRENCY:INRBRL"")*F680"),10.29233408359)</f>
        <v>10.29233408</v>
      </c>
      <c r="J680" s="1">
        <v>4.5</v>
      </c>
      <c r="K680" s="1">
        <v>5176.0</v>
      </c>
      <c r="L680" s="1" t="s">
        <v>2575</v>
      </c>
      <c r="M680" s="7" t="s">
        <v>2576</v>
      </c>
    </row>
    <row r="681">
      <c r="A681" s="1" t="s">
        <v>2577</v>
      </c>
      <c r="B681" s="1" t="s">
        <v>2578</v>
      </c>
      <c r="C681" s="1" t="s">
        <v>2444</v>
      </c>
      <c r="D681" s="1" t="str">
        <f t="shared" si="1"/>
        <v>Computers&amp;Accessories</v>
      </c>
      <c r="E681" s="1" t="str">
        <f t="shared" si="2"/>
        <v>Printers,Inks&amp;Accessories</v>
      </c>
      <c r="F681" s="1">
        <v>309.0</v>
      </c>
      <c r="G681" s="1">
        <v>404.0</v>
      </c>
      <c r="H681" s="6">
        <f t="shared" si="3"/>
        <v>0.2351485149</v>
      </c>
      <c r="I681" s="3">
        <f>IFERROR(__xludf.DUMMYFUNCTION("GOOGLEFINANCE(""CURRENCY:INRBRL"")*F681"),18.81852799899)</f>
        <v>18.818528</v>
      </c>
      <c r="J681" s="1">
        <v>4.5</v>
      </c>
      <c r="K681" s="1">
        <v>8614.0</v>
      </c>
      <c r="L681" s="1" t="s">
        <v>2579</v>
      </c>
      <c r="M681" s="7" t="s">
        <v>2580</v>
      </c>
    </row>
    <row r="682">
      <c r="A682" s="1" t="s">
        <v>2581</v>
      </c>
      <c r="B682" s="1" t="s">
        <v>2582</v>
      </c>
      <c r="C682" s="1" t="s">
        <v>2078</v>
      </c>
      <c r="D682" s="1" t="str">
        <f t="shared" si="1"/>
        <v>Electronics</v>
      </c>
      <c r="E682" s="1" t="str">
        <f t="shared" si="2"/>
        <v>Headphones,Earbuds&amp;Accessories</v>
      </c>
      <c r="F682" s="1">
        <v>599.0</v>
      </c>
      <c r="G682" s="5">
        <v>1399.0</v>
      </c>
      <c r="H682" s="6">
        <f t="shared" si="3"/>
        <v>0.5718370264</v>
      </c>
      <c r="I682" s="3">
        <f>IFERROR(__xludf.DUMMYFUNCTION("GOOGLEFINANCE(""CURRENCY:INRBRL"")*F682"),36.479929680889995)</f>
        <v>36.47992968</v>
      </c>
      <c r="J682" s="1">
        <v>4.51</v>
      </c>
      <c r="K682" s="1">
        <v>60026.0</v>
      </c>
      <c r="L682" s="1" t="s">
        <v>2583</v>
      </c>
      <c r="M682" s="7" t="s">
        <v>2584</v>
      </c>
    </row>
    <row r="683">
      <c r="A683" s="1" t="s">
        <v>2585</v>
      </c>
      <c r="B683" s="1" t="s">
        <v>2586</v>
      </c>
      <c r="C683" s="1" t="s">
        <v>2336</v>
      </c>
      <c r="D683" s="1" t="str">
        <f t="shared" si="1"/>
        <v>Computers&amp;Accessories</v>
      </c>
      <c r="E683" s="1" t="str">
        <f t="shared" si="2"/>
        <v>Accessories&amp;Peripherals</v>
      </c>
      <c r="F683" s="1">
        <v>299.0</v>
      </c>
      <c r="G683" s="1">
        <v>599.0</v>
      </c>
      <c r="H683" s="6">
        <f t="shared" si="3"/>
        <v>0.5008347245</v>
      </c>
      <c r="I683" s="3">
        <f>IFERROR(__xludf.DUMMYFUNCTION("GOOGLEFINANCE(""CURRENCY:INRBRL"")*F683"),18.209514147889998)</f>
        <v>18.20951415</v>
      </c>
      <c r="J683" s="1">
        <v>4.51</v>
      </c>
      <c r="K683" s="1">
        <v>3066.0</v>
      </c>
      <c r="L683" s="1" t="s">
        <v>2587</v>
      </c>
      <c r="M683" s="7" t="s">
        <v>2588</v>
      </c>
    </row>
    <row r="684">
      <c r="A684" s="1" t="s">
        <v>2589</v>
      </c>
      <c r="B684" s="1" t="s">
        <v>2590</v>
      </c>
      <c r="C684" s="1" t="s">
        <v>2284</v>
      </c>
      <c r="D684" s="1" t="str">
        <f t="shared" si="1"/>
        <v>Computers&amp;Accessories</v>
      </c>
      <c r="E684" s="1" t="str">
        <f t="shared" si="2"/>
        <v>Accessories&amp;Peripherals</v>
      </c>
      <c r="F684" s="1">
        <v>449.0</v>
      </c>
      <c r="G684" s="1">
        <v>999.0</v>
      </c>
      <c r="H684" s="6">
        <f t="shared" si="3"/>
        <v>0.5505505506</v>
      </c>
      <c r="I684" s="3">
        <f>IFERROR(__xludf.DUMMYFUNCTION("GOOGLEFINANCE(""CURRENCY:INRBRL"")*F684"),27.34472191439)</f>
        <v>27.34472191</v>
      </c>
      <c r="J684" s="1">
        <v>4.0</v>
      </c>
      <c r="K684" s="1">
        <v>2102.0</v>
      </c>
      <c r="L684" s="1" t="s">
        <v>2591</v>
      </c>
      <c r="M684" s="7" t="s">
        <v>2592</v>
      </c>
    </row>
    <row r="685">
      <c r="A685" s="1" t="s">
        <v>2593</v>
      </c>
      <c r="B685" s="1" t="s">
        <v>2594</v>
      </c>
      <c r="C685" s="1" t="s">
        <v>2270</v>
      </c>
      <c r="D685" s="1" t="str">
        <f t="shared" si="1"/>
        <v>Computers&amp;Accessories</v>
      </c>
      <c r="E685" s="1" t="str">
        <f t="shared" si="2"/>
        <v>Accessories&amp;Peripherals</v>
      </c>
      <c r="F685" s="1">
        <v>799.0</v>
      </c>
      <c r="G685" s="5">
        <v>1295.0</v>
      </c>
      <c r="H685" s="6">
        <f t="shared" si="3"/>
        <v>0.383011583</v>
      </c>
      <c r="I685" s="3">
        <f>IFERROR(__xludf.DUMMYFUNCTION("GOOGLEFINANCE(""CURRENCY:INRBRL"")*F685"),48.66020670289)</f>
        <v>48.6602067</v>
      </c>
      <c r="J685" s="1">
        <v>4.5</v>
      </c>
      <c r="K685" s="1">
        <v>34852.0</v>
      </c>
      <c r="L685" s="1" t="s">
        <v>2595</v>
      </c>
      <c r="M685" s="7" t="s">
        <v>2596</v>
      </c>
    </row>
    <row r="686">
      <c r="A686" s="1" t="s">
        <v>70</v>
      </c>
      <c r="B686" s="1" t="s">
        <v>71</v>
      </c>
      <c r="C686" s="1" t="s">
        <v>72</v>
      </c>
      <c r="D686" s="1" t="str">
        <f t="shared" si="1"/>
        <v>Electronics</v>
      </c>
      <c r="E686" s="1" t="str">
        <f t="shared" si="2"/>
        <v>HomeTheater,TV&amp;Video</v>
      </c>
      <c r="F686" s="1">
        <v>219.0</v>
      </c>
      <c r="G686" s="1">
        <v>700.0</v>
      </c>
      <c r="H686" s="6">
        <f t="shared" si="3"/>
        <v>0.6871428571</v>
      </c>
      <c r="I686" s="3">
        <f>IFERROR(__xludf.DUMMYFUNCTION("GOOGLEFINANCE(""CURRENCY:INRBRL"")*F686"),13.337403339089999)</f>
        <v>13.33740334</v>
      </c>
      <c r="J686" s="1">
        <v>4.5</v>
      </c>
      <c r="K686" s="1">
        <v>426972.0</v>
      </c>
      <c r="L686" s="1" t="s">
        <v>73</v>
      </c>
      <c r="M686" s="7" t="s">
        <v>2597</v>
      </c>
    </row>
    <row r="687">
      <c r="A687" s="1" t="s">
        <v>2598</v>
      </c>
      <c r="B687" s="1" t="s">
        <v>2599</v>
      </c>
      <c r="C687" s="1" t="s">
        <v>2600</v>
      </c>
      <c r="D687" s="1" t="str">
        <f t="shared" si="1"/>
        <v>OfficeProducts</v>
      </c>
      <c r="E687" s="1" t="str">
        <f t="shared" si="2"/>
        <v>OfficePaperProducts</v>
      </c>
      <c r="F687" s="1">
        <v>157.0</v>
      </c>
      <c r="G687" s="1">
        <v>160.0</v>
      </c>
      <c r="H687" s="6">
        <f t="shared" si="3"/>
        <v>0.01875</v>
      </c>
      <c r="I687" s="3">
        <f>IFERROR(__xludf.DUMMYFUNCTION("GOOGLEFINANCE(""CURRENCY:INRBRL"")*F687"),9.56151746227)</f>
        <v>9.561517462</v>
      </c>
      <c r="J687" s="1">
        <v>4.51</v>
      </c>
      <c r="K687" s="1">
        <v>8618.0</v>
      </c>
      <c r="L687" s="1" t="s">
        <v>2601</v>
      </c>
      <c r="M687" s="7" t="s">
        <v>2602</v>
      </c>
    </row>
    <row r="688">
      <c r="A688" s="1" t="s">
        <v>1714</v>
      </c>
      <c r="B688" s="1" t="s">
        <v>1715</v>
      </c>
      <c r="C688" s="1" t="s">
        <v>1394</v>
      </c>
      <c r="D688" s="1" t="str">
        <f t="shared" si="1"/>
        <v>Electronics</v>
      </c>
      <c r="E688" s="1" t="str">
        <f t="shared" si="2"/>
        <v>Accessories</v>
      </c>
      <c r="F688" s="1">
        <v>369.0</v>
      </c>
      <c r="G688" s="5">
        <v>1599.0</v>
      </c>
      <c r="H688" s="6">
        <f t="shared" si="3"/>
        <v>0.7692307692</v>
      </c>
      <c r="I688" s="3">
        <f>IFERROR(__xludf.DUMMYFUNCTION("GOOGLEFINANCE(""CURRENCY:INRBRL"")*F688"),22.472611105589998)</f>
        <v>22.47261111</v>
      </c>
      <c r="J688" s="1">
        <v>4.0</v>
      </c>
      <c r="K688" s="1">
        <v>32625.0</v>
      </c>
      <c r="L688" s="1" t="s">
        <v>2603</v>
      </c>
      <c r="M688" s="7" t="s">
        <v>2604</v>
      </c>
    </row>
    <row r="689">
      <c r="A689" s="1" t="s">
        <v>2605</v>
      </c>
      <c r="B689" s="1" t="s">
        <v>2606</v>
      </c>
      <c r="C689" s="1" t="s">
        <v>2270</v>
      </c>
      <c r="D689" s="1" t="str">
        <f t="shared" si="1"/>
        <v>Computers&amp;Accessories</v>
      </c>
      <c r="E689" s="1" t="str">
        <f t="shared" si="2"/>
        <v>Accessories&amp;Peripherals</v>
      </c>
      <c r="F689" s="1">
        <v>599.0</v>
      </c>
      <c r="G689" s="1">
        <v>899.0</v>
      </c>
      <c r="H689" s="6">
        <f t="shared" si="3"/>
        <v>0.3337041157</v>
      </c>
      <c r="I689" s="3">
        <f>IFERROR(__xludf.DUMMYFUNCTION("GOOGLEFINANCE(""CURRENCY:INRBRL"")*F689"),36.479929680889995)</f>
        <v>36.47992968</v>
      </c>
      <c r="J689" s="1">
        <v>4.0</v>
      </c>
      <c r="K689" s="1">
        <v>4018.0</v>
      </c>
      <c r="L689" s="1" t="s">
        <v>2607</v>
      </c>
      <c r="M689" s="7" t="s">
        <v>2608</v>
      </c>
    </row>
    <row r="690">
      <c r="A690" s="1" t="s">
        <v>2609</v>
      </c>
      <c r="B690" s="1" t="s">
        <v>2610</v>
      </c>
      <c r="C690" s="1" t="s">
        <v>2611</v>
      </c>
      <c r="D690" s="1" t="str">
        <f t="shared" si="1"/>
        <v>Electronics</v>
      </c>
      <c r="E690" s="1" t="str">
        <f t="shared" si="2"/>
        <v>GeneralPurposeBatteries&amp;BatteryChargers</v>
      </c>
      <c r="F690" s="1">
        <v>479.0</v>
      </c>
      <c r="G690" s="1">
        <v>599.0</v>
      </c>
      <c r="H690" s="6">
        <f t="shared" si="3"/>
        <v>0.2003338898</v>
      </c>
      <c r="I690" s="3">
        <f>IFERROR(__xludf.DUMMYFUNCTION("GOOGLEFINANCE(""CURRENCY:INRBRL"")*F690"),29.17176346769)</f>
        <v>29.17176347</v>
      </c>
      <c r="J690" s="1">
        <v>4.5</v>
      </c>
      <c r="K690" s="1">
        <v>11687.0</v>
      </c>
      <c r="L690" s="1" t="s">
        <v>2612</v>
      </c>
      <c r="M690" s="7" t="s">
        <v>2613</v>
      </c>
    </row>
    <row r="691">
      <c r="A691" s="1" t="s">
        <v>75</v>
      </c>
      <c r="B691" s="1" t="s">
        <v>76</v>
      </c>
      <c r="C691" s="1" t="s">
        <v>22</v>
      </c>
      <c r="D691" s="1" t="str">
        <f t="shared" si="1"/>
        <v>Computers&amp;Accessories</v>
      </c>
      <c r="E691" s="1" t="str">
        <f t="shared" si="2"/>
        <v>Accessories&amp;Peripherals</v>
      </c>
      <c r="F691" s="1">
        <v>350.0</v>
      </c>
      <c r="G691" s="1">
        <v>899.0</v>
      </c>
      <c r="H691" s="6">
        <f t="shared" si="3"/>
        <v>0.6106785317</v>
      </c>
      <c r="I691" s="3">
        <f>IFERROR(__xludf.DUMMYFUNCTION("GOOGLEFINANCE(""CURRENCY:INRBRL"")*F691"),21.315484788499997)</f>
        <v>21.31548479</v>
      </c>
      <c r="J691" s="1">
        <v>4.5</v>
      </c>
      <c r="K691" s="1">
        <v>2262.0</v>
      </c>
      <c r="L691" s="1" t="s">
        <v>77</v>
      </c>
      <c r="M691" s="7" t="s">
        <v>2614</v>
      </c>
    </row>
    <row r="692">
      <c r="A692" s="1" t="s">
        <v>2615</v>
      </c>
      <c r="B692" s="1" t="s">
        <v>2616</v>
      </c>
      <c r="C692" s="1" t="s">
        <v>1412</v>
      </c>
      <c r="D692" s="1" t="str">
        <f t="shared" si="1"/>
        <v>Electronics</v>
      </c>
      <c r="E692" s="1" t="str">
        <f t="shared" si="2"/>
        <v>Headphones,Earbuds&amp;Accessories</v>
      </c>
      <c r="F692" s="5">
        <v>1598.0</v>
      </c>
      <c r="G692" s="5">
        <v>2990.0</v>
      </c>
      <c r="H692" s="6">
        <f t="shared" si="3"/>
        <v>0.4655518395</v>
      </c>
      <c r="I692" s="3">
        <f>IFERROR(__xludf.DUMMYFUNCTION("GOOGLEFINANCE(""CURRENCY:INRBRL"")*F692"),97.32041340578)</f>
        <v>97.32041341</v>
      </c>
      <c r="J692" s="1">
        <v>4.51</v>
      </c>
      <c r="K692" s="1">
        <v>11015.0</v>
      </c>
      <c r="L692" s="1" t="s">
        <v>2617</v>
      </c>
      <c r="M692" s="7" t="s">
        <v>2618</v>
      </c>
    </row>
    <row r="693">
      <c r="A693" s="1" t="s">
        <v>2619</v>
      </c>
      <c r="B693" s="1" t="s">
        <v>2620</v>
      </c>
      <c r="C693" s="1" t="s">
        <v>2621</v>
      </c>
      <c r="D693" s="1" t="str">
        <f t="shared" si="1"/>
        <v>Computers&amp;Accessories</v>
      </c>
      <c r="E693" s="1" t="str">
        <f t="shared" si="2"/>
        <v>NetworkingDevices</v>
      </c>
      <c r="F693" s="1">
        <v>599.0</v>
      </c>
      <c r="G693" s="1">
        <v>899.0</v>
      </c>
      <c r="H693" s="6">
        <f t="shared" si="3"/>
        <v>0.3337041157</v>
      </c>
      <c r="I693" s="3">
        <f>IFERROR(__xludf.DUMMYFUNCTION("GOOGLEFINANCE(""CURRENCY:INRBRL"")*F693"),36.479929680889995)</f>
        <v>36.47992968</v>
      </c>
      <c r="J693" s="1">
        <v>4.5</v>
      </c>
      <c r="K693" s="1">
        <v>95116.0</v>
      </c>
      <c r="L693" s="1" t="s">
        <v>2622</v>
      </c>
      <c r="M693" s="7" t="s">
        <v>2623</v>
      </c>
    </row>
    <row r="694">
      <c r="A694" s="1" t="s">
        <v>79</v>
      </c>
      <c r="B694" s="1" t="s">
        <v>80</v>
      </c>
      <c r="C694" s="1" t="s">
        <v>22</v>
      </c>
      <c r="D694" s="1" t="str">
        <f t="shared" si="1"/>
        <v>Computers&amp;Accessories</v>
      </c>
      <c r="E694" s="1" t="str">
        <f t="shared" si="2"/>
        <v>Accessories&amp;Peripherals</v>
      </c>
      <c r="F694" s="1">
        <v>159.0</v>
      </c>
      <c r="G694" s="1">
        <v>399.0</v>
      </c>
      <c r="H694" s="6">
        <f t="shared" si="3"/>
        <v>0.6015037594</v>
      </c>
      <c r="I694" s="3">
        <f>IFERROR(__xludf.DUMMYFUNCTION("GOOGLEFINANCE(""CURRENCY:INRBRL"")*F694"),9.683320232489999)</f>
        <v>9.683320232</v>
      </c>
      <c r="J694" s="1">
        <v>4.49</v>
      </c>
      <c r="K694" s="1">
        <v>4768.0</v>
      </c>
      <c r="L694" s="1" t="s">
        <v>39</v>
      </c>
      <c r="M694" s="7" t="s">
        <v>2624</v>
      </c>
    </row>
    <row r="695">
      <c r="A695" s="1" t="s">
        <v>2625</v>
      </c>
      <c r="B695" s="1" t="s">
        <v>2626</v>
      </c>
      <c r="C695" s="1" t="s">
        <v>2265</v>
      </c>
      <c r="D695" s="1" t="str">
        <f t="shared" si="1"/>
        <v>Computers&amp;Accessories</v>
      </c>
      <c r="E695" s="1" t="str">
        <f t="shared" si="2"/>
        <v>ExternalDevices&amp;DataStorage</v>
      </c>
      <c r="F695" s="5">
        <v>1299.0</v>
      </c>
      <c r="G695" s="5">
        <v>2999.0</v>
      </c>
      <c r="H695" s="6">
        <f t="shared" si="3"/>
        <v>0.5668556185</v>
      </c>
      <c r="I695" s="3">
        <f>IFERROR(__xludf.DUMMYFUNCTION("GOOGLEFINANCE(""CURRENCY:INRBRL"")*F695"),79.11089925789)</f>
        <v>79.11089926</v>
      </c>
      <c r="J695" s="1">
        <v>4.5</v>
      </c>
      <c r="K695" s="1">
        <v>23022.0</v>
      </c>
      <c r="L695" s="1" t="s">
        <v>2627</v>
      </c>
      <c r="M695" s="7" t="s">
        <v>2628</v>
      </c>
    </row>
    <row r="696">
      <c r="A696" s="1" t="s">
        <v>1769</v>
      </c>
      <c r="B696" s="1" t="s">
        <v>1770</v>
      </c>
      <c r="C696" s="1" t="s">
        <v>1357</v>
      </c>
      <c r="D696" s="1" t="str">
        <f t="shared" si="1"/>
        <v>Electronics</v>
      </c>
      <c r="E696" s="1" t="str">
        <f t="shared" si="2"/>
        <v>WearableTechnology</v>
      </c>
      <c r="F696" s="5">
        <v>1599.0</v>
      </c>
      <c r="G696" s="5">
        <v>4999.0</v>
      </c>
      <c r="H696" s="6">
        <f t="shared" si="3"/>
        <v>0.6801360272</v>
      </c>
      <c r="I696" s="3">
        <f>IFERROR(__xludf.DUMMYFUNCTION("GOOGLEFINANCE(""CURRENCY:INRBRL"")*F696"),97.38131479089)</f>
        <v>97.38131479</v>
      </c>
      <c r="J696" s="1">
        <v>4.0</v>
      </c>
      <c r="K696" s="1">
        <v>67951.0</v>
      </c>
      <c r="L696" s="1" t="s">
        <v>1771</v>
      </c>
      <c r="M696" s="7" t="s">
        <v>2629</v>
      </c>
    </row>
    <row r="697">
      <c r="A697" s="1" t="s">
        <v>2630</v>
      </c>
      <c r="B697" s="1" t="s">
        <v>2631</v>
      </c>
      <c r="C697" s="1" t="s">
        <v>2632</v>
      </c>
      <c r="D697" s="1" t="str">
        <f t="shared" si="1"/>
        <v>Computers&amp;Accessories</v>
      </c>
      <c r="E697" s="1" t="str">
        <f t="shared" si="2"/>
        <v>Accessories&amp;Peripherals</v>
      </c>
      <c r="F697" s="1">
        <v>294.0</v>
      </c>
      <c r="G697" s="5">
        <v>4999.0</v>
      </c>
      <c r="H697" s="6">
        <f t="shared" si="3"/>
        <v>0.9411882376</v>
      </c>
      <c r="I697" s="3">
        <f>IFERROR(__xludf.DUMMYFUNCTION("GOOGLEFINANCE(""CURRENCY:INRBRL"")*F697"),17.90500722234)</f>
        <v>17.90500722</v>
      </c>
      <c r="J697" s="1">
        <v>4.5</v>
      </c>
      <c r="K697" s="1">
        <v>4426.0</v>
      </c>
      <c r="L697" s="1" t="s">
        <v>2633</v>
      </c>
      <c r="M697" s="7" t="s">
        <v>2634</v>
      </c>
    </row>
    <row r="698">
      <c r="A698" s="1" t="s">
        <v>2635</v>
      </c>
      <c r="B698" s="1" t="s">
        <v>2636</v>
      </c>
      <c r="C698" s="1" t="s">
        <v>2444</v>
      </c>
      <c r="D698" s="1" t="str">
        <f t="shared" si="1"/>
        <v>Computers&amp;Accessories</v>
      </c>
      <c r="E698" s="1" t="str">
        <f t="shared" si="2"/>
        <v>Printers,Inks&amp;Accessories</v>
      </c>
      <c r="F698" s="1">
        <v>828.0</v>
      </c>
      <c r="G698" s="1">
        <v>861.0</v>
      </c>
      <c r="H698" s="6">
        <f t="shared" si="3"/>
        <v>0.03832752613</v>
      </c>
      <c r="I698" s="3">
        <f>IFERROR(__xludf.DUMMYFUNCTION("GOOGLEFINANCE(""CURRENCY:INRBRL"")*F698"),50.42634687108)</f>
        <v>50.42634687</v>
      </c>
      <c r="J698" s="1">
        <v>4.5</v>
      </c>
      <c r="K698" s="1">
        <v>4567.0</v>
      </c>
      <c r="L698" s="1" t="s">
        <v>2637</v>
      </c>
      <c r="M698" s="7" t="s">
        <v>2638</v>
      </c>
    </row>
    <row r="699">
      <c r="A699" s="1" t="s">
        <v>2639</v>
      </c>
      <c r="B699" s="1" t="s">
        <v>2640</v>
      </c>
      <c r="C699" s="1" t="s">
        <v>2078</v>
      </c>
      <c r="D699" s="1" t="str">
        <f t="shared" si="1"/>
        <v>Electronics</v>
      </c>
      <c r="E699" s="1" t="str">
        <f t="shared" si="2"/>
        <v>Headphones,Earbuds&amp;Accessories</v>
      </c>
      <c r="F699" s="1">
        <v>745.0</v>
      </c>
      <c r="G699" s="1">
        <v>795.0</v>
      </c>
      <c r="H699" s="6">
        <f t="shared" si="3"/>
        <v>0.06289308176</v>
      </c>
      <c r="I699" s="3">
        <f>IFERROR(__xludf.DUMMYFUNCTION("GOOGLEFINANCE(""CURRENCY:INRBRL"")*F699"),45.37153190695)</f>
        <v>45.37153191</v>
      </c>
      <c r="J699" s="1">
        <v>4.0</v>
      </c>
      <c r="K699" s="1">
        <v>13797.0</v>
      </c>
      <c r="L699" s="1" t="s">
        <v>2641</v>
      </c>
      <c r="M699" s="7" t="s">
        <v>2642</v>
      </c>
    </row>
    <row r="700">
      <c r="A700" s="1" t="s">
        <v>2643</v>
      </c>
      <c r="B700" s="1" t="s">
        <v>2644</v>
      </c>
      <c r="C700" s="1" t="s">
        <v>2645</v>
      </c>
      <c r="D700" s="1" t="str">
        <f t="shared" si="1"/>
        <v>Electronics</v>
      </c>
      <c r="E700" s="1" t="str">
        <f t="shared" si="2"/>
        <v>Cameras&amp;Photography</v>
      </c>
      <c r="F700" s="5">
        <v>1549.0</v>
      </c>
      <c r="G700" s="5">
        <v>2495.0</v>
      </c>
      <c r="H700" s="6">
        <f t="shared" si="3"/>
        <v>0.3791583166</v>
      </c>
      <c r="I700" s="3">
        <f>IFERROR(__xludf.DUMMYFUNCTION("GOOGLEFINANCE(""CURRENCY:INRBRL"")*F700"),94.33624553538999)</f>
        <v>94.33624554</v>
      </c>
      <c r="J700" s="1">
        <v>4.5</v>
      </c>
      <c r="K700" s="1">
        <v>15137.0</v>
      </c>
      <c r="L700" s="1" t="s">
        <v>2646</v>
      </c>
      <c r="M700" s="7" t="s">
        <v>2647</v>
      </c>
    </row>
    <row r="701">
      <c r="A701" s="1" t="s">
        <v>82</v>
      </c>
      <c r="B701" s="1" t="s">
        <v>83</v>
      </c>
      <c r="C701" s="1" t="s">
        <v>22</v>
      </c>
      <c r="D701" s="1" t="str">
        <f t="shared" si="1"/>
        <v>Computers&amp;Accessories</v>
      </c>
      <c r="E701" s="1" t="str">
        <f t="shared" si="2"/>
        <v>Accessories&amp;Peripherals</v>
      </c>
      <c r="F701" s="1">
        <v>349.0</v>
      </c>
      <c r="G701" s="1">
        <v>399.0</v>
      </c>
      <c r="H701" s="6">
        <f t="shared" si="3"/>
        <v>0.1253132832</v>
      </c>
      <c r="I701" s="3">
        <f>IFERROR(__xludf.DUMMYFUNCTION("GOOGLEFINANCE(""CURRENCY:INRBRL"")*F701"),21.25458340339)</f>
        <v>21.2545834</v>
      </c>
      <c r="J701" s="1">
        <v>4.5</v>
      </c>
      <c r="K701" s="1">
        <v>18757.0</v>
      </c>
      <c r="L701" s="1" t="s">
        <v>2648</v>
      </c>
      <c r="M701" s="7" t="s">
        <v>2649</v>
      </c>
    </row>
    <row r="702">
      <c r="A702" s="1" t="s">
        <v>103</v>
      </c>
      <c r="B702" s="1" t="s">
        <v>104</v>
      </c>
      <c r="C702" s="1" t="s">
        <v>22</v>
      </c>
      <c r="D702" s="1" t="str">
        <f t="shared" si="1"/>
        <v>Computers&amp;Accessories</v>
      </c>
      <c r="E702" s="1" t="str">
        <f t="shared" si="2"/>
        <v>Accessories&amp;Peripherals</v>
      </c>
      <c r="F702" s="1">
        <v>970.0</v>
      </c>
      <c r="G702" s="5">
        <v>1799.0</v>
      </c>
      <c r="H702" s="6">
        <f t="shared" si="3"/>
        <v>0.460811562</v>
      </c>
      <c r="I702" s="3">
        <f>IFERROR(__xludf.DUMMYFUNCTION("GOOGLEFINANCE(""CURRENCY:INRBRL"")*F702"),59.0743435567)</f>
        <v>59.07434356</v>
      </c>
      <c r="J702" s="1">
        <v>4.51</v>
      </c>
      <c r="K702" s="1">
        <v>815.0</v>
      </c>
      <c r="L702" s="1" t="s">
        <v>105</v>
      </c>
      <c r="M702" s="7" t="s">
        <v>2650</v>
      </c>
    </row>
    <row r="703">
      <c r="A703" s="1" t="s">
        <v>2651</v>
      </c>
      <c r="B703" s="1" t="s">
        <v>2652</v>
      </c>
      <c r="C703" s="1" t="s">
        <v>2428</v>
      </c>
      <c r="D703" s="1" t="str">
        <f t="shared" si="1"/>
        <v>Computers&amp;Accessories</v>
      </c>
      <c r="E703" s="1" t="str">
        <f t="shared" si="2"/>
        <v>NetworkingDevices</v>
      </c>
      <c r="F703" s="5">
        <v>1469.0</v>
      </c>
      <c r="G703" s="5">
        <v>2499.0</v>
      </c>
      <c r="H703" s="6">
        <f t="shared" si="3"/>
        <v>0.4121648659</v>
      </c>
      <c r="I703" s="3">
        <f>IFERROR(__xludf.DUMMYFUNCTION("GOOGLEFINANCE(""CURRENCY:INRBRL"")*F703"),89.46413472658999)</f>
        <v>89.46413473</v>
      </c>
      <c r="J703" s="1">
        <v>4.5</v>
      </c>
      <c r="K703" s="1">
        <v>156638.0</v>
      </c>
      <c r="L703" s="1" t="s">
        <v>2653</v>
      </c>
      <c r="M703" s="7" t="s">
        <v>2654</v>
      </c>
    </row>
    <row r="704">
      <c r="A704" s="1" t="s">
        <v>2655</v>
      </c>
      <c r="B704" s="1" t="s">
        <v>2656</v>
      </c>
      <c r="C704" s="1" t="s">
        <v>2657</v>
      </c>
      <c r="D704" s="1" t="str">
        <f t="shared" si="1"/>
        <v>OfficeProducts</v>
      </c>
      <c r="E704" s="1" t="str">
        <f t="shared" si="2"/>
        <v>OfficePaperProducts</v>
      </c>
      <c r="F704" s="1">
        <v>198.0</v>
      </c>
      <c r="G704" s="1">
        <v>800.0</v>
      </c>
      <c r="H704" s="6">
        <f t="shared" si="3"/>
        <v>0.7525</v>
      </c>
      <c r="I704" s="3">
        <f>IFERROR(__xludf.DUMMYFUNCTION("GOOGLEFINANCE(""CURRENCY:INRBRL"")*F704"),12.05847425178)</f>
        <v>12.05847425</v>
      </c>
      <c r="J704" s="1">
        <v>4.49</v>
      </c>
      <c r="K704" s="1">
        <v>9344.0</v>
      </c>
      <c r="L704" s="1" t="s">
        <v>2658</v>
      </c>
      <c r="M704" s="7" t="s">
        <v>2659</v>
      </c>
    </row>
    <row r="705">
      <c r="A705" s="1" t="s">
        <v>2660</v>
      </c>
      <c r="B705" s="1" t="s">
        <v>2661</v>
      </c>
      <c r="C705" s="1" t="s">
        <v>2662</v>
      </c>
      <c r="D705" s="1" t="str">
        <f t="shared" si="1"/>
        <v>Electronics</v>
      </c>
      <c r="E705" s="1" t="str">
        <f t="shared" si="2"/>
        <v>Cameras&amp;Photography</v>
      </c>
      <c r="F705" s="1">
        <v>549.0</v>
      </c>
      <c r="G705" s="1">
        <v>549.0</v>
      </c>
      <c r="H705" s="6">
        <f t="shared" si="3"/>
        <v>0</v>
      </c>
      <c r="I705" s="3">
        <f>IFERROR(__xludf.DUMMYFUNCTION("GOOGLEFINANCE(""CURRENCY:INRBRL"")*F705"),33.43486042539)</f>
        <v>33.43486043</v>
      </c>
      <c r="J705" s="1">
        <v>4.51</v>
      </c>
      <c r="K705" s="1">
        <v>4875.0</v>
      </c>
      <c r="L705" s="1" t="s">
        <v>2663</v>
      </c>
      <c r="M705" s="7" t="s">
        <v>2664</v>
      </c>
    </row>
    <row r="706">
      <c r="A706" s="1" t="s">
        <v>1852</v>
      </c>
      <c r="B706" s="1" t="s">
        <v>1853</v>
      </c>
      <c r="C706" s="1" t="s">
        <v>1357</v>
      </c>
      <c r="D706" s="1" t="str">
        <f t="shared" si="1"/>
        <v>Electronics</v>
      </c>
      <c r="E706" s="1" t="str">
        <f t="shared" si="2"/>
        <v>WearableTechnology</v>
      </c>
      <c r="F706" s="5">
        <v>2999.0</v>
      </c>
      <c r="G706" s="5">
        <v>9999.0</v>
      </c>
      <c r="H706" s="6">
        <f t="shared" si="3"/>
        <v>0.700070007</v>
      </c>
      <c r="I706" s="3">
        <f>IFERROR(__xludf.DUMMYFUNCTION("GOOGLEFINANCE(""CURRENCY:INRBRL"")*F706"),182.64325394489)</f>
        <v>182.6432539</v>
      </c>
      <c r="J706" s="1">
        <v>4.5</v>
      </c>
      <c r="K706" s="1">
        <v>20881.0</v>
      </c>
      <c r="L706" s="1" t="s">
        <v>1854</v>
      </c>
      <c r="M706" s="7" t="s">
        <v>2665</v>
      </c>
    </row>
    <row r="707">
      <c r="A707" s="1" t="s">
        <v>2666</v>
      </c>
      <c r="B707" s="1" t="s">
        <v>2667</v>
      </c>
      <c r="C707" s="1" t="s">
        <v>1357</v>
      </c>
      <c r="D707" s="1" t="str">
        <f t="shared" si="1"/>
        <v>Electronics</v>
      </c>
      <c r="E707" s="1" t="str">
        <f t="shared" si="2"/>
        <v>WearableTechnology</v>
      </c>
      <c r="F707" s="5">
        <v>11999.0</v>
      </c>
      <c r="G707" s="5">
        <v>29999.0</v>
      </c>
      <c r="H707" s="6">
        <f t="shared" si="3"/>
        <v>0.6000200007</v>
      </c>
      <c r="I707" s="3">
        <f>IFERROR(__xludf.DUMMYFUNCTION("GOOGLEFINANCE(""CURRENCY:INRBRL"")*F707"),730.75571993489)</f>
        <v>730.7557199</v>
      </c>
      <c r="J707" s="1">
        <v>4.5</v>
      </c>
      <c r="K707" s="1">
        <v>4744.0</v>
      </c>
      <c r="L707" s="1" t="s">
        <v>2668</v>
      </c>
      <c r="M707" s="7" t="s">
        <v>2669</v>
      </c>
    </row>
    <row r="708">
      <c r="A708" s="1" t="s">
        <v>2670</v>
      </c>
      <c r="B708" s="1" t="s">
        <v>2671</v>
      </c>
      <c r="C708" s="1" t="s">
        <v>1412</v>
      </c>
      <c r="D708" s="1" t="str">
        <f t="shared" si="1"/>
        <v>Electronics</v>
      </c>
      <c r="E708" s="1" t="str">
        <f t="shared" si="2"/>
        <v>Headphones,Earbuds&amp;Accessories</v>
      </c>
      <c r="F708" s="5">
        <v>1299.0</v>
      </c>
      <c r="G708" s="5">
        <v>3499.0</v>
      </c>
      <c r="H708" s="6">
        <f t="shared" si="3"/>
        <v>0.6287510717</v>
      </c>
      <c r="I708" s="3">
        <f>IFERROR(__xludf.DUMMYFUNCTION("GOOGLEFINANCE(""CURRENCY:INRBRL"")*F708"),79.11089925789)</f>
        <v>79.11089926</v>
      </c>
      <c r="J708" s="1">
        <v>4.52</v>
      </c>
      <c r="K708" s="1">
        <v>12452.0</v>
      </c>
      <c r="L708" s="1" t="s">
        <v>2672</v>
      </c>
      <c r="M708" s="7" t="s">
        <v>2673</v>
      </c>
    </row>
    <row r="709">
      <c r="A709" s="1" t="s">
        <v>2674</v>
      </c>
      <c r="B709" s="1" t="s">
        <v>2675</v>
      </c>
      <c r="C709" s="1" t="s">
        <v>2352</v>
      </c>
      <c r="D709" s="1" t="str">
        <f t="shared" si="1"/>
        <v>Electronics</v>
      </c>
      <c r="E709" s="1" t="str">
        <f t="shared" si="2"/>
        <v>GeneralPurposeBatteries&amp;BatteryChargers</v>
      </c>
      <c r="F709" s="1">
        <v>269.0</v>
      </c>
      <c r="G709" s="1">
        <v>315.0</v>
      </c>
      <c r="H709" s="6">
        <f t="shared" si="3"/>
        <v>0.146031746</v>
      </c>
      <c r="I709" s="3">
        <f>IFERROR(__xludf.DUMMYFUNCTION("GOOGLEFINANCE(""CURRENCY:INRBRL"")*F709"),16.38247259459)</f>
        <v>16.38247259</v>
      </c>
      <c r="J709" s="1">
        <v>4.51</v>
      </c>
      <c r="K709" s="1">
        <v>1781.0</v>
      </c>
      <c r="L709" s="1" t="s">
        <v>2676</v>
      </c>
      <c r="M709" s="7" t="s">
        <v>2677</v>
      </c>
    </row>
    <row r="710">
      <c r="A710" s="1" t="s">
        <v>2678</v>
      </c>
      <c r="B710" s="1" t="s">
        <v>2679</v>
      </c>
      <c r="C710" s="1" t="s">
        <v>1412</v>
      </c>
      <c r="D710" s="1" t="str">
        <f t="shared" si="1"/>
        <v>Electronics</v>
      </c>
      <c r="E710" s="1" t="str">
        <f t="shared" si="2"/>
        <v>Headphones,Earbuds&amp;Accessories</v>
      </c>
      <c r="F710" s="1">
        <v>799.0</v>
      </c>
      <c r="G710" s="5">
        <v>1499.0</v>
      </c>
      <c r="H710" s="6">
        <f t="shared" si="3"/>
        <v>0.4669779853</v>
      </c>
      <c r="I710" s="3">
        <f>IFERROR(__xludf.DUMMYFUNCTION("GOOGLEFINANCE(""CURRENCY:INRBRL"")*F710"),48.66020670289)</f>
        <v>48.6602067</v>
      </c>
      <c r="J710" s="1">
        <v>4.49</v>
      </c>
      <c r="K710" s="1">
        <v>53648.0</v>
      </c>
      <c r="L710" s="1" t="s">
        <v>2680</v>
      </c>
      <c r="M710" s="7" t="s">
        <v>2681</v>
      </c>
    </row>
    <row r="711">
      <c r="A711" s="1" t="s">
        <v>2682</v>
      </c>
      <c r="B711" s="1" t="s">
        <v>2683</v>
      </c>
      <c r="C711" s="1" t="s">
        <v>2684</v>
      </c>
      <c r="D711" s="1" t="str">
        <f t="shared" si="1"/>
        <v>Computers&amp;Accessories</v>
      </c>
      <c r="E711" s="1" t="str">
        <f t="shared" si="2"/>
        <v>#VALUE!</v>
      </c>
      <c r="F711" s="5">
        <v>6299.0</v>
      </c>
      <c r="G711" s="5">
        <v>13750.0</v>
      </c>
      <c r="H711" s="6">
        <f t="shared" si="3"/>
        <v>0.5418909091</v>
      </c>
      <c r="I711" s="3">
        <f>IFERROR(__xludf.DUMMYFUNCTION("GOOGLEFINANCE(""CURRENCY:INRBRL"")*F711"),383.61782480789)</f>
        <v>383.6178248</v>
      </c>
      <c r="J711" s="1">
        <v>4.5</v>
      </c>
      <c r="K711" s="1">
        <v>2014.0</v>
      </c>
      <c r="L711" s="1" t="s">
        <v>2685</v>
      </c>
      <c r="M711" s="7" t="s">
        <v>2686</v>
      </c>
    </row>
    <row r="712">
      <c r="A712" s="1" t="s">
        <v>2687</v>
      </c>
      <c r="B712" s="1" t="s">
        <v>2688</v>
      </c>
      <c r="C712" s="1" t="s">
        <v>2689</v>
      </c>
      <c r="D712" s="1" t="str">
        <f t="shared" si="1"/>
        <v>Computers&amp;Accessories</v>
      </c>
      <c r="E712" s="1" t="str">
        <f t="shared" si="2"/>
        <v>Accessories&amp;Peripherals</v>
      </c>
      <c r="F712" s="1">
        <v>59.0</v>
      </c>
      <c r="G712" s="1">
        <v>59.0</v>
      </c>
      <c r="H712" s="6">
        <f t="shared" si="3"/>
        <v>0</v>
      </c>
      <c r="I712" s="3">
        <f>IFERROR(__xludf.DUMMYFUNCTION("GOOGLEFINANCE(""CURRENCY:INRBRL"")*F712"),3.5931817214899997)</f>
        <v>3.593181721</v>
      </c>
      <c r="J712" s="1">
        <v>4.51</v>
      </c>
      <c r="K712" s="1">
        <v>5958.0</v>
      </c>
      <c r="L712" s="1" t="s">
        <v>2690</v>
      </c>
      <c r="M712" s="7" t="s">
        <v>2691</v>
      </c>
    </row>
    <row r="713">
      <c r="A713" s="1" t="s">
        <v>2692</v>
      </c>
      <c r="B713" s="1" t="s">
        <v>2693</v>
      </c>
      <c r="C713" s="1" t="s">
        <v>1429</v>
      </c>
      <c r="D713" s="1" t="str">
        <f t="shared" si="1"/>
        <v>Electronics</v>
      </c>
      <c r="E713" s="1" t="str">
        <f t="shared" si="2"/>
        <v>Mobiles&amp;Accessories</v>
      </c>
      <c r="F713" s="1">
        <v>571.0</v>
      </c>
      <c r="G713" s="1">
        <v>999.0</v>
      </c>
      <c r="H713" s="6">
        <f t="shared" si="3"/>
        <v>0.4284284284</v>
      </c>
      <c r="I713" s="3">
        <f>IFERROR(__xludf.DUMMYFUNCTION("GOOGLEFINANCE(""CURRENCY:INRBRL"")*F713"),34.77469089781)</f>
        <v>34.7746909</v>
      </c>
      <c r="J713" s="1">
        <v>4.5</v>
      </c>
      <c r="K713" s="1">
        <v>38221.0</v>
      </c>
      <c r="L713" s="1" t="s">
        <v>2694</v>
      </c>
      <c r="M713" s="7" t="s">
        <v>2695</v>
      </c>
    </row>
    <row r="714">
      <c r="A714" s="1" t="s">
        <v>2696</v>
      </c>
      <c r="B714" s="1" t="s">
        <v>2697</v>
      </c>
      <c r="C714" s="1" t="s">
        <v>2554</v>
      </c>
      <c r="D714" s="1" t="str">
        <f t="shared" si="1"/>
        <v>Electronics</v>
      </c>
      <c r="E714" s="1" t="str">
        <f t="shared" si="2"/>
        <v>HomeAudio</v>
      </c>
      <c r="F714" s="1">
        <v>549.0</v>
      </c>
      <c r="G714" s="1">
        <v>999.0</v>
      </c>
      <c r="H714" s="6">
        <f t="shared" si="3"/>
        <v>0.4504504505</v>
      </c>
      <c r="I714" s="3">
        <f>IFERROR(__xludf.DUMMYFUNCTION("GOOGLEFINANCE(""CURRENCY:INRBRL"")*F714"),33.43486042539)</f>
        <v>33.43486043</v>
      </c>
      <c r="J714" s="1">
        <v>4.52</v>
      </c>
      <c r="K714" s="1">
        <v>64705.0</v>
      </c>
      <c r="L714" s="1" t="s">
        <v>2698</v>
      </c>
      <c r="M714" s="7" t="s">
        <v>2699</v>
      </c>
    </row>
    <row r="715">
      <c r="A715" s="1" t="s">
        <v>1808</v>
      </c>
      <c r="B715" s="1" t="s">
        <v>1809</v>
      </c>
      <c r="C715" s="1" t="s">
        <v>1810</v>
      </c>
      <c r="D715" s="1" t="str">
        <f t="shared" si="1"/>
        <v>Electronics</v>
      </c>
      <c r="E715" s="1" t="str">
        <f t="shared" si="2"/>
        <v>Mobiles&amp;Accessories</v>
      </c>
      <c r="F715" s="5">
        <v>2099.0</v>
      </c>
      <c r="G715" s="5">
        <v>5999.0</v>
      </c>
      <c r="H715" s="6">
        <f t="shared" si="3"/>
        <v>0.6501083514</v>
      </c>
      <c r="I715" s="3">
        <f>IFERROR(__xludf.DUMMYFUNCTION("GOOGLEFINANCE(""CURRENCY:INRBRL"")*F715"),127.83200734588999)</f>
        <v>127.8320073</v>
      </c>
      <c r="J715" s="1">
        <v>4.5</v>
      </c>
      <c r="K715" s="1">
        <v>17129.0</v>
      </c>
      <c r="L715" s="1" t="s">
        <v>1811</v>
      </c>
      <c r="M715" s="7" t="s">
        <v>2700</v>
      </c>
    </row>
    <row r="716">
      <c r="A716" s="1" t="s">
        <v>99</v>
      </c>
      <c r="B716" s="1" t="s">
        <v>100</v>
      </c>
      <c r="C716" s="1" t="s">
        <v>88</v>
      </c>
      <c r="D716" s="1" t="str">
        <f t="shared" si="1"/>
        <v>Electronics</v>
      </c>
      <c r="E716" s="1" t="str">
        <f t="shared" si="2"/>
        <v>HomeTheater,TV&amp;Video</v>
      </c>
      <c r="F716" s="5">
        <v>13490.0</v>
      </c>
      <c r="G716" s="5">
        <v>21999.0</v>
      </c>
      <c r="H716" s="6">
        <f t="shared" si="3"/>
        <v>0.3867903087</v>
      </c>
      <c r="I716" s="3">
        <f>IFERROR(__xludf.DUMMYFUNCTION("GOOGLEFINANCE(""CURRENCY:INRBRL"")*F716"),821.5596851339)</f>
        <v>821.5596851</v>
      </c>
      <c r="J716" s="1">
        <v>4.5</v>
      </c>
      <c r="K716" s="1">
        <v>11976.0</v>
      </c>
      <c r="L716" s="1" t="s">
        <v>101</v>
      </c>
      <c r="M716" s="7" t="s">
        <v>2701</v>
      </c>
    </row>
    <row r="717">
      <c r="A717" s="1" t="s">
        <v>2702</v>
      </c>
      <c r="B717" s="1" t="s">
        <v>2703</v>
      </c>
      <c r="C717" s="1" t="s">
        <v>2376</v>
      </c>
      <c r="D717" s="1" t="str">
        <f t="shared" si="1"/>
        <v>Computers&amp;Accessories</v>
      </c>
      <c r="E717" s="1" t="str">
        <f t="shared" si="2"/>
        <v>Accessories&amp;Peripherals</v>
      </c>
      <c r="F717" s="1">
        <v>448.0</v>
      </c>
      <c r="G717" s="1">
        <v>699.0</v>
      </c>
      <c r="H717" s="6">
        <f t="shared" si="3"/>
        <v>0.3590844063</v>
      </c>
      <c r="I717" s="3">
        <f>IFERROR(__xludf.DUMMYFUNCTION("GOOGLEFINANCE(""CURRENCY:INRBRL"")*F717"),27.28382052928)</f>
        <v>27.28382053</v>
      </c>
      <c r="J717" s="1">
        <v>4.52</v>
      </c>
      <c r="K717" s="1">
        <v>17348.0</v>
      </c>
      <c r="L717" s="1" t="s">
        <v>2704</v>
      </c>
      <c r="M717" s="7" t="s">
        <v>2705</v>
      </c>
    </row>
    <row r="718">
      <c r="A718" s="1" t="s">
        <v>2706</v>
      </c>
      <c r="B718" s="1" t="s">
        <v>2707</v>
      </c>
      <c r="C718" s="1" t="s">
        <v>1412</v>
      </c>
      <c r="D718" s="1" t="str">
        <f t="shared" si="1"/>
        <v>Electronics</v>
      </c>
      <c r="E718" s="1" t="str">
        <f t="shared" si="2"/>
        <v>Headphones,Earbuds&amp;Accessories</v>
      </c>
      <c r="F718" s="5">
        <v>1499.0</v>
      </c>
      <c r="G718" s="5">
        <v>2999.0</v>
      </c>
      <c r="H718" s="6">
        <f t="shared" si="3"/>
        <v>0.5001667222</v>
      </c>
      <c r="I718" s="3">
        <f>IFERROR(__xludf.DUMMYFUNCTION("GOOGLEFINANCE(""CURRENCY:INRBRL"")*F718"),91.29117627989)</f>
        <v>91.29117628</v>
      </c>
      <c r="J718" s="1">
        <v>4.51</v>
      </c>
      <c r="K718" s="1">
        <v>87798.0</v>
      </c>
      <c r="L718" s="1" t="s">
        <v>2708</v>
      </c>
      <c r="M718" s="7" t="s">
        <v>2709</v>
      </c>
    </row>
    <row r="719">
      <c r="A719" s="1" t="s">
        <v>2710</v>
      </c>
      <c r="B719" s="1" t="s">
        <v>2711</v>
      </c>
      <c r="C719" s="1" t="s">
        <v>2712</v>
      </c>
      <c r="D719" s="1" t="str">
        <f t="shared" si="1"/>
        <v>Electronics</v>
      </c>
      <c r="E719" s="1" t="str">
        <f t="shared" si="2"/>
        <v>Cameras&amp;Photography</v>
      </c>
      <c r="F719" s="1">
        <v>299.0</v>
      </c>
      <c r="G719" s="1">
        <v>499.0</v>
      </c>
      <c r="H719" s="6">
        <f t="shared" si="3"/>
        <v>0.4008016032</v>
      </c>
      <c r="I719" s="3">
        <f>IFERROR(__xludf.DUMMYFUNCTION("GOOGLEFINANCE(""CURRENCY:INRBRL"")*F719"),18.209514147889998)</f>
        <v>18.20951415</v>
      </c>
      <c r="J719" s="1">
        <v>4.5</v>
      </c>
      <c r="K719" s="1">
        <v>24432.0</v>
      </c>
      <c r="L719" s="1" t="s">
        <v>2713</v>
      </c>
      <c r="M719" s="7" t="s">
        <v>2714</v>
      </c>
    </row>
    <row r="720">
      <c r="A720" s="1" t="s">
        <v>2715</v>
      </c>
      <c r="B720" s="1" t="s">
        <v>2716</v>
      </c>
      <c r="C720" s="1" t="s">
        <v>2265</v>
      </c>
      <c r="D720" s="1" t="str">
        <f t="shared" si="1"/>
        <v>Computers&amp;Accessories</v>
      </c>
      <c r="E720" s="1" t="str">
        <f t="shared" si="2"/>
        <v>ExternalDevices&amp;DataStorage</v>
      </c>
      <c r="F720" s="1">
        <v>579.0</v>
      </c>
      <c r="G720" s="5">
        <v>1399.0</v>
      </c>
      <c r="H720" s="6">
        <f t="shared" si="3"/>
        <v>0.5861329521</v>
      </c>
      <c r="I720" s="3">
        <f>IFERROR(__xludf.DUMMYFUNCTION("GOOGLEFINANCE(""CURRENCY:INRBRL"")*F720"),35.26190197869)</f>
        <v>35.26190198</v>
      </c>
      <c r="J720" s="1">
        <v>4.5</v>
      </c>
      <c r="K720" s="1">
        <v>189104.0</v>
      </c>
      <c r="L720" s="1" t="s">
        <v>2717</v>
      </c>
      <c r="M720" s="7" t="s">
        <v>2718</v>
      </c>
    </row>
    <row r="721">
      <c r="A721" s="1" t="s">
        <v>2719</v>
      </c>
      <c r="B721" s="1" t="s">
        <v>2720</v>
      </c>
      <c r="C721" s="1" t="s">
        <v>2721</v>
      </c>
      <c r="D721" s="1" t="str">
        <f t="shared" si="1"/>
        <v>Electronics</v>
      </c>
      <c r="E721" s="1" t="str">
        <f t="shared" si="2"/>
        <v>Cameras&amp;Photography</v>
      </c>
      <c r="F721" s="5">
        <v>2499.0</v>
      </c>
      <c r="G721" s="5">
        <v>3299.0</v>
      </c>
      <c r="H721" s="6">
        <f t="shared" si="3"/>
        <v>0.2424977266</v>
      </c>
      <c r="I721" s="3">
        <f>IFERROR(__xludf.DUMMYFUNCTION("GOOGLEFINANCE(""CURRENCY:INRBRL"")*F721"),152.19256138989)</f>
        <v>152.1925614</v>
      </c>
      <c r="J721" s="1">
        <v>4.5</v>
      </c>
      <c r="K721" s="1">
        <v>93112.0</v>
      </c>
      <c r="L721" s="1" t="s">
        <v>2722</v>
      </c>
      <c r="M721" s="7" t="s">
        <v>2723</v>
      </c>
    </row>
    <row r="722">
      <c r="A722" s="1" t="s">
        <v>2724</v>
      </c>
      <c r="B722" s="1" t="s">
        <v>2725</v>
      </c>
      <c r="C722" s="1" t="s">
        <v>1412</v>
      </c>
      <c r="D722" s="1" t="str">
        <f t="shared" si="1"/>
        <v>Electronics</v>
      </c>
      <c r="E722" s="1" t="str">
        <f t="shared" si="2"/>
        <v>Headphones,Earbuds&amp;Accessories</v>
      </c>
      <c r="F722" s="5">
        <v>1199.0</v>
      </c>
      <c r="G722" s="5">
        <v>5999.0</v>
      </c>
      <c r="H722" s="6">
        <f t="shared" si="3"/>
        <v>0.8001333556</v>
      </c>
      <c r="I722" s="3">
        <f>IFERROR(__xludf.DUMMYFUNCTION("GOOGLEFINANCE(""CURRENCY:INRBRL"")*F722"),73.02076074688999)</f>
        <v>73.02076075</v>
      </c>
      <c r="J722" s="1">
        <v>4.52</v>
      </c>
      <c r="K722" s="1">
        <v>47521.0</v>
      </c>
      <c r="L722" s="1" t="s">
        <v>2726</v>
      </c>
      <c r="M722" s="7" t="s">
        <v>2727</v>
      </c>
    </row>
    <row r="723">
      <c r="A723" s="1" t="s">
        <v>2728</v>
      </c>
      <c r="B723" s="1" t="s">
        <v>2729</v>
      </c>
      <c r="C723" s="1" t="s">
        <v>2611</v>
      </c>
      <c r="D723" s="1" t="str">
        <f t="shared" si="1"/>
        <v>Electronics</v>
      </c>
      <c r="E723" s="1" t="str">
        <f t="shared" si="2"/>
        <v>GeneralPurposeBatteries&amp;BatteryChargers</v>
      </c>
      <c r="F723" s="1">
        <v>399.0</v>
      </c>
      <c r="G723" s="1">
        <v>499.0</v>
      </c>
      <c r="H723" s="6">
        <f t="shared" si="3"/>
        <v>0.2004008016</v>
      </c>
      <c r="I723" s="3">
        <f>IFERROR(__xludf.DUMMYFUNCTION("GOOGLEFINANCE(""CURRENCY:INRBRL"")*F723"),24.29965265889)</f>
        <v>24.29965266</v>
      </c>
      <c r="J723" s="1">
        <v>4.5</v>
      </c>
      <c r="K723" s="1">
        <v>27201.0</v>
      </c>
      <c r="L723" s="1" t="s">
        <v>2730</v>
      </c>
      <c r="M723" s="7" t="s">
        <v>2731</v>
      </c>
    </row>
    <row r="724">
      <c r="A724" s="1" t="s">
        <v>107</v>
      </c>
      <c r="B724" s="1" t="s">
        <v>108</v>
      </c>
      <c r="C724" s="1" t="s">
        <v>72</v>
      </c>
      <c r="D724" s="1" t="str">
        <f t="shared" si="1"/>
        <v>Electronics</v>
      </c>
      <c r="E724" s="1" t="str">
        <f t="shared" si="2"/>
        <v>HomeTheater,TV&amp;Video</v>
      </c>
      <c r="F724" s="1">
        <v>279.0</v>
      </c>
      <c r="G724" s="1">
        <v>499.0</v>
      </c>
      <c r="H724" s="6">
        <f t="shared" si="3"/>
        <v>0.4408817635</v>
      </c>
      <c r="I724" s="3">
        <f>IFERROR(__xludf.DUMMYFUNCTION("GOOGLEFINANCE(""CURRENCY:INRBRL"")*F724"),16.99148644569)</f>
        <v>16.99148645</v>
      </c>
      <c r="J724" s="1">
        <v>4.51</v>
      </c>
      <c r="K724" s="1">
        <v>10962.0</v>
      </c>
      <c r="L724" s="1" t="s">
        <v>109</v>
      </c>
      <c r="M724" s="7" t="s">
        <v>2732</v>
      </c>
    </row>
    <row r="725">
      <c r="A725" s="1" t="s">
        <v>111</v>
      </c>
      <c r="B725" s="1" t="s">
        <v>112</v>
      </c>
      <c r="C725" s="1" t="s">
        <v>88</v>
      </c>
      <c r="D725" s="1" t="str">
        <f t="shared" si="1"/>
        <v>Electronics</v>
      </c>
      <c r="E725" s="1" t="str">
        <f t="shared" si="2"/>
        <v>HomeTheater,TV&amp;Video</v>
      </c>
      <c r="F725" s="5">
        <v>13490.0</v>
      </c>
      <c r="G725" s="5">
        <v>22899.0</v>
      </c>
      <c r="H725" s="6">
        <f t="shared" si="3"/>
        <v>0.4108913053</v>
      </c>
      <c r="I725" s="3">
        <f>IFERROR(__xludf.DUMMYFUNCTION("GOOGLEFINANCE(""CURRENCY:INRBRL"")*F725"),821.5596851339)</f>
        <v>821.5596851</v>
      </c>
      <c r="J725" s="1">
        <v>4.5</v>
      </c>
      <c r="K725" s="1">
        <v>16299.0</v>
      </c>
      <c r="L725" s="1" t="s">
        <v>113</v>
      </c>
      <c r="M725" s="7" t="s">
        <v>2733</v>
      </c>
    </row>
    <row r="726">
      <c r="A726" s="1" t="s">
        <v>2734</v>
      </c>
      <c r="B726" s="1" t="s">
        <v>2735</v>
      </c>
      <c r="C726" s="1" t="s">
        <v>2270</v>
      </c>
      <c r="D726" s="1" t="str">
        <f t="shared" si="1"/>
        <v>Computers&amp;Accessories</v>
      </c>
      <c r="E726" s="1" t="str">
        <f t="shared" si="2"/>
        <v>Accessories&amp;Peripherals</v>
      </c>
      <c r="F726" s="1">
        <v>279.0</v>
      </c>
      <c r="G726" s="1">
        <v>375.0</v>
      </c>
      <c r="H726" s="6">
        <f t="shared" si="3"/>
        <v>0.256</v>
      </c>
      <c r="I726" s="3">
        <f>IFERROR(__xludf.DUMMYFUNCTION("GOOGLEFINANCE(""CURRENCY:INRBRL"")*F726"),16.99148644569)</f>
        <v>16.99148645</v>
      </c>
      <c r="J726" s="1">
        <v>4.5</v>
      </c>
      <c r="K726" s="1">
        <v>31534.0</v>
      </c>
      <c r="L726" s="1" t="s">
        <v>2736</v>
      </c>
      <c r="M726" s="7" t="s">
        <v>2737</v>
      </c>
    </row>
    <row r="727">
      <c r="A727" s="1" t="s">
        <v>2738</v>
      </c>
      <c r="B727" s="1" t="s">
        <v>2739</v>
      </c>
      <c r="C727" s="1" t="s">
        <v>1357</v>
      </c>
      <c r="D727" s="1" t="str">
        <f t="shared" si="1"/>
        <v>Electronics</v>
      </c>
      <c r="E727" s="1" t="str">
        <f t="shared" si="2"/>
        <v>WearableTechnology</v>
      </c>
      <c r="F727" s="5">
        <v>2499.0</v>
      </c>
      <c r="G727" s="5">
        <v>4999.0</v>
      </c>
      <c r="H727" s="6">
        <f t="shared" si="3"/>
        <v>0.50010002</v>
      </c>
      <c r="I727" s="3">
        <f>IFERROR(__xludf.DUMMYFUNCTION("GOOGLEFINANCE(""CURRENCY:INRBRL"")*F727"),152.19256138989)</f>
        <v>152.1925614</v>
      </c>
      <c r="J727" s="1">
        <v>4.52</v>
      </c>
      <c r="K727" s="1">
        <v>7571.0</v>
      </c>
      <c r="L727" s="1" t="s">
        <v>2740</v>
      </c>
      <c r="M727" s="7" t="s">
        <v>2741</v>
      </c>
    </row>
    <row r="728">
      <c r="A728" s="1" t="s">
        <v>2742</v>
      </c>
      <c r="B728" s="1" t="s">
        <v>2743</v>
      </c>
      <c r="C728" s="1" t="s">
        <v>2600</v>
      </c>
      <c r="D728" s="1" t="str">
        <f t="shared" si="1"/>
        <v>OfficeProducts</v>
      </c>
      <c r="E728" s="1" t="str">
        <f t="shared" si="2"/>
        <v>OfficePaperProducts</v>
      </c>
      <c r="F728" s="1">
        <v>137.0</v>
      </c>
      <c r="G728" s="1">
        <v>160.0</v>
      </c>
      <c r="H728" s="6">
        <f t="shared" si="3"/>
        <v>0.14375</v>
      </c>
      <c r="I728" s="3">
        <f>IFERROR(__xludf.DUMMYFUNCTION("GOOGLEFINANCE(""CURRENCY:INRBRL"")*F728"),8.34348976007)</f>
        <v>8.34348976</v>
      </c>
      <c r="J728" s="1">
        <v>4.5</v>
      </c>
      <c r="K728" s="1">
        <v>6537.0</v>
      </c>
      <c r="L728" s="1" t="s">
        <v>2744</v>
      </c>
      <c r="M728" s="7" t="s">
        <v>2745</v>
      </c>
    </row>
    <row r="729">
      <c r="A729" s="1" t="s">
        <v>115</v>
      </c>
      <c r="B729" s="1" t="s">
        <v>116</v>
      </c>
      <c r="C729" s="1" t="s">
        <v>22</v>
      </c>
      <c r="D729" s="1" t="str">
        <f t="shared" si="1"/>
        <v>Computers&amp;Accessories</v>
      </c>
      <c r="E729" s="1" t="str">
        <f t="shared" si="2"/>
        <v>Accessories&amp;Peripherals</v>
      </c>
      <c r="F729" s="1">
        <v>59.0</v>
      </c>
      <c r="G729" s="1">
        <v>199.0</v>
      </c>
      <c r="H729" s="6">
        <f t="shared" si="3"/>
        <v>0.7035175879</v>
      </c>
      <c r="I729" s="3">
        <f>IFERROR(__xludf.DUMMYFUNCTION("GOOGLEFINANCE(""CURRENCY:INRBRL"")*F729"),3.5931817214899997)</f>
        <v>3.593181721</v>
      </c>
      <c r="J729" s="1">
        <v>4.0</v>
      </c>
      <c r="K729" s="1">
        <v>9377.0</v>
      </c>
      <c r="L729" s="1" t="s">
        <v>117</v>
      </c>
      <c r="M729" s="7" t="s">
        <v>2746</v>
      </c>
    </row>
    <row r="730">
      <c r="A730" s="1" t="s">
        <v>2747</v>
      </c>
      <c r="B730" s="1" t="s">
        <v>2748</v>
      </c>
      <c r="C730" s="1" t="s">
        <v>2490</v>
      </c>
      <c r="D730" s="1" t="str">
        <f t="shared" si="1"/>
        <v>Computers&amp;Accessories</v>
      </c>
      <c r="E730" s="1" t="str">
        <f t="shared" si="2"/>
        <v>Accessories&amp;Peripherals</v>
      </c>
      <c r="F730" s="1">
        <v>299.0</v>
      </c>
      <c r="G730" s="1">
        <v>499.0</v>
      </c>
      <c r="H730" s="6">
        <f t="shared" si="3"/>
        <v>0.4008016032</v>
      </c>
      <c r="I730" s="3">
        <f>IFERROR(__xludf.DUMMYFUNCTION("GOOGLEFINANCE(""CURRENCY:INRBRL"")*F730"),18.209514147889998)</f>
        <v>18.20951415</v>
      </c>
      <c r="J730" s="1">
        <v>4.51</v>
      </c>
      <c r="K730" s="1">
        <v>2101.0</v>
      </c>
      <c r="L730" s="1" t="s">
        <v>2749</v>
      </c>
      <c r="M730" s="7" t="s">
        <v>2750</v>
      </c>
    </row>
    <row r="731">
      <c r="A731" s="1" t="s">
        <v>2751</v>
      </c>
      <c r="B731" s="1" t="s">
        <v>2752</v>
      </c>
      <c r="C731" s="1" t="s">
        <v>1412</v>
      </c>
      <c r="D731" s="1" t="str">
        <f t="shared" si="1"/>
        <v>Electronics</v>
      </c>
      <c r="E731" s="1" t="str">
        <f t="shared" si="2"/>
        <v>Headphones,Earbuds&amp;Accessories</v>
      </c>
      <c r="F731" s="5">
        <v>1799.0</v>
      </c>
      <c r="G731" s="5">
        <v>3999.0</v>
      </c>
      <c r="H731" s="6">
        <f t="shared" si="3"/>
        <v>0.5501375344</v>
      </c>
      <c r="I731" s="3">
        <f>IFERROR(__xludf.DUMMYFUNCTION("GOOGLEFINANCE(""CURRENCY:INRBRL"")*F731"),109.56159181289)</f>
        <v>109.5615918</v>
      </c>
      <c r="J731" s="1">
        <v>4.52</v>
      </c>
      <c r="K731" s="1">
        <v>3517.0</v>
      </c>
      <c r="L731" s="1" t="s">
        <v>2753</v>
      </c>
      <c r="M731" s="7" t="s">
        <v>2754</v>
      </c>
    </row>
    <row r="732">
      <c r="A732" s="1" t="s">
        <v>2755</v>
      </c>
      <c r="B732" s="1" t="s">
        <v>2756</v>
      </c>
      <c r="C732" s="1" t="s">
        <v>2554</v>
      </c>
      <c r="D732" s="1" t="str">
        <f t="shared" si="1"/>
        <v>Electronics</v>
      </c>
      <c r="E732" s="1" t="str">
        <f t="shared" si="2"/>
        <v>HomeAudio</v>
      </c>
      <c r="F732" s="5">
        <v>1999.0</v>
      </c>
      <c r="G732" s="5">
        <v>2999.0</v>
      </c>
      <c r="H732" s="6">
        <f t="shared" si="3"/>
        <v>0.3334444815</v>
      </c>
      <c r="I732" s="3">
        <f>IFERROR(__xludf.DUMMYFUNCTION("GOOGLEFINANCE(""CURRENCY:INRBRL"")*F732"),121.74186883489)</f>
        <v>121.7418688</v>
      </c>
      <c r="J732" s="1">
        <v>4.5</v>
      </c>
      <c r="K732" s="1">
        <v>63899.0</v>
      </c>
      <c r="L732" s="1" t="s">
        <v>2757</v>
      </c>
      <c r="M732" s="7" t="s">
        <v>2758</v>
      </c>
    </row>
    <row r="733">
      <c r="A733" s="1" t="s">
        <v>123</v>
      </c>
      <c r="B733" s="1" t="s">
        <v>124</v>
      </c>
      <c r="C733" s="1" t="s">
        <v>72</v>
      </c>
      <c r="D733" s="1" t="str">
        <f t="shared" si="1"/>
        <v>Electronics</v>
      </c>
      <c r="E733" s="1" t="str">
        <f t="shared" si="2"/>
        <v>HomeTheater,TV&amp;Video</v>
      </c>
      <c r="F733" s="1">
        <v>199.0</v>
      </c>
      <c r="G733" s="1">
        <v>699.0</v>
      </c>
      <c r="H733" s="6">
        <f t="shared" si="3"/>
        <v>0.7153075823</v>
      </c>
      <c r="I733" s="3">
        <f>IFERROR(__xludf.DUMMYFUNCTION("GOOGLEFINANCE(""CURRENCY:INRBRL"")*F733"),12.11937563689)</f>
        <v>12.11937564</v>
      </c>
      <c r="J733" s="1">
        <v>4.5</v>
      </c>
      <c r="K733" s="1">
        <v>12153.0</v>
      </c>
      <c r="L733" s="1" t="s">
        <v>125</v>
      </c>
      <c r="M733" s="7" t="s">
        <v>2759</v>
      </c>
    </row>
    <row r="734">
      <c r="A734" s="1" t="s">
        <v>2760</v>
      </c>
      <c r="B734" s="1" t="s">
        <v>2761</v>
      </c>
      <c r="C734" s="1" t="s">
        <v>2762</v>
      </c>
      <c r="D734" s="1" t="str">
        <f t="shared" si="1"/>
        <v>Computers&amp;Accessories</v>
      </c>
      <c r="E734" s="1" t="str">
        <f t="shared" si="2"/>
        <v>Accessories&amp;Peripherals</v>
      </c>
      <c r="F734" s="1">
        <v>399.0</v>
      </c>
      <c r="G734" s="5">
        <v>1499.0</v>
      </c>
      <c r="H734" s="6">
        <f t="shared" si="3"/>
        <v>0.7338225484</v>
      </c>
      <c r="I734" s="3">
        <f>IFERROR(__xludf.DUMMYFUNCTION("GOOGLEFINANCE(""CURRENCY:INRBRL"")*F734"),24.29965265889)</f>
        <v>24.29965266</v>
      </c>
      <c r="J734" s="1">
        <v>4.49</v>
      </c>
      <c r="K734" s="1">
        <v>573.0</v>
      </c>
      <c r="L734" s="1" t="s">
        <v>2763</v>
      </c>
      <c r="M734" s="7" t="s">
        <v>2764</v>
      </c>
    </row>
    <row r="735">
      <c r="A735" s="1" t="s">
        <v>2765</v>
      </c>
      <c r="B735" s="1" t="s">
        <v>2766</v>
      </c>
      <c r="C735" s="1" t="s">
        <v>2767</v>
      </c>
      <c r="D735" s="1" t="str">
        <f t="shared" si="1"/>
        <v>Computers&amp;Accessories</v>
      </c>
      <c r="E735" s="1" t="str">
        <f t="shared" si="2"/>
        <v>Accessories&amp;Peripherals</v>
      </c>
      <c r="F735" s="5">
        <v>1699.0</v>
      </c>
      <c r="G735" s="5">
        <v>3999.0</v>
      </c>
      <c r="H735" s="6">
        <f t="shared" si="3"/>
        <v>0.5751437859</v>
      </c>
      <c r="I735" s="3">
        <f>IFERROR(__xludf.DUMMYFUNCTION("GOOGLEFINANCE(""CURRENCY:INRBRL"")*F735"),103.47145330189)</f>
        <v>103.4714533</v>
      </c>
      <c r="J735" s="1">
        <v>4.5</v>
      </c>
      <c r="K735" s="1">
        <v>25488.0</v>
      </c>
      <c r="L735" s="1" t="s">
        <v>2768</v>
      </c>
      <c r="M735" s="7" t="s">
        <v>2769</v>
      </c>
    </row>
    <row r="736">
      <c r="A736" s="1" t="s">
        <v>2770</v>
      </c>
      <c r="B736" s="1" t="s">
        <v>2771</v>
      </c>
      <c r="C736" s="1" t="s">
        <v>2270</v>
      </c>
      <c r="D736" s="1" t="str">
        <f t="shared" si="1"/>
        <v>Computers&amp;Accessories</v>
      </c>
      <c r="E736" s="1" t="str">
        <f t="shared" si="2"/>
        <v>Accessories&amp;Peripherals</v>
      </c>
      <c r="F736" s="1">
        <v>699.0</v>
      </c>
      <c r="G736" s="1">
        <v>995.0</v>
      </c>
      <c r="H736" s="6">
        <f t="shared" si="3"/>
        <v>0.2974874372</v>
      </c>
      <c r="I736" s="3">
        <f>IFERROR(__xludf.DUMMYFUNCTION("GOOGLEFINANCE(""CURRENCY:INRBRL"")*F736"),42.57006819189)</f>
        <v>42.57006819</v>
      </c>
      <c r="J736" s="1">
        <v>4.51</v>
      </c>
      <c r="K736" s="1">
        <v>54405.0</v>
      </c>
      <c r="L736" s="1" t="s">
        <v>2772</v>
      </c>
      <c r="M736" s="7" t="s">
        <v>2773</v>
      </c>
    </row>
    <row r="737">
      <c r="A737" s="1" t="s">
        <v>1891</v>
      </c>
      <c r="B737" s="1" t="s">
        <v>1892</v>
      </c>
      <c r="C737" s="1" t="s">
        <v>1690</v>
      </c>
      <c r="D737" s="1" t="str">
        <f t="shared" si="1"/>
        <v>Electronics</v>
      </c>
      <c r="E737" s="1" t="str">
        <f t="shared" si="2"/>
        <v>Mobiles&amp;Accessories</v>
      </c>
      <c r="F737" s="1">
        <v>95.0</v>
      </c>
      <c r="G737" s="1">
        <v>499.0</v>
      </c>
      <c r="H737" s="6">
        <f t="shared" si="3"/>
        <v>0.8096192385</v>
      </c>
      <c r="I737" s="3">
        <f>IFERROR(__xludf.DUMMYFUNCTION("GOOGLEFINANCE(""CURRENCY:INRBRL"")*F737"),5.78563158545)</f>
        <v>5.785631585</v>
      </c>
      <c r="J737" s="1">
        <v>4.5</v>
      </c>
      <c r="K737" s="1">
        <v>1949.0</v>
      </c>
      <c r="L737" s="1" t="s">
        <v>1893</v>
      </c>
      <c r="M737" s="7" t="s">
        <v>2774</v>
      </c>
    </row>
    <row r="738">
      <c r="A738" s="1" t="s">
        <v>2775</v>
      </c>
      <c r="B738" s="1" t="s">
        <v>2776</v>
      </c>
      <c r="C738" s="1" t="s">
        <v>2523</v>
      </c>
      <c r="D738" s="1" t="str">
        <f t="shared" si="1"/>
        <v>Computers&amp;Accessories</v>
      </c>
      <c r="E738" s="1" t="str">
        <f t="shared" si="2"/>
        <v>NetworkingDevices</v>
      </c>
      <c r="F738" s="5">
        <v>1149.0</v>
      </c>
      <c r="G738" s="5">
        <v>1699.0</v>
      </c>
      <c r="H738" s="6">
        <f t="shared" si="3"/>
        <v>0.3237198352</v>
      </c>
      <c r="I738" s="3">
        <f>IFERROR(__xludf.DUMMYFUNCTION("GOOGLEFINANCE(""CURRENCY:INRBRL"")*F738"),69.97569149139)</f>
        <v>69.97569149</v>
      </c>
      <c r="J738" s="1">
        <v>4.5</v>
      </c>
      <c r="K738" s="1">
        <v>122478.0</v>
      </c>
      <c r="L738" s="1" t="s">
        <v>2777</v>
      </c>
      <c r="M738" s="7" t="s">
        <v>2778</v>
      </c>
    </row>
    <row r="739">
      <c r="A739" s="1" t="s">
        <v>2779</v>
      </c>
      <c r="B739" s="1" t="s">
        <v>2780</v>
      </c>
      <c r="C739" s="1" t="s">
        <v>2376</v>
      </c>
      <c r="D739" s="1" t="str">
        <f t="shared" si="1"/>
        <v>Computers&amp;Accessories</v>
      </c>
      <c r="E739" s="1" t="str">
        <f t="shared" si="2"/>
        <v>Accessories&amp;Peripherals</v>
      </c>
      <c r="F739" s="5">
        <v>1495.0</v>
      </c>
      <c r="G739" s="5">
        <v>1995.0</v>
      </c>
      <c r="H739" s="6">
        <f t="shared" si="3"/>
        <v>0.2506265664</v>
      </c>
      <c r="I739" s="3">
        <f>IFERROR(__xludf.DUMMYFUNCTION("GOOGLEFINANCE(""CURRENCY:INRBRL"")*F739"),91.04757073945)</f>
        <v>91.04757074</v>
      </c>
      <c r="J739" s="1">
        <v>4.5</v>
      </c>
      <c r="K739" s="1">
        <v>7241.0</v>
      </c>
      <c r="L739" s="1" t="s">
        <v>2781</v>
      </c>
      <c r="M739" s="7" t="s">
        <v>2782</v>
      </c>
    </row>
    <row r="740">
      <c r="A740" s="1" t="s">
        <v>2783</v>
      </c>
      <c r="B740" s="1" t="s">
        <v>2784</v>
      </c>
      <c r="C740" s="1" t="s">
        <v>2284</v>
      </c>
      <c r="D740" s="1" t="str">
        <f t="shared" si="1"/>
        <v>Computers&amp;Accessories</v>
      </c>
      <c r="E740" s="1" t="str">
        <f t="shared" si="2"/>
        <v>Accessories&amp;Peripherals</v>
      </c>
      <c r="F740" s="1">
        <v>849.0</v>
      </c>
      <c r="G740" s="5">
        <v>4999.0</v>
      </c>
      <c r="H740" s="6">
        <f t="shared" si="3"/>
        <v>0.8301660332</v>
      </c>
      <c r="I740" s="3">
        <f>IFERROR(__xludf.DUMMYFUNCTION("GOOGLEFINANCE(""CURRENCY:INRBRL"")*F740"),51.70527595839)</f>
        <v>51.70527596</v>
      </c>
      <c r="J740" s="1">
        <v>4.0</v>
      </c>
      <c r="K740" s="1">
        <v>20457.0</v>
      </c>
      <c r="L740" s="1" t="s">
        <v>2785</v>
      </c>
      <c r="M740" s="7" t="s">
        <v>2786</v>
      </c>
    </row>
    <row r="741">
      <c r="A741" s="1" t="s">
        <v>2787</v>
      </c>
      <c r="B741" s="1" t="s">
        <v>2788</v>
      </c>
      <c r="C741" s="1" t="s">
        <v>2789</v>
      </c>
      <c r="D741" s="1" t="str">
        <f t="shared" si="1"/>
        <v>OfficeProducts</v>
      </c>
      <c r="E741" s="1" t="str">
        <f t="shared" si="2"/>
        <v>OfficeElectronics</v>
      </c>
      <c r="F741" s="1">
        <v>440.0</v>
      </c>
      <c r="G741" s="1">
        <v>440.0</v>
      </c>
      <c r="H741" s="6">
        <f t="shared" si="3"/>
        <v>0</v>
      </c>
      <c r="I741" s="3">
        <f>IFERROR(__xludf.DUMMYFUNCTION("GOOGLEFINANCE(""CURRENCY:INRBRL"")*F741"),26.796609448399998)</f>
        <v>26.79660945</v>
      </c>
      <c r="J741" s="1">
        <v>4.51</v>
      </c>
      <c r="K741" s="1">
        <v>861.0</v>
      </c>
      <c r="L741" s="1" t="s">
        <v>2790</v>
      </c>
      <c r="M741" s="7" t="s">
        <v>2791</v>
      </c>
    </row>
    <row r="742">
      <c r="A742" s="1" t="s">
        <v>1874</v>
      </c>
      <c r="B742" s="1" t="s">
        <v>1875</v>
      </c>
      <c r="C742" s="1" t="s">
        <v>1810</v>
      </c>
      <c r="D742" s="1" t="str">
        <f t="shared" si="1"/>
        <v>Electronics</v>
      </c>
      <c r="E742" s="1" t="str">
        <f t="shared" si="2"/>
        <v>Mobiles&amp;Accessories</v>
      </c>
      <c r="F742" s="1">
        <v>349.0</v>
      </c>
      <c r="G742" s="1">
        <v>999.0</v>
      </c>
      <c r="H742" s="6">
        <f t="shared" si="3"/>
        <v>0.6506506507</v>
      </c>
      <c r="I742" s="3">
        <f>IFERROR(__xludf.DUMMYFUNCTION("GOOGLEFINANCE(""CURRENCY:INRBRL"")*F742"),21.25458340339)</f>
        <v>21.2545834</v>
      </c>
      <c r="J742" s="1">
        <v>4.51</v>
      </c>
      <c r="K742" s="1">
        <v>16557.0</v>
      </c>
      <c r="L742" s="1" t="s">
        <v>1876</v>
      </c>
      <c r="M742" s="7" t="s">
        <v>2792</v>
      </c>
    </row>
    <row r="743">
      <c r="A743" s="1" t="s">
        <v>2793</v>
      </c>
      <c r="B743" s="1" t="s">
        <v>2794</v>
      </c>
      <c r="C743" s="1" t="s">
        <v>2284</v>
      </c>
      <c r="D743" s="1" t="str">
        <f t="shared" si="1"/>
        <v>Computers&amp;Accessories</v>
      </c>
      <c r="E743" s="1" t="str">
        <f t="shared" si="2"/>
        <v>Accessories&amp;Peripherals</v>
      </c>
      <c r="F743" s="1">
        <v>599.0</v>
      </c>
      <c r="G743" s="5">
        <v>3999.0</v>
      </c>
      <c r="H743" s="6">
        <f t="shared" si="3"/>
        <v>0.8502125531</v>
      </c>
      <c r="I743" s="3">
        <f>IFERROR(__xludf.DUMMYFUNCTION("GOOGLEFINANCE(""CURRENCY:INRBRL"")*F743"),36.479929680889995)</f>
        <v>36.47992968</v>
      </c>
      <c r="J743" s="1">
        <v>4.52</v>
      </c>
      <c r="K743" s="1">
        <v>1087.0</v>
      </c>
      <c r="L743" s="1" t="s">
        <v>2795</v>
      </c>
      <c r="M743" s="7" t="s">
        <v>2796</v>
      </c>
    </row>
    <row r="744">
      <c r="A744" s="1" t="s">
        <v>2797</v>
      </c>
      <c r="B744" s="1" t="s">
        <v>2798</v>
      </c>
      <c r="C744" s="1" t="s">
        <v>2632</v>
      </c>
      <c r="D744" s="1" t="str">
        <f t="shared" si="1"/>
        <v>Computers&amp;Accessories</v>
      </c>
      <c r="E744" s="1" t="str">
        <f t="shared" si="2"/>
        <v>Accessories&amp;Peripherals</v>
      </c>
      <c r="F744" s="1">
        <v>149.0</v>
      </c>
      <c r="G744" s="1">
        <v>399.0</v>
      </c>
      <c r="H744" s="6">
        <f t="shared" si="3"/>
        <v>0.626566416</v>
      </c>
      <c r="I744" s="3">
        <f>IFERROR(__xludf.DUMMYFUNCTION("GOOGLEFINANCE(""CURRENCY:INRBRL"")*F744"),9.07430638139)</f>
        <v>9.074306381</v>
      </c>
      <c r="J744" s="1">
        <v>4.0</v>
      </c>
      <c r="K744" s="1">
        <v>154.0</v>
      </c>
      <c r="L744" s="1" t="s">
        <v>2799</v>
      </c>
      <c r="M744" s="7" t="s">
        <v>2800</v>
      </c>
    </row>
    <row r="745">
      <c r="A745" s="1" t="s">
        <v>2801</v>
      </c>
      <c r="B745" s="1" t="s">
        <v>2802</v>
      </c>
      <c r="C745" s="1" t="s">
        <v>2275</v>
      </c>
      <c r="D745" s="1" t="str">
        <f t="shared" si="1"/>
        <v>Computers&amp;Accessories</v>
      </c>
      <c r="E745" s="1" t="str">
        <f t="shared" si="2"/>
        <v>Accessories&amp;Peripherals</v>
      </c>
      <c r="F745" s="1">
        <v>289.0</v>
      </c>
      <c r="G745" s="1">
        <v>999.0</v>
      </c>
      <c r="H745" s="6">
        <f t="shared" si="3"/>
        <v>0.7107107107</v>
      </c>
      <c r="I745" s="3">
        <f>IFERROR(__xludf.DUMMYFUNCTION("GOOGLEFINANCE(""CURRENCY:INRBRL"")*F745"),17.60050029679)</f>
        <v>17.6005003</v>
      </c>
      <c r="J745" s="1">
        <v>4.49</v>
      </c>
      <c r="K745" s="1">
        <v>401.0</v>
      </c>
      <c r="L745" s="1" t="s">
        <v>2803</v>
      </c>
      <c r="M745" s="7" t="s">
        <v>2804</v>
      </c>
    </row>
    <row r="746">
      <c r="A746" s="1" t="s">
        <v>2805</v>
      </c>
      <c r="B746" s="1" t="s">
        <v>2806</v>
      </c>
      <c r="C746" s="1" t="s">
        <v>2807</v>
      </c>
      <c r="D746" s="1" t="str">
        <f t="shared" si="1"/>
        <v>Computers&amp;Accessories</v>
      </c>
      <c r="E746" s="1" t="str">
        <f t="shared" si="2"/>
        <v>Accessories&amp;Peripherals</v>
      </c>
      <c r="F746" s="1">
        <v>179.0</v>
      </c>
      <c r="G746" s="1">
        <v>499.0</v>
      </c>
      <c r="H746" s="6">
        <f t="shared" si="3"/>
        <v>0.6412825651</v>
      </c>
      <c r="I746" s="3">
        <f>IFERROR(__xludf.DUMMYFUNCTION("GOOGLEFINANCE(""CURRENCY:INRBRL"")*F746"),10.90134793469)</f>
        <v>10.90134793</v>
      </c>
      <c r="J746" s="1">
        <v>4.5</v>
      </c>
      <c r="K746" s="1">
        <v>9385.0</v>
      </c>
      <c r="L746" s="1" t="s">
        <v>2808</v>
      </c>
      <c r="M746" s="7" t="s">
        <v>2809</v>
      </c>
    </row>
    <row r="747">
      <c r="A747" s="1" t="s">
        <v>2810</v>
      </c>
      <c r="B747" s="1" t="s">
        <v>2811</v>
      </c>
      <c r="C747" s="1" t="s">
        <v>1357</v>
      </c>
      <c r="D747" s="1" t="str">
        <f t="shared" si="1"/>
        <v>Electronics</v>
      </c>
      <c r="E747" s="1" t="str">
        <f t="shared" si="2"/>
        <v>WearableTechnology</v>
      </c>
      <c r="F747" s="5">
        <v>1499.0</v>
      </c>
      <c r="G747" s="5">
        <v>4999.0</v>
      </c>
      <c r="H747" s="6">
        <f t="shared" si="3"/>
        <v>0.700140028</v>
      </c>
      <c r="I747" s="3">
        <f>IFERROR(__xludf.DUMMYFUNCTION("GOOGLEFINANCE(""CURRENCY:INRBRL"")*F747"),91.29117627989)</f>
        <v>91.29117628</v>
      </c>
      <c r="J747" s="1">
        <v>4.0</v>
      </c>
      <c r="K747" s="1">
        <v>92588.0</v>
      </c>
      <c r="L747" s="1" t="s">
        <v>2812</v>
      </c>
      <c r="M747" s="7" t="s">
        <v>2813</v>
      </c>
    </row>
    <row r="748">
      <c r="A748" s="1" t="s">
        <v>2814</v>
      </c>
      <c r="B748" s="1" t="s">
        <v>2815</v>
      </c>
      <c r="C748" s="1" t="s">
        <v>1412</v>
      </c>
      <c r="D748" s="1" t="str">
        <f t="shared" si="1"/>
        <v>Electronics</v>
      </c>
      <c r="E748" s="1" t="str">
        <f t="shared" si="2"/>
        <v>Headphones,Earbuds&amp;Accessories</v>
      </c>
      <c r="F748" s="1">
        <v>399.0</v>
      </c>
      <c r="G748" s="1">
        <v>699.0</v>
      </c>
      <c r="H748" s="6">
        <f t="shared" si="3"/>
        <v>0.4291845494</v>
      </c>
      <c r="I748" s="3">
        <f>IFERROR(__xludf.DUMMYFUNCTION("GOOGLEFINANCE(""CURRENCY:INRBRL"")*F748"),24.29965265889)</f>
        <v>24.29965266</v>
      </c>
      <c r="J748" s="1">
        <v>4.5</v>
      </c>
      <c r="K748" s="1">
        <v>3454.0</v>
      </c>
      <c r="L748" s="1" t="s">
        <v>2816</v>
      </c>
      <c r="M748" s="7" t="s">
        <v>2817</v>
      </c>
    </row>
    <row r="749">
      <c r="A749" s="1" t="s">
        <v>2818</v>
      </c>
      <c r="B749" s="1" t="s">
        <v>2819</v>
      </c>
      <c r="C749" s="1" t="s">
        <v>2475</v>
      </c>
      <c r="D749" s="1" t="str">
        <f t="shared" si="1"/>
        <v>Computers&amp;Accessories</v>
      </c>
      <c r="E749" s="1" t="str">
        <f t="shared" si="2"/>
        <v>Accessories&amp;Peripherals</v>
      </c>
      <c r="F749" s="1">
        <v>599.0</v>
      </c>
      <c r="G749" s="1">
        <v>799.0</v>
      </c>
      <c r="H749" s="6">
        <f t="shared" si="3"/>
        <v>0.2503128911</v>
      </c>
      <c r="I749" s="3">
        <f>IFERROR(__xludf.DUMMYFUNCTION("GOOGLEFINANCE(""CURRENCY:INRBRL"")*F749"),36.479929680889995)</f>
        <v>36.47992968</v>
      </c>
      <c r="J749" s="1">
        <v>4.5</v>
      </c>
      <c r="K749" s="1">
        <v>1579.0</v>
      </c>
      <c r="L749" s="1" t="s">
        <v>2820</v>
      </c>
      <c r="M749" s="7" t="s">
        <v>2821</v>
      </c>
    </row>
    <row r="750">
      <c r="A750" s="1" t="s">
        <v>2822</v>
      </c>
      <c r="B750" s="1" t="s">
        <v>2823</v>
      </c>
      <c r="C750" s="1" t="s">
        <v>2824</v>
      </c>
      <c r="D750" s="1" t="str">
        <f t="shared" si="1"/>
        <v>Computers&amp;Accessories</v>
      </c>
      <c r="E750" s="1" t="str">
        <f t="shared" si="2"/>
        <v>Accessories&amp;Peripherals</v>
      </c>
      <c r="F750" s="1">
        <v>949.0</v>
      </c>
      <c r="G750" s="5">
        <v>1999.0</v>
      </c>
      <c r="H750" s="6">
        <f t="shared" si="3"/>
        <v>0.5252626313</v>
      </c>
      <c r="I750" s="3">
        <f>IFERROR(__xludf.DUMMYFUNCTION("GOOGLEFINANCE(""CURRENCY:INRBRL"")*F750"),57.795414469389996)</f>
        <v>57.79541447</v>
      </c>
      <c r="J750" s="1">
        <v>4.52</v>
      </c>
      <c r="K750" s="1">
        <v>14969.0</v>
      </c>
      <c r="L750" s="1" t="s">
        <v>2825</v>
      </c>
      <c r="M750" s="7" t="s">
        <v>2826</v>
      </c>
    </row>
    <row r="751">
      <c r="A751" s="1" t="s">
        <v>2827</v>
      </c>
      <c r="B751" s="1" t="s">
        <v>2828</v>
      </c>
      <c r="C751" s="1" t="s">
        <v>1357</v>
      </c>
      <c r="D751" s="1" t="str">
        <f t="shared" si="1"/>
        <v>Electronics</v>
      </c>
      <c r="E751" s="1" t="str">
        <f t="shared" si="2"/>
        <v>WearableTechnology</v>
      </c>
      <c r="F751" s="5">
        <v>2499.0</v>
      </c>
      <c r="G751" s="5">
        <v>9999.0</v>
      </c>
      <c r="H751" s="6">
        <f t="shared" si="3"/>
        <v>0.7500750075</v>
      </c>
      <c r="I751" s="3">
        <f>IFERROR(__xludf.DUMMYFUNCTION("GOOGLEFINANCE(""CURRENCY:INRBRL"")*F751"),152.19256138989)</f>
        <v>152.1925614</v>
      </c>
      <c r="J751" s="1">
        <v>4.49</v>
      </c>
      <c r="K751" s="1">
        <v>42139.0</v>
      </c>
      <c r="L751" s="1" t="s">
        <v>2829</v>
      </c>
      <c r="M751" s="7" t="s">
        <v>2830</v>
      </c>
    </row>
    <row r="752">
      <c r="A752" s="1" t="s">
        <v>2831</v>
      </c>
      <c r="B752" s="1" t="s">
        <v>2832</v>
      </c>
      <c r="C752" s="1" t="s">
        <v>2352</v>
      </c>
      <c r="D752" s="1" t="str">
        <f t="shared" si="1"/>
        <v>Electronics</v>
      </c>
      <c r="E752" s="1" t="str">
        <f t="shared" si="2"/>
        <v>GeneralPurposeBatteries&amp;BatteryChargers</v>
      </c>
      <c r="F752" s="1">
        <v>159.0</v>
      </c>
      <c r="G752" s="1">
        <v>180.0</v>
      </c>
      <c r="H752" s="6">
        <f t="shared" si="3"/>
        <v>0.1166666667</v>
      </c>
      <c r="I752" s="3">
        <f>IFERROR(__xludf.DUMMYFUNCTION("GOOGLEFINANCE(""CURRENCY:INRBRL"")*F752"),9.683320232489999)</f>
        <v>9.683320232</v>
      </c>
      <c r="J752" s="1">
        <v>4.5</v>
      </c>
      <c r="K752" s="1">
        <v>989.0</v>
      </c>
      <c r="L752" s="1" t="s">
        <v>2833</v>
      </c>
      <c r="M752" s="7" t="s">
        <v>2834</v>
      </c>
    </row>
    <row r="753">
      <c r="A753" s="1" t="s">
        <v>2835</v>
      </c>
      <c r="B753" s="1" t="s">
        <v>2836</v>
      </c>
      <c r="C753" s="1" t="s">
        <v>1394</v>
      </c>
      <c r="D753" s="1" t="str">
        <f t="shared" si="1"/>
        <v>Electronics</v>
      </c>
      <c r="E753" s="1" t="str">
        <f t="shared" si="2"/>
        <v>Accessories</v>
      </c>
      <c r="F753" s="5">
        <v>1329.0</v>
      </c>
      <c r="G753" s="5">
        <v>2899.0</v>
      </c>
      <c r="H753" s="6">
        <f t="shared" si="3"/>
        <v>0.5415660573</v>
      </c>
      <c r="I753" s="3">
        <f>IFERROR(__xludf.DUMMYFUNCTION("GOOGLEFINANCE(""CURRENCY:INRBRL"")*F753"),80.93794081119)</f>
        <v>80.93794081</v>
      </c>
      <c r="J753" s="1">
        <v>4.51</v>
      </c>
      <c r="K753" s="1">
        <v>19624.0</v>
      </c>
      <c r="L753" s="1" t="s">
        <v>2837</v>
      </c>
      <c r="M753" s="7" t="s">
        <v>2838</v>
      </c>
    </row>
    <row r="754">
      <c r="A754" s="1" t="s">
        <v>2839</v>
      </c>
      <c r="B754" s="1" t="s">
        <v>2840</v>
      </c>
      <c r="C754" s="1" t="s">
        <v>2807</v>
      </c>
      <c r="D754" s="1" t="str">
        <f t="shared" si="1"/>
        <v>Computers&amp;Accessories</v>
      </c>
      <c r="E754" s="1" t="str">
        <f t="shared" si="2"/>
        <v>Accessories&amp;Peripherals</v>
      </c>
      <c r="F754" s="1">
        <v>570.0</v>
      </c>
      <c r="G754" s="1">
        <v>999.0</v>
      </c>
      <c r="H754" s="6">
        <f t="shared" si="3"/>
        <v>0.4294294294</v>
      </c>
      <c r="I754" s="3">
        <f>IFERROR(__xludf.DUMMYFUNCTION("GOOGLEFINANCE(""CURRENCY:INRBRL"")*F754"),34.7137895127)</f>
        <v>34.71378951</v>
      </c>
      <c r="J754" s="1">
        <v>4.5</v>
      </c>
      <c r="K754" s="1">
        <v>3201.0</v>
      </c>
      <c r="L754" s="1" t="s">
        <v>2841</v>
      </c>
      <c r="M754" s="7" t="s">
        <v>2842</v>
      </c>
    </row>
    <row r="755">
      <c r="A755" s="1" t="s">
        <v>2843</v>
      </c>
      <c r="B755" s="1" t="s">
        <v>2844</v>
      </c>
      <c r="C755" s="1" t="s">
        <v>2845</v>
      </c>
      <c r="D755" s="1" t="str">
        <f t="shared" si="1"/>
        <v>Electronics</v>
      </c>
      <c r="E755" s="1" t="str">
        <f t="shared" si="2"/>
        <v>HomeAudio</v>
      </c>
      <c r="F755" s="1">
        <v>899.0</v>
      </c>
      <c r="G755" s="5">
        <v>1999.0</v>
      </c>
      <c r="H755" s="6">
        <f t="shared" si="3"/>
        <v>0.5502751376</v>
      </c>
      <c r="I755" s="3">
        <f>IFERROR(__xludf.DUMMYFUNCTION("GOOGLEFINANCE(""CURRENCY:INRBRL"")*F755"),54.75034521389)</f>
        <v>54.75034521</v>
      </c>
      <c r="J755" s="1">
        <v>4.49</v>
      </c>
      <c r="K755" s="1">
        <v>30469.0</v>
      </c>
      <c r="L755" s="1" t="s">
        <v>2846</v>
      </c>
      <c r="M755" s="7" t="s">
        <v>2847</v>
      </c>
    </row>
    <row r="756">
      <c r="A756" s="1" t="s">
        <v>2848</v>
      </c>
      <c r="B756" s="1" t="s">
        <v>2849</v>
      </c>
      <c r="C756" s="1" t="s">
        <v>2850</v>
      </c>
      <c r="D756" s="1" t="str">
        <f t="shared" si="1"/>
        <v>Computers&amp;Accessories</v>
      </c>
      <c r="E756" s="1" t="str">
        <f t="shared" si="2"/>
        <v>Accessories&amp;Peripherals</v>
      </c>
      <c r="F756" s="1">
        <v>449.0</v>
      </c>
      <c r="G756" s="1">
        <v>999.0</v>
      </c>
      <c r="H756" s="6">
        <f t="shared" si="3"/>
        <v>0.5505505506</v>
      </c>
      <c r="I756" s="3">
        <f>IFERROR(__xludf.DUMMYFUNCTION("GOOGLEFINANCE(""CURRENCY:INRBRL"")*F756"),27.34472191439)</f>
        <v>27.34472191</v>
      </c>
      <c r="J756" s="1">
        <v>4.5</v>
      </c>
      <c r="K756" s="1">
        <v>994.0</v>
      </c>
      <c r="L756" s="1" t="s">
        <v>2851</v>
      </c>
      <c r="M756" s="7" t="s">
        <v>2852</v>
      </c>
    </row>
    <row r="757">
      <c r="A757" s="1" t="s">
        <v>2853</v>
      </c>
      <c r="B757" s="1" t="s">
        <v>2854</v>
      </c>
      <c r="C757" s="1" t="s">
        <v>2855</v>
      </c>
      <c r="D757" s="1" t="str">
        <f t="shared" si="1"/>
        <v>Computers&amp;Accessories</v>
      </c>
      <c r="E757" s="1" t="str">
        <f t="shared" si="2"/>
        <v>ExternalDevices&amp;DataStorage</v>
      </c>
      <c r="F757" s="1">
        <v>549.0</v>
      </c>
      <c r="G757" s="1">
        <v>999.0</v>
      </c>
      <c r="H757" s="6">
        <f t="shared" si="3"/>
        <v>0.4504504505</v>
      </c>
      <c r="I757" s="3">
        <f>IFERROR(__xludf.DUMMYFUNCTION("GOOGLEFINANCE(""CURRENCY:INRBRL"")*F757"),33.43486042539)</f>
        <v>33.43486043</v>
      </c>
      <c r="J757" s="1">
        <v>4.5</v>
      </c>
      <c r="K757" s="1">
        <v>7758.0</v>
      </c>
      <c r="L757" s="1" t="s">
        <v>2856</v>
      </c>
      <c r="M757" s="7" t="s">
        <v>2857</v>
      </c>
    </row>
    <row r="758">
      <c r="A758" s="1" t="s">
        <v>2858</v>
      </c>
      <c r="B758" s="1" t="s">
        <v>2859</v>
      </c>
      <c r="C758" s="1" t="s">
        <v>2523</v>
      </c>
      <c r="D758" s="1" t="str">
        <f t="shared" si="1"/>
        <v>Computers&amp;Accessories</v>
      </c>
      <c r="E758" s="1" t="str">
        <f t="shared" si="2"/>
        <v>NetworkingDevices</v>
      </c>
      <c r="F758" s="5">
        <v>1529.0</v>
      </c>
      <c r="G758" s="5">
        <v>2399.0</v>
      </c>
      <c r="H758" s="6">
        <f t="shared" si="3"/>
        <v>0.3626511046</v>
      </c>
      <c r="I758" s="3">
        <f>IFERROR(__xludf.DUMMYFUNCTION("GOOGLEFINANCE(""CURRENCY:INRBRL"")*F758"),93.11821783319)</f>
        <v>93.11821783</v>
      </c>
      <c r="J758" s="1">
        <v>4.5</v>
      </c>
      <c r="K758" s="1">
        <v>68409.0</v>
      </c>
      <c r="L758" s="1" t="s">
        <v>2860</v>
      </c>
      <c r="M758" s="7" t="s">
        <v>2861</v>
      </c>
    </row>
    <row r="759">
      <c r="A759" s="1" t="s">
        <v>2862</v>
      </c>
      <c r="B759" s="1" t="s">
        <v>2863</v>
      </c>
      <c r="C759" s="1" t="s">
        <v>2864</v>
      </c>
      <c r="D759" s="1" t="str">
        <f t="shared" si="1"/>
        <v>OfficeProducts</v>
      </c>
      <c r="E759" s="1" t="str">
        <f t="shared" si="2"/>
        <v>OfficePaperProducts</v>
      </c>
      <c r="F759" s="1">
        <v>100.0</v>
      </c>
      <c r="G759" s="1">
        <v>100.0</v>
      </c>
      <c r="H759" s="6">
        <f t="shared" si="3"/>
        <v>0</v>
      </c>
      <c r="I759" s="3">
        <f>IFERROR(__xludf.DUMMYFUNCTION("GOOGLEFINANCE(""CURRENCY:INRBRL"")*F759"),6.090138511)</f>
        <v>6.090138511</v>
      </c>
      <c r="J759" s="1">
        <v>4.5</v>
      </c>
      <c r="K759" s="1">
        <v>3095.0</v>
      </c>
      <c r="L759" s="1" t="s">
        <v>2865</v>
      </c>
      <c r="M759" s="7" t="s">
        <v>2866</v>
      </c>
    </row>
    <row r="760">
      <c r="A760" s="1" t="s">
        <v>2867</v>
      </c>
      <c r="B760" s="1" t="s">
        <v>2868</v>
      </c>
      <c r="C760" s="1" t="s">
        <v>2295</v>
      </c>
      <c r="D760" s="1" t="str">
        <f t="shared" si="1"/>
        <v>Computers&amp;Accessories</v>
      </c>
      <c r="E760" s="1" t="str">
        <f t="shared" si="2"/>
        <v>Accessories&amp;Peripherals</v>
      </c>
      <c r="F760" s="1">
        <v>299.0</v>
      </c>
      <c r="G760" s="5">
        <v>1499.0</v>
      </c>
      <c r="H760" s="6">
        <f t="shared" si="3"/>
        <v>0.8005336891</v>
      </c>
      <c r="I760" s="3">
        <f>IFERROR(__xludf.DUMMYFUNCTION("GOOGLEFINANCE(""CURRENCY:INRBRL"")*F760"),18.209514147889998)</f>
        <v>18.20951415</v>
      </c>
      <c r="J760" s="1">
        <v>4.5</v>
      </c>
      <c r="K760" s="1">
        <v>903.0</v>
      </c>
      <c r="L760" s="1" t="s">
        <v>2869</v>
      </c>
      <c r="M760" s="7" t="s">
        <v>2870</v>
      </c>
    </row>
    <row r="761">
      <c r="A761" s="1" t="s">
        <v>2871</v>
      </c>
      <c r="B761" s="1" t="s">
        <v>2872</v>
      </c>
      <c r="C761" s="1" t="s">
        <v>2376</v>
      </c>
      <c r="D761" s="1" t="str">
        <f t="shared" si="1"/>
        <v>Computers&amp;Accessories</v>
      </c>
      <c r="E761" s="1" t="str">
        <f t="shared" si="2"/>
        <v>Accessories&amp;Peripherals</v>
      </c>
      <c r="F761" s="5">
        <v>1295.0</v>
      </c>
      <c r="G761" s="5">
        <v>1795.0</v>
      </c>
      <c r="H761" s="6">
        <f t="shared" si="3"/>
        <v>0.278551532</v>
      </c>
      <c r="I761" s="3">
        <f>IFERROR(__xludf.DUMMYFUNCTION("GOOGLEFINANCE(""CURRENCY:INRBRL"")*F761"),78.86729371745)</f>
        <v>78.86729372</v>
      </c>
      <c r="J761" s="1">
        <v>4.49</v>
      </c>
      <c r="K761" s="1">
        <v>25771.0</v>
      </c>
      <c r="L761" s="1" t="s">
        <v>2873</v>
      </c>
      <c r="M761" s="7" t="s">
        <v>2874</v>
      </c>
    </row>
    <row r="762">
      <c r="A762" s="1" t="s">
        <v>2875</v>
      </c>
      <c r="B762" s="1" t="s">
        <v>2876</v>
      </c>
      <c r="C762" s="1" t="s">
        <v>1412</v>
      </c>
      <c r="D762" s="1" t="str">
        <f t="shared" si="1"/>
        <v>Electronics</v>
      </c>
      <c r="E762" s="1" t="str">
        <f t="shared" si="2"/>
        <v>Headphones,Earbuds&amp;Accessories</v>
      </c>
      <c r="F762" s="1">
        <v>699.0</v>
      </c>
      <c r="G762" s="1">
        <v>999.0</v>
      </c>
      <c r="H762" s="6">
        <f t="shared" si="3"/>
        <v>0.3003003003</v>
      </c>
      <c r="I762" s="3">
        <f>IFERROR(__xludf.DUMMYFUNCTION("GOOGLEFINANCE(""CURRENCY:INRBRL"")*F762"),42.57006819189)</f>
        <v>42.57006819</v>
      </c>
      <c r="J762" s="1">
        <v>4.49</v>
      </c>
      <c r="K762" s="1">
        <v>273189.0</v>
      </c>
      <c r="L762" s="1" t="s">
        <v>2877</v>
      </c>
      <c r="M762" s="7" t="s">
        <v>2878</v>
      </c>
    </row>
    <row r="763">
      <c r="A763" s="1" t="s">
        <v>2879</v>
      </c>
      <c r="B763" s="1" t="s">
        <v>2880</v>
      </c>
      <c r="C763" s="1" t="s">
        <v>2881</v>
      </c>
      <c r="D763" s="1" t="str">
        <f t="shared" si="1"/>
        <v>OfficeProducts</v>
      </c>
      <c r="E763" s="1" t="str">
        <f t="shared" si="2"/>
        <v>OfficePaperProducts</v>
      </c>
      <c r="F763" s="1">
        <v>252.0</v>
      </c>
      <c r="G763" s="1">
        <v>315.0</v>
      </c>
      <c r="H763" s="6">
        <f t="shared" si="3"/>
        <v>0.2</v>
      </c>
      <c r="I763" s="3">
        <f>IFERROR(__xludf.DUMMYFUNCTION("GOOGLEFINANCE(""CURRENCY:INRBRL"")*F763"),15.347149047719999)</f>
        <v>15.34714905</v>
      </c>
      <c r="J763" s="1">
        <v>4.51</v>
      </c>
      <c r="K763" s="1">
        <v>3785.0</v>
      </c>
      <c r="L763" s="1" t="s">
        <v>2882</v>
      </c>
      <c r="M763" s="7" t="s">
        <v>2883</v>
      </c>
    </row>
    <row r="764">
      <c r="A764" s="1" t="s">
        <v>2884</v>
      </c>
      <c r="B764" s="1" t="s">
        <v>2885</v>
      </c>
      <c r="C764" s="1" t="s">
        <v>2352</v>
      </c>
      <c r="D764" s="1" t="str">
        <f t="shared" si="1"/>
        <v>Electronics</v>
      </c>
      <c r="E764" s="1" t="str">
        <f t="shared" si="2"/>
        <v>GeneralPurposeBatteries&amp;BatteryChargers</v>
      </c>
      <c r="F764" s="1">
        <v>190.0</v>
      </c>
      <c r="G764" s="1">
        <v>220.0</v>
      </c>
      <c r="H764" s="6">
        <f t="shared" si="3"/>
        <v>0.1363636364</v>
      </c>
      <c r="I764" s="3">
        <f>IFERROR(__xludf.DUMMYFUNCTION("GOOGLEFINANCE(""CURRENCY:INRBRL"")*F764"),11.5712631709)</f>
        <v>11.57126317</v>
      </c>
      <c r="J764" s="1">
        <v>4.5</v>
      </c>
      <c r="K764" s="1">
        <v>2866.0</v>
      </c>
      <c r="L764" s="1" t="s">
        <v>2886</v>
      </c>
      <c r="M764" s="7" t="s">
        <v>2887</v>
      </c>
    </row>
    <row r="765">
      <c r="A765" s="1" t="s">
        <v>2888</v>
      </c>
      <c r="B765" s="1" t="s">
        <v>2889</v>
      </c>
      <c r="C765" s="1" t="s">
        <v>2376</v>
      </c>
      <c r="D765" s="1" t="str">
        <f t="shared" si="1"/>
        <v>Computers&amp;Accessories</v>
      </c>
      <c r="E765" s="1" t="str">
        <f t="shared" si="2"/>
        <v>Accessories&amp;Peripherals</v>
      </c>
      <c r="F765" s="5">
        <v>1299.0</v>
      </c>
      <c r="G765" s="5">
        <v>1599.0</v>
      </c>
      <c r="H765" s="6">
        <f t="shared" si="3"/>
        <v>0.1876172608</v>
      </c>
      <c r="I765" s="3">
        <f>IFERROR(__xludf.DUMMYFUNCTION("GOOGLEFINANCE(""CURRENCY:INRBRL"")*F765"),79.11089925789)</f>
        <v>79.11089926</v>
      </c>
      <c r="J765" s="1">
        <v>4.5</v>
      </c>
      <c r="K765" s="1">
        <v>27223.0</v>
      </c>
      <c r="L765" s="1" t="s">
        <v>2890</v>
      </c>
      <c r="M765" s="7" t="s">
        <v>2891</v>
      </c>
    </row>
    <row r="766">
      <c r="A766" s="1" t="s">
        <v>2892</v>
      </c>
      <c r="B766" s="1" t="s">
        <v>2893</v>
      </c>
      <c r="C766" s="1" t="s">
        <v>2265</v>
      </c>
      <c r="D766" s="1" t="str">
        <f t="shared" si="1"/>
        <v>Computers&amp;Accessories</v>
      </c>
      <c r="E766" s="1" t="str">
        <f t="shared" si="2"/>
        <v>ExternalDevices&amp;DataStorage</v>
      </c>
      <c r="F766" s="1">
        <v>729.0</v>
      </c>
      <c r="G766" s="5">
        <v>1650.0</v>
      </c>
      <c r="H766" s="6">
        <f t="shared" si="3"/>
        <v>0.5581818182</v>
      </c>
      <c r="I766" s="3">
        <f>IFERROR(__xludf.DUMMYFUNCTION("GOOGLEFINANCE(""CURRENCY:INRBRL"")*F766"),44.39710974519)</f>
        <v>44.39710975</v>
      </c>
      <c r="J766" s="1">
        <v>4.5</v>
      </c>
      <c r="K766" s="1">
        <v>82356.0</v>
      </c>
      <c r="L766" s="1" t="s">
        <v>2894</v>
      </c>
      <c r="M766" s="7" t="s">
        <v>2895</v>
      </c>
    </row>
    <row r="767">
      <c r="A767" s="1" t="s">
        <v>2896</v>
      </c>
      <c r="B767" s="1" t="s">
        <v>2897</v>
      </c>
      <c r="C767" s="1" t="s">
        <v>2898</v>
      </c>
      <c r="D767" s="1" t="str">
        <f t="shared" si="1"/>
        <v>OfficeProducts</v>
      </c>
      <c r="E767" s="1" t="str">
        <f t="shared" si="2"/>
        <v>OfficePaperProducts</v>
      </c>
      <c r="F767" s="1">
        <v>480.0</v>
      </c>
      <c r="G767" s="1">
        <v>600.0</v>
      </c>
      <c r="H767" s="6">
        <f t="shared" si="3"/>
        <v>0.2</v>
      </c>
      <c r="I767" s="3">
        <f>IFERROR(__xludf.DUMMYFUNCTION("GOOGLEFINANCE(""CURRENCY:INRBRL"")*F767"),29.2326648528)</f>
        <v>29.23266485</v>
      </c>
      <c r="J767" s="1">
        <v>4.5</v>
      </c>
      <c r="K767" s="1">
        <v>5719.0</v>
      </c>
      <c r="L767" s="1" t="s">
        <v>2899</v>
      </c>
      <c r="M767" s="7" t="s">
        <v>2900</v>
      </c>
    </row>
    <row r="768">
      <c r="A768" s="1" t="s">
        <v>1929</v>
      </c>
      <c r="B768" s="1" t="s">
        <v>1930</v>
      </c>
      <c r="C768" s="1" t="s">
        <v>1357</v>
      </c>
      <c r="D768" s="1" t="str">
        <f t="shared" si="1"/>
        <v>Electronics</v>
      </c>
      <c r="E768" s="1" t="str">
        <f t="shared" si="2"/>
        <v>WearableTechnology</v>
      </c>
      <c r="F768" s="5">
        <v>1799.0</v>
      </c>
      <c r="G768" s="5">
        <v>6999.0</v>
      </c>
      <c r="H768" s="6">
        <f t="shared" si="3"/>
        <v>0.7429632805</v>
      </c>
      <c r="I768" s="3">
        <f>IFERROR(__xludf.DUMMYFUNCTION("GOOGLEFINANCE(""CURRENCY:INRBRL"")*F768"),109.56159181289)</f>
        <v>109.5615918</v>
      </c>
      <c r="J768" s="1">
        <v>4.0</v>
      </c>
      <c r="K768" s="1">
        <v>2688.0</v>
      </c>
      <c r="L768" s="1" t="s">
        <v>1931</v>
      </c>
      <c r="M768" s="7" t="s">
        <v>2901</v>
      </c>
    </row>
    <row r="769">
      <c r="A769" s="1" t="s">
        <v>2902</v>
      </c>
      <c r="B769" s="1" t="s">
        <v>2903</v>
      </c>
      <c r="C769" s="1" t="s">
        <v>2284</v>
      </c>
      <c r="D769" s="1" t="str">
        <f t="shared" si="1"/>
        <v>Computers&amp;Accessories</v>
      </c>
      <c r="E769" s="1" t="str">
        <f t="shared" si="2"/>
        <v>Accessories&amp;Peripherals</v>
      </c>
      <c r="F769" s="1">
        <v>999.0</v>
      </c>
      <c r="G769" s="5">
        <v>2499.0</v>
      </c>
      <c r="H769" s="6">
        <f t="shared" si="3"/>
        <v>0.600240096</v>
      </c>
      <c r="I769" s="3">
        <f>IFERROR(__xludf.DUMMYFUNCTION("GOOGLEFINANCE(""CURRENCY:INRBRL"")*F769"),60.84048372489)</f>
        <v>60.84048372</v>
      </c>
      <c r="J769" s="1">
        <v>4.5</v>
      </c>
      <c r="K769" s="1">
        <v>169.0</v>
      </c>
      <c r="L769" s="1" t="s">
        <v>2904</v>
      </c>
      <c r="M769" s="7" t="s">
        <v>2905</v>
      </c>
    </row>
    <row r="770">
      <c r="A770" s="1" t="s">
        <v>131</v>
      </c>
      <c r="B770" s="1" t="s">
        <v>132</v>
      </c>
      <c r="C770" s="1" t="s">
        <v>22</v>
      </c>
      <c r="D770" s="1" t="str">
        <f t="shared" si="1"/>
        <v>Computers&amp;Accessories</v>
      </c>
      <c r="E770" s="1" t="str">
        <f t="shared" si="2"/>
        <v>Accessories&amp;Peripherals</v>
      </c>
      <c r="F770" s="1">
        <v>299.0</v>
      </c>
      <c r="G770" s="1">
        <v>399.0</v>
      </c>
      <c r="H770" s="6">
        <f t="shared" si="3"/>
        <v>0.2506265664</v>
      </c>
      <c r="I770" s="3">
        <f>IFERROR(__xludf.DUMMYFUNCTION("GOOGLEFINANCE(""CURRENCY:INRBRL"")*F770"),18.209514147889998)</f>
        <v>18.20951415</v>
      </c>
      <c r="J770" s="1">
        <v>4.0</v>
      </c>
      <c r="K770" s="1">
        <v>2766.0</v>
      </c>
      <c r="L770" s="1" t="s">
        <v>133</v>
      </c>
      <c r="M770" s="7" t="s">
        <v>2906</v>
      </c>
    </row>
    <row r="771">
      <c r="A771" s="1" t="s">
        <v>2907</v>
      </c>
      <c r="B771" s="1" t="s">
        <v>2908</v>
      </c>
      <c r="C771" s="1" t="s">
        <v>2909</v>
      </c>
      <c r="D771" s="1" t="str">
        <f t="shared" si="1"/>
        <v>Computers&amp;Accessories</v>
      </c>
      <c r="E771" s="1" t="str">
        <f t="shared" si="2"/>
        <v>Accessories&amp;Peripherals</v>
      </c>
      <c r="F771" s="1">
        <v>238.0</v>
      </c>
      <c r="G771" s="1">
        <v>699.0</v>
      </c>
      <c r="H771" s="6">
        <f t="shared" si="3"/>
        <v>0.6595135908</v>
      </c>
      <c r="I771" s="3">
        <f>IFERROR(__xludf.DUMMYFUNCTION("GOOGLEFINANCE(""CURRENCY:INRBRL"")*F771"),14.49452965618)</f>
        <v>14.49452966</v>
      </c>
      <c r="J771" s="1">
        <v>4.5</v>
      </c>
      <c r="K771" s="1">
        <v>8372.0</v>
      </c>
      <c r="L771" s="1" t="s">
        <v>2910</v>
      </c>
      <c r="M771" s="7" t="s">
        <v>2911</v>
      </c>
    </row>
    <row r="772">
      <c r="A772" s="1" t="s">
        <v>2912</v>
      </c>
      <c r="B772" s="1" t="s">
        <v>2913</v>
      </c>
      <c r="C772" s="1" t="s">
        <v>2376</v>
      </c>
      <c r="D772" s="1" t="str">
        <f t="shared" si="1"/>
        <v>Computers&amp;Accessories</v>
      </c>
      <c r="E772" s="1" t="str">
        <f t="shared" si="2"/>
        <v>Accessories&amp;Peripherals</v>
      </c>
      <c r="F772" s="5">
        <v>1349.0</v>
      </c>
      <c r="G772" s="5">
        <v>2198.0</v>
      </c>
      <c r="H772" s="6">
        <f t="shared" si="3"/>
        <v>0.3862602366</v>
      </c>
      <c r="I772" s="3">
        <f>IFERROR(__xludf.DUMMYFUNCTION("GOOGLEFINANCE(""CURRENCY:INRBRL"")*F772"),82.15596851339)</f>
        <v>82.15596851</v>
      </c>
      <c r="J772" s="1">
        <v>4.0</v>
      </c>
      <c r="K772" s="1">
        <v>7113.0</v>
      </c>
      <c r="L772" s="1" t="s">
        <v>2914</v>
      </c>
      <c r="M772" s="7" t="s">
        <v>2915</v>
      </c>
    </row>
    <row r="773">
      <c r="A773" s="1" t="s">
        <v>139</v>
      </c>
      <c r="B773" s="1" t="s">
        <v>140</v>
      </c>
      <c r="C773" s="1" t="s">
        <v>22</v>
      </c>
      <c r="D773" s="1" t="str">
        <f t="shared" si="1"/>
        <v>Computers&amp;Accessories</v>
      </c>
      <c r="E773" s="1" t="str">
        <f t="shared" si="2"/>
        <v>Accessories&amp;Peripherals</v>
      </c>
      <c r="F773" s="1">
        <v>299.0</v>
      </c>
      <c r="G773" s="1">
        <v>999.0</v>
      </c>
      <c r="H773" s="6">
        <f t="shared" si="3"/>
        <v>0.7007007007</v>
      </c>
      <c r="I773" s="3">
        <f>IFERROR(__xludf.DUMMYFUNCTION("GOOGLEFINANCE(""CURRENCY:INRBRL"")*F773"),18.209514147889998)</f>
        <v>18.20951415</v>
      </c>
      <c r="J773" s="1">
        <v>4.5</v>
      </c>
      <c r="K773" s="1">
        <v>2085.0</v>
      </c>
      <c r="L773" s="1" t="s">
        <v>141</v>
      </c>
      <c r="M773" s="7" t="s">
        <v>2916</v>
      </c>
    </row>
    <row r="774">
      <c r="A774" s="1" t="s">
        <v>2917</v>
      </c>
      <c r="B774" s="1" t="s">
        <v>2918</v>
      </c>
      <c r="C774" s="1" t="s">
        <v>2824</v>
      </c>
      <c r="D774" s="1" t="str">
        <f t="shared" si="1"/>
        <v>Computers&amp;Accessories</v>
      </c>
      <c r="E774" s="1" t="str">
        <f t="shared" si="2"/>
        <v>Accessories&amp;Peripherals</v>
      </c>
      <c r="F774" s="1">
        <v>199.0</v>
      </c>
      <c r="G774" s="1">
        <v>499.0</v>
      </c>
      <c r="H774" s="6">
        <f t="shared" si="3"/>
        <v>0.6012024048</v>
      </c>
      <c r="I774" s="3">
        <f>IFERROR(__xludf.DUMMYFUNCTION("GOOGLEFINANCE(""CURRENCY:INRBRL"")*F774"),12.11937563689)</f>
        <v>12.11937564</v>
      </c>
      <c r="J774" s="1">
        <v>4.5</v>
      </c>
      <c r="K774" s="1">
        <v>2804.0</v>
      </c>
      <c r="L774" s="1" t="s">
        <v>2919</v>
      </c>
      <c r="M774" s="7" t="s">
        <v>2920</v>
      </c>
    </row>
    <row r="775">
      <c r="A775" s="1" t="s">
        <v>2921</v>
      </c>
      <c r="B775" s="1" t="s">
        <v>2922</v>
      </c>
      <c r="C775" s="1" t="s">
        <v>1412</v>
      </c>
      <c r="D775" s="1" t="str">
        <f t="shared" si="1"/>
        <v>Electronics</v>
      </c>
      <c r="E775" s="1" t="str">
        <f t="shared" si="2"/>
        <v>Headphones,Earbuds&amp;Accessories</v>
      </c>
      <c r="F775" s="5">
        <v>1999.0</v>
      </c>
      <c r="G775" s="5">
        <v>9999.0</v>
      </c>
      <c r="H775" s="6">
        <f t="shared" si="3"/>
        <v>0.800080008</v>
      </c>
      <c r="I775" s="3">
        <f>IFERROR(__xludf.DUMMYFUNCTION("GOOGLEFINANCE(""CURRENCY:INRBRL"")*F775"),121.74186883489)</f>
        <v>121.7418688</v>
      </c>
      <c r="J775" s="1">
        <v>4.51</v>
      </c>
      <c r="K775" s="1">
        <v>1986.0</v>
      </c>
      <c r="L775" s="1" t="s">
        <v>2459</v>
      </c>
      <c r="M775" s="7" t="s">
        <v>2923</v>
      </c>
    </row>
    <row r="776">
      <c r="A776" s="1" t="s">
        <v>2924</v>
      </c>
      <c r="B776" s="1" t="s">
        <v>2925</v>
      </c>
      <c r="C776" s="1" t="s">
        <v>1618</v>
      </c>
      <c r="D776" s="1" t="str">
        <f t="shared" si="1"/>
        <v>Electronics</v>
      </c>
      <c r="E776" s="1" t="str">
        <f t="shared" si="2"/>
        <v>Mobiles&amp;Accessories</v>
      </c>
      <c r="F776" s="1">
        <v>99.0</v>
      </c>
      <c r="G776" s="1">
        <v>499.0</v>
      </c>
      <c r="H776" s="6">
        <f t="shared" si="3"/>
        <v>0.8016032064</v>
      </c>
      <c r="I776" s="3">
        <f>IFERROR(__xludf.DUMMYFUNCTION("GOOGLEFINANCE(""CURRENCY:INRBRL"")*F776"),6.02923712589)</f>
        <v>6.029237126</v>
      </c>
      <c r="J776" s="1">
        <v>4.49</v>
      </c>
      <c r="K776" s="1">
        <v>2451.0</v>
      </c>
      <c r="L776" s="1" t="s">
        <v>1619</v>
      </c>
      <c r="M776" s="7" t="s">
        <v>2926</v>
      </c>
    </row>
    <row r="777">
      <c r="A777" s="1" t="s">
        <v>2927</v>
      </c>
      <c r="B777" s="1" t="s">
        <v>2928</v>
      </c>
      <c r="C777" s="1" t="s">
        <v>2270</v>
      </c>
      <c r="D777" s="1" t="str">
        <f t="shared" si="1"/>
        <v>Computers&amp;Accessories</v>
      </c>
      <c r="E777" s="1" t="str">
        <f t="shared" si="2"/>
        <v>Accessories&amp;Peripherals</v>
      </c>
      <c r="F777" s="1">
        <v>499.0</v>
      </c>
      <c r="G777" s="1">
        <v>999.0</v>
      </c>
      <c r="H777" s="6">
        <f t="shared" si="3"/>
        <v>0.5005005005</v>
      </c>
      <c r="I777" s="3">
        <f>IFERROR(__xludf.DUMMYFUNCTION("GOOGLEFINANCE(""CURRENCY:INRBRL"")*F777"),30.38979116989)</f>
        <v>30.38979117</v>
      </c>
      <c r="J777" s="1">
        <v>5.0</v>
      </c>
      <c r="K777" s="1">
        <v>23.0</v>
      </c>
      <c r="L777" s="1" t="s">
        <v>2929</v>
      </c>
      <c r="M777" s="7" t="s">
        <v>2930</v>
      </c>
    </row>
    <row r="778">
      <c r="A778" s="1" t="s">
        <v>2931</v>
      </c>
      <c r="B778" s="1" t="s">
        <v>2932</v>
      </c>
      <c r="C778" s="1" t="s">
        <v>2933</v>
      </c>
      <c r="D778" s="1" t="str">
        <f t="shared" si="1"/>
        <v>Computers&amp;Accessories</v>
      </c>
      <c r="E778" s="1" t="str">
        <f t="shared" si="2"/>
        <v>Components</v>
      </c>
      <c r="F778" s="5">
        <v>1792.0</v>
      </c>
      <c r="G778" s="5">
        <v>3499.0</v>
      </c>
      <c r="H778" s="6">
        <f t="shared" si="3"/>
        <v>0.4878536725</v>
      </c>
      <c r="I778" s="3">
        <f>IFERROR(__xludf.DUMMYFUNCTION("GOOGLEFINANCE(""CURRENCY:INRBRL"")*F778"),109.13528211712)</f>
        <v>109.1352821</v>
      </c>
      <c r="J778" s="1">
        <v>4.51</v>
      </c>
      <c r="K778" s="1">
        <v>26194.0</v>
      </c>
      <c r="L778" s="1" t="s">
        <v>2934</v>
      </c>
      <c r="M778" s="7" t="s">
        <v>2935</v>
      </c>
    </row>
    <row r="779">
      <c r="A779" s="1" t="s">
        <v>2936</v>
      </c>
      <c r="B779" s="1" t="s">
        <v>2937</v>
      </c>
      <c r="C779" s="1" t="s">
        <v>2938</v>
      </c>
      <c r="D779" s="1" t="str">
        <f t="shared" si="1"/>
        <v>Computers&amp;Accessories</v>
      </c>
      <c r="E779" s="1" t="str">
        <f t="shared" si="2"/>
        <v>Accessories&amp;Peripherals</v>
      </c>
      <c r="F779" s="5">
        <v>3299.0</v>
      </c>
      <c r="G779" s="5">
        <v>4099.0</v>
      </c>
      <c r="H779" s="6">
        <f t="shared" si="3"/>
        <v>0.1951695535</v>
      </c>
      <c r="I779" s="3">
        <f>IFERROR(__xludf.DUMMYFUNCTION("GOOGLEFINANCE(""CURRENCY:INRBRL"")*F779"),200.91366947788998)</f>
        <v>200.9136695</v>
      </c>
      <c r="J779" s="1">
        <v>4.52</v>
      </c>
      <c r="K779" s="1">
        <v>15783.0</v>
      </c>
      <c r="L779" s="1" t="s">
        <v>2939</v>
      </c>
      <c r="M779" s="7" t="s">
        <v>2940</v>
      </c>
    </row>
    <row r="780">
      <c r="A780" s="1" t="s">
        <v>2941</v>
      </c>
      <c r="B780" s="1" t="s">
        <v>2942</v>
      </c>
      <c r="C780" s="1" t="s">
        <v>2881</v>
      </c>
      <c r="D780" s="1" t="str">
        <f t="shared" si="1"/>
        <v>OfficeProducts</v>
      </c>
      <c r="E780" s="1" t="str">
        <f t="shared" si="2"/>
        <v>OfficePaperProducts</v>
      </c>
      <c r="F780" s="1">
        <v>125.0</v>
      </c>
      <c r="G780" s="1">
        <v>180.0</v>
      </c>
      <c r="H780" s="6">
        <f t="shared" si="3"/>
        <v>0.3055555556</v>
      </c>
      <c r="I780" s="3">
        <f>IFERROR(__xludf.DUMMYFUNCTION("GOOGLEFINANCE(""CURRENCY:INRBRL"")*F780"),7.61267313875)</f>
        <v>7.612673139</v>
      </c>
      <c r="J780" s="1">
        <v>4.5</v>
      </c>
      <c r="K780" s="1">
        <v>8053.0</v>
      </c>
      <c r="L780" s="1" t="s">
        <v>2943</v>
      </c>
      <c r="M780" s="7" t="s">
        <v>2944</v>
      </c>
    </row>
    <row r="781">
      <c r="A781" s="1" t="s">
        <v>2945</v>
      </c>
      <c r="B781" s="1" t="s">
        <v>2946</v>
      </c>
      <c r="C781" s="1" t="s">
        <v>2270</v>
      </c>
      <c r="D781" s="1" t="str">
        <f t="shared" si="1"/>
        <v>Computers&amp;Accessories</v>
      </c>
      <c r="E781" s="1" t="str">
        <f t="shared" si="2"/>
        <v>Accessories&amp;Peripherals</v>
      </c>
      <c r="F781" s="1">
        <v>399.0</v>
      </c>
      <c r="G781" s="5">
        <v>1199.0</v>
      </c>
      <c r="H781" s="6">
        <f t="shared" si="3"/>
        <v>0.6672226856</v>
      </c>
      <c r="I781" s="3">
        <f>IFERROR(__xludf.DUMMYFUNCTION("GOOGLEFINANCE(""CURRENCY:INRBRL"")*F781"),24.29965265889)</f>
        <v>24.29965266</v>
      </c>
      <c r="J781" s="1">
        <v>4.49</v>
      </c>
      <c r="K781" s="1">
        <v>2809.0</v>
      </c>
      <c r="L781" s="1" t="s">
        <v>2947</v>
      </c>
      <c r="M781" s="7" t="s">
        <v>2948</v>
      </c>
    </row>
    <row r="782">
      <c r="A782" s="1" t="s">
        <v>2949</v>
      </c>
      <c r="B782" s="1" t="s">
        <v>2950</v>
      </c>
      <c r="C782" s="1" t="s">
        <v>1412</v>
      </c>
      <c r="D782" s="1" t="str">
        <f t="shared" si="1"/>
        <v>Electronics</v>
      </c>
      <c r="E782" s="1" t="str">
        <f t="shared" si="2"/>
        <v>Headphones,Earbuds&amp;Accessories</v>
      </c>
      <c r="F782" s="5">
        <v>1199.0</v>
      </c>
      <c r="G782" s="5">
        <v>7999.0</v>
      </c>
      <c r="H782" s="6">
        <f t="shared" si="3"/>
        <v>0.8501062633</v>
      </c>
      <c r="I782" s="3">
        <f>IFERROR(__xludf.DUMMYFUNCTION("GOOGLEFINANCE(""CURRENCY:INRBRL"")*F782"),73.02076074688999)</f>
        <v>73.02076075</v>
      </c>
      <c r="J782" s="1">
        <v>4.51</v>
      </c>
      <c r="K782" s="1">
        <v>2591.0</v>
      </c>
      <c r="L782" s="1" t="s">
        <v>2951</v>
      </c>
      <c r="M782" s="7" t="s">
        <v>2952</v>
      </c>
    </row>
    <row r="783">
      <c r="A783" s="1" t="s">
        <v>2953</v>
      </c>
      <c r="B783" s="1" t="s">
        <v>2954</v>
      </c>
      <c r="C783" s="1" t="s">
        <v>2275</v>
      </c>
      <c r="D783" s="1" t="str">
        <f t="shared" si="1"/>
        <v>Computers&amp;Accessories</v>
      </c>
      <c r="E783" s="1" t="str">
        <f t="shared" si="2"/>
        <v>Accessories&amp;Peripherals</v>
      </c>
      <c r="F783" s="1">
        <v>235.0</v>
      </c>
      <c r="G783" s="5">
        <v>1599.0</v>
      </c>
      <c r="H783" s="6">
        <f t="shared" si="3"/>
        <v>0.8530331457</v>
      </c>
      <c r="I783" s="3">
        <f>IFERROR(__xludf.DUMMYFUNCTION("GOOGLEFINANCE(""CURRENCY:INRBRL"")*F783"),14.311825500849999)</f>
        <v>14.3118255</v>
      </c>
      <c r="J783" s="1">
        <v>4.51</v>
      </c>
      <c r="K783" s="1">
        <v>1173.0</v>
      </c>
      <c r="L783" s="1" t="s">
        <v>2955</v>
      </c>
      <c r="M783" s="7" t="s">
        <v>2956</v>
      </c>
    </row>
    <row r="784">
      <c r="A784" s="1" t="s">
        <v>2957</v>
      </c>
      <c r="B784" s="1" t="s">
        <v>2958</v>
      </c>
      <c r="C784" s="1" t="s">
        <v>2284</v>
      </c>
      <c r="D784" s="1" t="str">
        <f t="shared" si="1"/>
        <v>Computers&amp;Accessories</v>
      </c>
      <c r="E784" s="1" t="str">
        <f t="shared" si="2"/>
        <v>Accessories&amp;Peripherals</v>
      </c>
      <c r="F784" s="1">
        <v>549.0</v>
      </c>
      <c r="G784" s="5">
        <v>1999.0</v>
      </c>
      <c r="H784" s="6">
        <f t="shared" si="3"/>
        <v>0.7253626813</v>
      </c>
      <c r="I784" s="3">
        <f>IFERROR(__xludf.DUMMYFUNCTION("GOOGLEFINANCE(""CURRENCY:INRBRL"")*F784"),33.43486042539)</f>
        <v>33.43486043</v>
      </c>
      <c r="J784" s="1">
        <v>4.51</v>
      </c>
      <c r="K784" s="1">
        <v>6422.0</v>
      </c>
      <c r="L784" s="1" t="s">
        <v>2959</v>
      </c>
      <c r="M784" s="7" t="s">
        <v>2960</v>
      </c>
    </row>
    <row r="785">
      <c r="A785" s="1" t="s">
        <v>2961</v>
      </c>
      <c r="B785" s="1" t="s">
        <v>2962</v>
      </c>
      <c r="C785" s="1" t="s">
        <v>2689</v>
      </c>
      <c r="D785" s="1" t="str">
        <f t="shared" si="1"/>
        <v>Computers&amp;Accessories</v>
      </c>
      <c r="E785" s="1" t="str">
        <f t="shared" si="2"/>
        <v>Accessories&amp;Peripherals</v>
      </c>
      <c r="F785" s="1">
        <v>89.0</v>
      </c>
      <c r="G785" s="1">
        <v>99.0</v>
      </c>
      <c r="H785" s="6">
        <f t="shared" si="3"/>
        <v>0.101010101</v>
      </c>
      <c r="I785" s="3">
        <f>IFERROR(__xludf.DUMMYFUNCTION("GOOGLEFINANCE(""CURRENCY:INRBRL"")*F785"),5.42022327479)</f>
        <v>5.420223275</v>
      </c>
      <c r="J785" s="1">
        <v>4.5</v>
      </c>
      <c r="K785" s="1">
        <v>241.0</v>
      </c>
      <c r="L785" s="1" t="s">
        <v>2963</v>
      </c>
      <c r="M785" s="7" t="s">
        <v>2964</v>
      </c>
    </row>
    <row r="786">
      <c r="A786" s="1" t="s">
        <v>135</v>
      </c>
      <c r="B786" s="1" t="s">
        <v>136</v>
      </c>
      <c r="C786" s="1" t="s">
        <v>22</v>
      </c>
      <c r="D786" s="1" t="str">
        <f t="shared" si="1"/>
        <v>Computers&amp;Accessories</v>
      </c>
      <c r="E786" s="1" t="str">
        <f t="shared" si="2"/>
        <v>Accessories&amp;Peripherals</v>
      </c>
      <c r="F786" s="1">
        <v>970.0</v>
      </c>
      <c r="G786" s="5">
        <v>1999.0</v>
      </c>
      <c r="H786" s="6">
        <f t="shared" si="3"/>
        <v>0.5147573787</v>
      </c>
      <c r="I786" s="3">
        <f>IFERROR(__xludf.DUMMYFUNCTION("GOOGLEFINANCE(""CURRENCY:INRBRL"")*F786"),59.0743435567)</f>
        <v>59.07434356</v>
      </c>
      <c r="J786" s="1">
        <v>4.5</v>
      </c>
      <c r="K786" s="1">
        <v>184.0</v>
      </c>
      <c r="L786" s="1" t="s">
        <v>137</v>
      </c>
      <c r="M786" s="7" t="s">
        <v>2965</v>
      </c>
    </row>
    <row r="787">
      <c r="A787" s="1" t="s">
        <v>2966</v>
      </c>
      <c r="B787" s="1" t="s">
        <v>2967</v>
      </c>
      <c r="C787" s="1" t="s">
        <v>1412</v>
      </c>
      <c r="D787" s="1" t="str">
        <f t="shared" si="1"/>
        <v>Electronics</v>
      </c>
      <c r="E787" s="1" t="str">
        <f t="shared" si="2"/>
        <v>Headphones,Earbuds&amp;Accessories</v>
      </c>
      <c r="F787" s="5">
        <v>1299.0</v>
      </c>
      <c r="G787" s="5">
        <v>2999.0</v>
      </c>
      <c r="H787" s="6">
        <f t="shared" si="3"/>
        <v>0.5668556185</v>
      </c>
      <c r="I787" s="3">
        <f>IFERROR(__xludf.DUMMYFUNCTION("GOOGLEFINANCE(""CURRENCY:INRBRL"")*F787"),79.11089925789)</f>
        <v>79.11089926</v>
      </c>
      <c r="J787" s="1">
        <v>4.51</v>
      </c>
      <c r="K787" s="1">
        <v>14629.0</v>
      </c>
      <c r="L787" s="1" t="s">
        <v>2968</v>
      </c>
      <c r="M787" s="7" t="s">
        <v>2969</v>
      </c>
    </row>
    <row r="788">
      <c r="A788" s="1" t="s">
        <v>2970</v>
      </c>
      <c r="B788" s="1" t="s">
        <v>2971</v>
      </c>
      <c r="C788" s="1" t="s">
        <v>2485</v>
      </c>
      <c r="D788" s="1" t="str">
        <f t="shared" si="1"/>
        <v>Computers&amp;Accessories</v>
      </c>
      <c r="E788" s="1" t="str">
        <f t="shared" si="2"/>
        <v>Accessories&amp;Peripherals</v>
      </c>
      <c r="F788" s="1">
        <v>230.0</v>
      </c>
      <c r="G788" s="1">
        <v>999.0</v>
      </c>
      <c r="H788" s="6">
        <f t="shared" si="3"/>
        <v>0.7697697698</v>
      </c>
      <c r="I788" s="3">
        <f>IFERROR(__xludf.DUMMYFUNCTION("GOOGLEFINANCE(""CURRENCY:INRBRL"")*F788"),14.0073185753)</f>
        <v>14.00731858</v>
      </c>
      <c r="J788" s="1">
        <v>4.5</v>
      </c>
      <c r="K788" s="1">
        <v>1528.0</v>
      </c>
      <c r="L788" s="1" t="s">
        <v>2972</v>
      </c>
      <c r="M788" s="7" t="s">
        <v>2973</v>
      </c>
    </row>
    <row r="789">
      <c r="A789" s="1" t="s">
        <v>2974</v>
      </c>
      <c r="B789" s="1" t="s">
        <v>2975</v>
      </c>
      <c r="C789" s="1" t="s">
        <v>2976</v>
      </c>
      <c r="D789" s="1" t="str">
        <f t="shared" si="1"/>
        <v>Electronics</v>
      </c>
      <c r="E789" s="1" t="str">
        <f t="shared" si="2"/>
        <v>Headphones,Earbuds&amp;Accessories</v>
      </c>
      <c r="F789" s="1">
        <v>119.0</v>
      </c>
      <c r="G789" s="1">
        <v>499.0</v>
      </c>
      <c r="H789" s="6">
        <f t="shared" si="3"/>
        <v>0.7615230461</v>
      </c>
      <c r="I789" s="3">
        <f>IFERROR(__xludf.DUMMYFUNCTION("GOOGLEFINANCE(""CURRENCY:INRBRL"")*F789"),7.24726482809)</f>
        <v>7.247264828</v>
      </c>
      <c r="J789" s="1">
        <v>4.5</v>
      </c>
      <c r="K789" s="1">
        <v>15032.0</v>
      </c>
      <c r="L789" s="1" t="s">
        <v>2977</v>
      </c>
      <c r="M789" s="7" t="s">
        <v>2978</v>
      </c>
    </row>
    <row r="790">
      <c r="A790" s="1" t="s">
        <v>2979</v>
      </c>
      <c r="B790" s="1" t="s">
        <v>2980</v>
      </c>
      <c r="C790" s="1" t="s">
        <v>2981</v>
      </c>
      <c r="D790" s="1" t="str">
        <f t="shared" si="1"/>
        <v>Electronics</v>
      </c>
      <c r="E790" s="1" t="str">
        <f t="shared" si="2"/>
        <v>Accessories</v>
      </c>
      <c r="F790" s="1">
        <v>449.0</v>
      </c>
      <c r="G790" s="1">
        <v>800.0</v>
      </c>
      <c r="H790" s="6">
        <f t="shared" si="3"/>
        <v>0.43875</v>
      </c>
      <c r="I790" s="3">
        <f>IFERROR(__xludf.DUMMYFUNCTION("GOOGLEFINANCE(""CURRENCY:INRBRL"")*F790"),27.34472191439)</f>
        <v>27.34472191</v>
      </c>
      <c r="J790" s="1">
        <v>4.5</v>
      </c>
      <c r="K790" s="1">
        <v>69585.0</v>
      </c>
      <c r="L790" s="1" t="s">
        <v>2982</v>
      </c>
      <c r="M790" s="7" t="s">
        <v>2983</v>
      </c>
    </row>
    <row r="791">
      <c r="A791" s="1" t="s">
        <v>2984</v>
      </c>
      <c r="B791" s="1" t="s">
        <v>2985</v>
      </c>
      <c r="C791" s="1" t="s">
        <v>2986</v>
      </c>
      <c r="D791" s="1" t="str">
        <f t="shared" si="1"/>
        <v>Electronics</v>
      </c>
      <c r="E791" s="1" t="str">
        <f t="shared" si="2"/>
        <v>Mobiles&amp;Accessories</v>
      </c>
      <c r="F791" s="5">
        <v>1699.0</v>
      </c>
      <c r="G791" s="5">
        <v>3495.0</v>
      </c>
      <c r="H791" s="6">
        <f t="shared" si="3"/>
        <v>0.5138769671</v>
      </c>
      <c r="I791" s="3">
        <f>IFERROR(__xludf.DUMMYFUNCTION("GOOGLEFINANCE(""CURRENCY:INRBRL"")*F791"),103.47145330189)</f>
        <v>103.4714533</v>
      </c>
      <c r="J791" s="1">
        <v>4.49</v>
      </c>
      <c r="K791" s="1">
        <v>14371.0</v>
      </c>
      <c r="L791" s="1" t="s">
        <v>2987</v>
      </c>
      <c r="M791" s="7" t="s">
        <v>2988</v>
      </c>
    </row>
    <row r="792">
      <c r="A792" s="1" t="s">
        <v>2989</v>
      </c>
      <c r="B792" s="1" t="s">
        <v>2990</v>
      </c>
      <c r="C792" s="1" t="s">
        <v>2881</v>
      </c>
      <c r="D792" s="1" t="str">
        <f t="shared" si="1"/>
        <v>OfficeProducts</v>
      </c>
      <c r="E792" s="1" t="str">
        <f t="shared" si="2"/>
        <v>OfficePaperProducts</v>
      </c>
      <c r="F792" s="1">
        <v>561.0</v>
      </c>
      <c r="G792" s="1">
        <v>720.0</v>
      </c>
      <c r="H792" s="6">
        <f t="shared" si="3"/>
        <v>0.2208333333</v>
      </c>
      <c r="I792" s="3">
        <f>IFERROR(__xludf.DUMMYFUNCTION("GOOGLEFINANCE(""CURRENCY:INRBRL"")*F792"),34.16567704671)</f>
        <v>34.16567705</v>
      </c>
      <c r="J792" s="1">
        <v>4.5</v>
      </c>
      <c r="K792" s="1">
        <v>3182.0</v>
      </c>
      <c r="L792" s="1" t="s">
        <v>2991</v>
      </c>
      <c r="M792" s="7" t="s">
        <v>2992</v>
      </c>
    </row>
    <row r="793">
      <c r="A793" s="1" t="s">
        <v>2993</v>
      </c>
      <c r="B793" s="1" t="s">
        <v>2994</v>
      </c>
      <c r="C793" s="1" t="s">
        <v>2270</v>
      </c>
      <c r="D793" s="1" t="str">
        <f t="shared" si="1"/>
        <v>Computers&amp;Accessories</v>
      </c>
      <c r="E793" s="1" t="str">
        <f t="shared" si="2"/>
        <v>Accessories&amp;Peripherals</v>
      </c>
      <c r="F793" s="1">
        <v>289.0</v>
      </c>
      <c r="G793" s="1">
        <v>590.0</v>
      </c>
      <c r="H793" s="6">
        <f t="shared" si="3"/>
        <v>0.5101694915</v>
      </c>
      <c r="I793" s="3">
        <f>IFERROR(__xludf.DUMMYFUNCTION("GOOGLEFINANCE(""CURRENCY:INRBRL"")*F793"),17.60050029679)</f>
        <v>17.6005003</v>
      </c>
      <c r="J793" s="1">
        <v>4.5</v>
      </c>
      <c r="K793" s="1">
        <v>25886.0</v>
      </c>
      <c r="L793" s="1" t="s">
        <v>2995</v>
      </c>
      <c r="M793" s="7" t="s">
        <v>2996</v>
      </c>
    </row>
    <row r="794">
      <c r="A794" s="1" t="s">
        <v>2997</v>
      </c>
      <c r="B794" s="1" t="s">
        <v>2998</v>
      </c>
      <c r="C794" s="1" t="s">
        <v>2295</v>
      </c>
      <c r="D794" s="1" t="str">
        <f t="shared" si="1"/>
        <v>Computers&amp;Accessories</v>
      </c>
      <c r="E794" s="1" t="str">
        <f t="shared" si="2"/>
        <v>Accessories&amp;Peripherals</v>
      </c>
      <c r="F794" s="1">
        <v>599.0</v>
      </c>
      <c r="G794" s="5">
        <v>1999.0</v>
      </c>
      <c r="H794" s="6">
        <f t="shared" si="3"/>
        <v>0.7003501751</v>
      </c>
      <c r="I794" s="3">
        <f>IFERROR(__xludf.DUMMYFUNCTION("GOOGLEFINANCE(""CURRENCY:INRBRL"")*F794"),36.479929680889995)</f>
        <v>36.47992968</v>
      </c>
      <c r="J794" s="1">
        <v>4.5</v>
      </c>
      <c r="K794" s="1">
        <v>4736.0</v>
      </c>
      <c r="L794" s="1" t="s">
        <v>2999</v>
      </c>
      <c r="M794" s="7" t="s">
        <v>3000</v>
      </c>
    </row>
    <row r="795">
      <c r="A795" s="1" t="s">
        <v>3001</v>
      </c>
      <c r="B795" s="1" t="s">
        <v>3002</v>
      </c>
      <c r="C795" s="1" t="s">
        <v>2384</v>
      </c>
      <c r="D795" s="1" t="str">
        <f t="shared" si="1"/>
        <v>Computers&amp;Accessories</v>
      </c>
      <c r="E795" s="1" t="str">
        <f t="shared" si="2"/>
        <v>ExternalDevices&amp;DataStorage</v>
      </c>
      <c r="F795" s="5">
        <v>5599.0</v>
      </c>
      <c r="G795" s="5">
        <v>7350.0</v>
      </c>
      <c r="H795" s="6">
        <f t="shared" si="3"/>
        <v>0.2382312925</v>
      </c>
      <c r="I795" s="3">
        <f>IFERROR(__xludf.DUMMYFUNCTION("GOOGLEFINANCE(""CURRENCY:INRBRL"")*F795"),340.98685523089)</f>
        <v>340.9868552</v>
      </c>
      <c r="J795" s="1">
        <v>4.5</v>
      </c>
      <c r="K795" s="1">
        <v>73005.0</v>
      </c>
      <c r="L795" s="1" t="s">
        <v>3003</v>
      </c>
      <c r="M795" s="7" t="s">
        <v>3004</v>
      </c>
    </row>
    <row r="796">
      <c r="A796" s="1" t="s">
        <v>3005</v>
      </c>
      <c r="B796" s="1" t="s">
        <v>3006</v>
      </c>
      <c r="C796" s="1" t="s">
        <v>3007</v>
      </c>
      <c r="D796" s="1" t="str">
        <f t="shared" si="1"/>
        <v>Computers&amp;Accessories</v>
      </c>
      <c r="E796" s="1" t="str">
        <f t="shared" si="2"/>
        <v>Accessories&amp;Peripherals</v>
      </c>
      <c r="F796" s="5">
        <v>1999.0</v>
      </c>
      <c r="G796" s="5">
        <v>2595.0</v>
      </c>
      <c r="H796" s="6">
        <f t="shared" si="3"/>
        <v>0.229672447</v>
      </c>
      <c r="I796" s="3">
        <f>IFERROR(__xludf.DUMMYFUNCTION("GOOGLEFINANCE(""CURRENCY:INRBRL"")*F796"),121.74186883489)</f>
        <v>121.7418688</v>
      </c>
      <c r="J796" s="1">
        <v>4.5</v>
      </c>
      <c r="K796" s="1">
        <v>20398.0</v>
      </c>
      <c r="L796" s="1" t="s">
        <v>3008</v>
      </c>
      <c r="M796" s="7" t="s">
        <v>3009</v>
      </c>
    </row>
    <row r="797">
      <c r="A797" s="1" t="s">
        <v>3010</v>
      </c>
      <c r="B797" s="1" t="s">
        <v>3011</v>
      </c>
      <c r="C797" s="1" t="s">
        <v>2807</v>
      </c>
      <c r="D797" s="1" t="str">
        <f t="shared" si="1"/>
        <v>Computers&amp;Accessories</v>
      </c>
      <c r="E797" s="1" t="str">
        <f t="shared" si="2"/>
        <v>Accessories&amp;Peripherals</v>
      </c>
      <c r="F797" s="1">
        <v>499.0</v>
      </c>
      <c r="G797" s="1">
        <v>799.0</v>
      </c>
      <c r="H797" s="6">
        <f t="shared" si="3"/>
        <v>0.3754693367</v>
      </c>
      <c r="I797" s="3">
        <f>IFERROR(__xludf.DUMMYFUNCTION("GOOGLEFINANCE(""CURRENCY:INRBRL"")*F797"),30.38979116989)</f>
        <v>30.38979117</v>
      </c>
      <c r="J797" s="1">
        <v>4.5</v>
      </c>
      <c r="K797" s="1">
        <v>2125.0</v>
      </c>
      <c r="L797" s="1" t="s">
        <v>3012</v>
      </c>
      <c r="M797" s="7" t="s">
        <v>3013</v>
      </c>
    </row>
    <row r="798">
      <c r="A798" s="1" t="s">
        <v>3014</v>
      </c>
      <c r="B798" s="1" t="s">
        <v>3015</v>
      </c>
      <c r="C798" s="1" t="s">
        <v>2850</v>
      </c>
      <c r="D798" s="1" t="str">
        <f t="shared" si="1"/>
        <v>Computers&amp;Accessories</v>
      </c>
      <c r="E798" s="1" t="str">
        <f t="shared" si="2"/>
        <v>Accessories&amp;Peripherals</v>
      </c>
      <c r="F798" s="1">
        <v>449.0</v>
      </c>
      <c r="G798" s="1">
        <v>999.0</v>
      </c>
      <c r="H798" s="6">
        <f t="shared" si="3"/>
        <v>0.5505505506</v>
      </c>
      <c r="I798" s="3">
        <f>IFERROR(__xludf.DUMMYFUNCTION("GOOGLEFINANCE(""CURRENCY:INRBRL"")*F798"),27.34472191439)</f>
        <v>27.34472191</v>
      </c>
      <c r="J798" s="1">
        <v>4.5</v>
      </c>
      <c r="K798" s="1">
        <v>1133.0</v>
      </c>
      <c r="L798" s="1" t="s">
        <v>3016</v>
      </c>
      <c r="M798" s="7" t="s">
        <v>3017</v>
      </c>
    </row>
    <row r="799">
      <c r="A799" s="1" t="s">
        <v>3018</v>
      </c>
      <c r="B799" s="1" t="s">
        <v>3019</v>
      </c>
      <c r="C799" s="1" t="s">
        <v>3020</v>
      </c>
      <c r="D799" s="1" t="str">
        <f t="shared" si="1"/>
        <v>Computers&amp;Accessories</v>
      </c>
      <c r="E799" s="1" t="str">
        <f t="shared" si="2"/>
        <v>Accessories&amp;Peripherals</v>
      </c>
      <c r="F799" s="1">
        <v>999.0</v>
      </c>
      <c r="G799" s="5">
        <v>1999.0</v>
      </c>
      <c r="H799" s="6">
        <f t="shared" si="3"/>
        <v>0.5002501251</v>
      </c>
      <c r="I799" s="3">
        <f>IFERROR(__xludf.DUMMYFUNCTION("GOOGLEFINANCE(""CURRENCY:INRBRL"")*F799"),60.84048372489)</f>
        <v>60.84048372</v>
      </c>
      <c r="J799" s="1">
        <v>4.5</v>
      </c>
      <c r="K799" s="1">
        <v>27441.0</v>
      </c>
      <c r="L799" s="1" t="s">
        <v>3021</v>
      </c>
      <c r="M799" s="7" t="s">
        <v>3022</v>
      </c>
    </row>
    <row r="800">
      <c r="A800" s="1" t="s">
        <v>3023</v>
      </c>
      <c r="B800" s="1" t="s">
        <v>3024</v>
      </c>
      <c r="C800" s="1" t="s">
        <v>2091</v>
      </c>
      <c r="D800" s="1" t="str">
        <f t="shared" si="1"/>
        <v>Computers&amp;Accessories</v>
      </c>
      <c r="E800" s="1" t="str">
        <f t="shared" si="2"/>
        <v>Accessories&amp;Peripherals</v>
      </c>
      <c r="F800" s="1">
        <v>69.0</v>
      </c>
      <c r="G800" s="1">
        <v>299.0</v>
      </c>
      <c r="H800" s="6">
        <f t="shared" si="3"/>
        <v>0.7692307692</v>
      </c>
      <c r="I800" s="3">
        <f>IFERROR(__xludf.DUMMYFUNCTION("GOOGLEFINANCE(""CURRENCY:INRBRL"")*F800"),4.20219557259)</f>
        <v>4.202195573</v>
      </c>
      <c r="J800" s="1">
        <v>4.5</v>
      </c>
      <c r="K800" s="1">
        <v>255.0</v>
      </c>
      <c r="L800" s="1" t="s">
        <v>3025</v>
      </c>
      <c r="M800" s="7" t="s">
        <v>3026</v>
      </c>
    </row>
    <row r="801">
      <c r="A801" s="1" t="s">
        <v>3027</v>
      </c>
      <c r="B801" s="1" t="s">
        <v>3028</v>
      </c>
      <c r="C801" s="1" t="s">
        <v>2270</v>
      </c>
      <c r="D801" s="1" t="str">
        <f t="shared" si="1"/>
        <v>Computers&amp;Accessories</v>
      </c>
      <c r="E801" s="1" t="str">
        <f t="shared" si="2"/>
        <v>Accessories&amp;Peripherals</v>
      </c>
      <c r="F801" s="1">
        <v>899.0</v>
      </c>
      <c r="G801" s="5">
        <v>1499.0</v>
      </c>
      <c r="H801" s="6">
        <f t="shared" si="3"/>
        <v>0.4002668446</v>
      </c>
      <c r="I801" s="3">
        <f>IFERROR(__xludf.DUMMYFUNCTION("GOOGLEFINANCE(""CURRENCY:INRBRL"")*F801"),54.75034521389)</f>
        <v>54.75034521</v>
      </c>
      <c r="J801" s="1">
        <v>4.5</v>
      </c>
      <c r="K801" s="1">
        <v>23174.0</v>
      </c>
      <c r="L801" s="1" t="s">
        <v>3029</v>
      </c>
      <c r="M801" s="7" t="s">
        <v>3030</v>
      </c>
    </row>
    <row r="802">
      <c r="A802" s="1" t="s">
        <v>3031</v>
      </c>
      <c r="B802" s="1" t="s">
        <v>3032</v>
      </c>
      <c r="C802" s="1" t="s">
        <v>2346</v>
      </c>
      <c r="D802" s="1" t="str">
        <f t="shared" si="1"/>
        <v>MusicalInstruments</v>
      </c>
      <c r="E802" s="1" t="str">
        <f t="shared" si="2"/>
        <v>Microphones</v>
      </c>
      <c r="F802" s="1">
        <v>478.0</v>
      </c>
      <c r="G802" s="1">
        <v>699.0</v>
      </c>
      <c r="H802" s="6">
        <f t="shared" si="3"/>
        <v>0.3161659514</v>
      </c>
      <c r="I802" s="3">
        <f>IFERROR(__xludf.DUMMYFUNCTION("GOOGLEFINANCE(""CURRENCY:INRBRL"")*F802"),29.11086208258)</f>
        <v>29.11086208</v>
      </c>
      <c r="J802" s="1">
        <v>4.51</v>
      </c>
      <c r="K802" s="1">
        <v>20218.0</v>
      </c>
      <c r="L802" s="1" t="s">
        <v>3033</v>
      </c>
      <c r="M802" s="7" t="s">
        <v>3034</v>
      </c>
    </row>
    <row r="803">
      <c r="A803" s="1" t="s">
        <v>3035</v>
      </c>
      <c r="B803" s="1" t="s">
        <v>3036</v>
      </c>
      <c r="C803" s="1" t="s">
        <v>3037</v>
      </c>
      <c r="D803" s="1" t="str">
        <f t="shared" si="1"/>
        <v>Computers&amp;Accessories</v>
      </c>
      <c r="E803" s="1" t="str">
        <f t="shared" si="2"/>
        <v>Accessories&amp;Peripherals</v>
      </c>
      <c r="F803" s="5">
        <v>1399.0</v>
      </c>
      <c r="G803" s="5">
        <v>2499.0</v>
      </c>
      <c r="H803" s="6">
        <f t="shared" si="3"/>
        <v>0.4401760704</v>
      </c>
      <c r="I803" s="3">
        <f>IFERROR(__xludf.DUMMYFUNCTION("GOOGLEFINANCE(""CURRENCY:INRBRL"")*F803"),85.20103776889)</f>
        <v>85.20103777</v>
      </c>
      <c r="J803" s="1">
        <v>4.5</v>
      </c>
      <c r="K803" s="1">
        <v>11074.0</v>
      </c>
      <c r="L803" s="1" t="s">
        <v>3038</v>
      </c>
      <c r="M803" s="7" t="s">
        <v>3039</v>
      </c>
    </row>
    <row r="804">
      <c r="A804" s="1" t="s">
        <v>143</v>
      </c>
      <c r="B804" s="1" t="s">
        <v>144</v>
      </c>
      <c r="C804" s="1" t="s">
        <v>22</v>
      </c>
      <c r="D804" s="1" t="str">
        <f t="shared" si="1"/>
        <v>Computers&amp;Accessories</v>
      </c>
      <c r="E804" s="1" t="str">
        <f t="shared" si="2"/>
        <v>Accessories&amp;Peripherals</v>
      </c>
      <c r="F804" s="1">
        <v>199.0</v>
      </c>
      <c r="G804" s="1">
        <v>750.0</v>
      </c>
      <c r="H804" s="6">
        <f t="shared" si="3"/>
        <v>0.7346666667</v>
      </c>
      <c r="I804" s="3">
        <f>IFERROR(__xludf.DUMMYFUNCTION("GOOGLEFINANCE(""CURRENCY:INRBRL"")*F804"),12.11937563689)</f>
        <v>12.11937564</v>
      </c>
      <c r="J804" s="1">
        <v>4.51</v>
      </c>
      <c r="K804" s="1">
        <v>74976.0</v>
      </c>
      <c r="L804" s="1" t="s">
        <v>145</v>
      </c>
      <c r="M804" s="7" t="s">
        <v>3040</v>
      </c>
    </row>
    <row r="805">
      <c r="A805" s="1" t="s">
        <v>3041</v>
      </c>
      <c r="B805" s="1" t="s">
        <v>3042</v>
      </c>
      <c r="C805" s="1" t="s">
        <v>3043</v>
      </c>
      <c r="D805" s="1" t="str">
        <f t="shared" si="1"/>
        <v>Computers&amp;Accessories</v>
      </c>
      <c r="E805" s="1" t="str">
        <f t="shared" si="2"/>
        <v>Accessories&amp;Peripherals</v>
      </c>
      <c r="F805" s="1">
        <v>149.0</v>
      </c>
      <c r="G805" s="1">
        <v>499.0</v>
      </c>
      <c r="H805" s="6">
        <f t="shared" si="3"/>
        <v>0.7014028056</v>
      </c>
      <c r="I805" s="3">
        <f>IFERROR(__xludf.DUMMYFUNCTION("GOOGLEFINANCE(""CURRENCY:INRBRL"")*F805"),9.07430638139)</f>
        <v>9.074306381</v>
      </c>
      <c r="J805" s="1">
        <v>4.49</v>
      </c>
      <c r="K805" s="1">
        <v>25607.0</v>
      </c>
      <c r="L805" s="1" t="s">
        <v>3044</v>
      </c>
      <c r="M805" s="7" t="s">
        <v>3045</v>
      </c>
    </row>
    <row r="806">
      <c r="A806" s="1" t="s">
        <v>3046</v>
      </c>
      <c r="B806" s="1" t="s">
        <v>3047</v>
      </c>
      <c r="C806" s="1" t="s">
        <v>2554</v>
      </c>
      <c r="D806" s="1" t="str">
        <f t="shared" si="1"/>
        <v>Electronics</v>
      </c>
      <c r="E806" s="1" t="str">
        <f t="shared" si="2"/>
        <v>HomeAudio</v>
      </c>
      <c r="F806" s="5">
        <v>1799.0</v>
      </c>
      <c r="G806" s="5">
        <v>4999.0</v>
      </c>
      <c r="H806" s="6">
        <f t="shared" si="3"/>
        <v>0.6401280256</v>
      </c>
      <c r="I806" s="3">
        <f>IFERROR(__xludf.DUMMYFUNCTION("GOOGLEFINANCE(""CURRENCY:INRBRL"")*F806"),109.56159181289)</f>
        <v>109.5615918</v>
      </c>
      <c r="J806" s="1">
        <v>4.5</v>
      </c>
      <c r="K806" s="1">
        <v>41226.0</v>
      </c>
      <c r="L806" s="1" t="s">
        <v>3048</v>
      </c>
      <c r="M806" s="7" t="s">
        <v>3049</v>
      </c>
    </row>
    <row r="807">
      <c r="A807" s="1" t="s">
        <v>3050</v>
      </c>
      <c r="B807" s="1" t="s">
        <v>3051</v>
      </c>
      <c r="C807" s="1" t="s">
        <v>3052</v>
      </c>
      <c r="D807" s="1" t="str">
        <f t="shared" si="1"/>
        <v>HomeImprovement</v>
      </c>
      <c r="E807" s="1" t="str">
        <f t="shared" si="2"/>
        <v>Electrical</v>
      </c>
      <c r="F807" s="1">
        <v>425.0</v>
      </c>
      <c r="G807" s="1">
        <v>999.0</v>
      </c>
      <c r="H807" s="6">
        <f t="shared" si="3"/>
        <v>0.5745745746</v>
      </c>
      <c r="I807" s="3">
        <f>IFERROR(__xludf.DUMMYFUNCTION("GOOGLEFINANCE(""CURRENCY:INRBRL"")*F807"),25.88308867175)</f>
        <v>25.88308867</v>
      </c>
      <c r="J807" s="1">
        <v>4.0</v>
      </c>
      <c r="K807" s="1">
        <v>2581.0</v>
      </c>
      <c r="L807" s="1" t="s">
        <v>3053</v>
      </c>
      <c r="M807" s="7" t="s">
        <v>3054</v>
      </c>
    </row>
    <row r="808">
      <c r="A808" s="1" t="s">
        <v>3055</v>
      </c>
      <c r="B808" s="1" t="s">
        <v>3056</v>
      </c>
      <c r="C808" s="1" t="s">
        <v>2845</v>
      </c>
      <c r="D808" s="1" t="str">
        <f t="shared" si="1"/>
        <v>Electronics</v>
      </c>
      <c r="E808" s="1" t="str">
        <f t="shared" si="2"/>
        <v>HomeAudio</v>
      </c>
      <c r="F808" s="1">
        <v>999.0</v>
      </c>
      <c r="G808" s="5">
        <v>2499.0</v>
      </c>
      <c r="H808" s="6">
        <f t="shared" si="3"/>
        <v>0.600240096</v>
      </c>
      <c r="I808" s="3">
        <f>IFERROR(__xludf.DUMMYFUNCTION("GOOGLEFINANCE(""CURRENCY:INRBRL"")*F808"),60.84048372489)</f>
        <v>60.84048372</v>
      </c>
      <c r="J808" s="1">
        <v>4.49</v>
      </c>
      <c r="K808" s="1">
        <v>18331.0</v>
      </c>
      <c r="L808" s="1" t="s">
        <v>3057</v>
      </c>
      <c r="M808" s="7" t="s">
        <v>3058</v>
      </c>
    </row>
    <row r="809">
      <c r="A809" s="1" t="s">
        <v>3059</v>
      </c>
      <c r="B809" s="1" t="s">
        <v>3060</v>
      </c>
      <c r="C809" s="1" t="s">
        <v>2275</v>
      </c>
      <c r="D809" s="1" t="str">
        <f t="shared" si="1"/>
        <v>Computers&amp;Accessories</v>
      </c>
      <c r="E809" s="1" t="str">
        <f t="shared" si="2"/>
        <v>Accessories&amp;Peripherals</v>
      </c>
      <c r="F809" s="1">
        <v>378.0</v>
      </c>
      <c r="G809" s="1">
        <v>999.0</v>
      </c>
      <c r="H809" s="6">
        <f t="shared" si="3"/>
        <v>0.6216216216</v>
      </c>
      <c r="I809" s="3">
        <f>IFERROR(__xludf.DUMMYFUNCTION("GOOGLEFINANCE(""CURRENCY:INRBRL"")*F809"),23.02072357158)</f>
        <v>23.02072357</v>
      </c>
      <c r="J809" s="1">
        <v>4.49</v>
      </c>
      <c r="K809" s="1">
        <v>1779.0</v>
      </c>
      <c r="L809" s="1" t="s">
        <v>3061</v>
      </c>
      <c r="M809" s="7" t="s">
        <v>3062</v>
      </c>
    </row>
    <row r="810">
      <c r="A810" s="1" t="s">
        <v>3063</v>
      </c>
      <c r="B810" s="1" t="s">
        <v>3064</v>
      </c>
      <c r="C810" s="1" t="s">
        <v>3065</v>
      </c>
      <c r="D810" s="1" t="str">
        <f t="shared" si="1"/>
        <v>OfficeProducts</v>
      </c>
      <c r="E810" s="1" t="str">
        <f t="shared" si="2"/>
        <v>OfficePaperProducts</v>
      </c>
      <c r="F810" s="1">
        <v>99.0</v>
      </c>
      <c r="G810" s="1">
        <v>99.0</v>
      </c>
      <c r="H810" s="6">
        <f t="shared" si="3"/>
        <v>0</v>
      </c>
      <c r="I810" s="3">
        <f>IFERROR(__xludf.DUMMYFUNCTION("GOOGLEFINANCE(""CURRENCY:INRBRL"")*F810"),6.02923712589)</f>
        <v>6.029237126</v>
      </c>
      <c r="J810" s="1">
        <v>4.5</v>
      </c>
      <c r="K810" s="1">
        <v>388.0</v>
      </c>
      <c r="L810" s="1" t="s">
        <v>3066</v>
      </c>
      <c r="M810" s="7" t="s">
        <v>3067</v>
      </c>
    </row>
    <row r="811">
      <c r="A811" s="1" t="s">
        <v>3068</v>
      </c>
      <c r="B811" s="1" t="s">
        <v>3069</v>
      </c>
      <c r="C811" s="1" t="s">
        <v>2523</v>
      </c>
      <c r="D811" s="1" t="str">
        <f t="shared" si="1"/>
        <v>Computers&amp;Accessories</v>
      </c>
      <c r="E811" s="1" t="str">
        <f t="shared" si="2"/>
        <v>NetworkingDevices</v>
      </c>
      <c r="F811" s="5">
        <v>1499.0</v>
      </c>
      <c r="G811" s="5">
        <v>2999.0</v>
      </c>
      <c r="H811" s="6">
        <f t="shared" si="3"/>
        <v>0.5001667222</v>
      </c>
      <c r="I811" s="3">
        <f>IFERROR(__xludf.DUMMYFUNCTION("GOOGLEFINANCE(""CURRENCY:INRBRL"")*F811"),91.29117627989)</f>
        <v>91.29117628</v>
      </c>
      <c r="J811" s="1">
        <v>4.51</v>
      </c>
      <c r="K811" s="1">
        <v>8656.0</v>
      </c>
      <c r="L811" s="1" t="s">
        <v>3070</v>
      </c>
      <c r="M811" s="7" t="s">
        <v>3071</v>
      </c>
    </row>
    <row r="812">
      <c r="A812" s="1" t="s">
        <v>3072</v>
      </c>
      <c r="B812" s="1" t="s">
        <v>3073</v>
      </c>
      <c r="C812" s="1" t="s">
        <v>3074</v>
      </c>
      <c r="D812" s="1" t="str">
        <f t="shared" si="1"/>
        <v>Computers&amp;Accessories</v>
      </c>
      <c r="E812" s="1" t="str">
        <f t="shared" si="2"/>
        <v>Components</v>
      </c>
      <c r="F812" s="5">
        <v>1815.0</v>
      </c>
      <c r="G812" s="5">
        <v>3099.0</v>
      </c>
      <c r="H812" s="6">
        <f t="shared" si="3"/>
        <v>0.4143272023</v>
      </c>
      <c r="I812" s="3">
        <f>IFERROR(__xludf.DUMMYFUNCTION("GOOGLEFINANCE(""CURRENCY:INRBRL"")*F812"),110.53601397464999)</f>
        <v>110.536014</v>
      </c>
      <c r="J812" s="1">
        <v>4.51</v>
      </c>
      <c r="K812" s="1">
        <v>92925.0</v>
      </c>
      <c r="L812" s="1" t="s">
        <v>3075</v>
      </c>
      <c r="M812" s="7" t="s">
        <v>3076</v>
      </c>
    </row>
    <row r="813">
      <c r="A813" s="1" t="s">
        <v>3077</v>
      </c>
      <c r="B813" s="1" t="s">
        <v>3078</v>
      </c>
      <c r="C813" s="1" t="s">
        <v>2881</v>
      </c>
      <c r="D813" s="1" t="str">
        <f t="shared" si="1"/>
        <v>OfficeProducts</v>
      </c>
      <c r="E813" s="1" t="str">
        <f t="shared" si="2"/>
        <v>OfficePaperProducts</v>
      </c>
      <c r="F813" s="1">
        <v>67.0</v>
      </c>
      <c r="G813" s="1">
        <v>75.0</v>
      </c>
      <c r="H813" s="6">
        <f t="shared" si="3"/>
        <v>0.1066666667</v>
      </c>
      <c r="I813" s="3">
        <f>IFERROR(__xludf.DUMMYFUNCTION("GOOGLEFINANCE(""CURRENCY:INRBRL"")*F813"),4.08039280237)</f>
        <v>4.080392802</v>
      </c>
      <c r="J813" s="1">
        <v>4.49</v>
      </c>
      <c r="K813" s="1">
        <v>1269.0</v>
      </c>
      <c r="L813" s="1" t="s">
        <v>3079</v>
      </c>
      <c r="M813" s="7" t="s">
        <v>3080</v>
      </c>
    </row>
    <row r="814">
      <c r="A814" s="1" t="s">
        <v>3081</v>
      </c>
      <c r="B814" s="1" t="s">
        <v>3082</v>
      </c>
      <c r="C814" s="1" t="s">
        <v>2284</v>
      </c>
      <c r="D814" s="1" t="str">
        <f t="shared" si="1"/>
        <v>Computers&amp;Accessories</v>
      </c>
      <c r="E814" s="1" t="str">
        <f t="shared" si="2"/>
        <v>Accessories&amp;Peripherals</v>
      </c>
      <c r="F814" s="5">
        <v>1889.0</v>
      </c>
      <c r="G814" s="5">
        <v>2699.0</v>
      </c>
      <c r="H814" s="6">
        <f t="shared" si="3"/>
        <v>0.3001111523</v>
      </c>
      <c r="I814" s="3">
        <f>IFERROR(__xludf.DUMMYFUNCTION("GOOGLEFINANCE(""CURRENCY:INRBRL"")*F814"),115.04271647278999)</f>
        <v>115.0427165</v>
      </c>
      <c r="J814" s="1">
        <v>4.5</v>
      </c>
      <c r="K814" s="1">
        <v>17394.0</v>
      </c>
      <c r="L814" s="1" t="s">
        <v>3083</v>
      </c>
      <c r="M814" s="7" t="s">
        <v>3084</v>
      </c>
    </row>
    <row r="815">
      <c r="A815" s="1" t="s">
        <v>3085</v>
      </c>
      <c r="B815" s="1" t="s">
        <v>3086</v>
      </c>
      <c r="C815" s="1" t="s">
        <v>1412</v>
      </c>
      <c r="D815" s="1" t="str">
        <f t="shared" si="1"/>
        <v>Electronics</v>
      </c>
      <c r="E815" s="1" t="str">
        <f t="shared" si="2"/>
        <v>Headphones,Earbuds&amp;Accessories</v>
      </c>
      <c r="F815" s="1">
        <v>499.0</v>
      </c>
      <c r="G815" s="5">
        <v>1499.0</v>
      </c>
      <c r="H815" s="6">
        <f t="shared" si="3"/>
        <v>0.6671114076</v>
      </c>
      <c r="I815" s="3">
        <f>IFERROR(__xludf.DUMMYFUNCTION("GOOGLEFINANCE(""CURRENCY:INRBRL"")*F815"),30.38979116989)</f>
        <v>30.38979117</v>
      </c>
      <c r="J815" s="1">
        <v>4.51</v>
      </c>
      <c r="K815" s="1">
        <v>9169.0</v>
      </c>
      <c r="L815" s="1" t="s">
        <v>3087</v>
      </c>
      <c r="M815" s="7" t="s">
        <v>3088</v>
      </c>
    </row>
    <row r="816">
      <c r="A816" s="1" t="s">
        <v>3089</v>
      </c>
      <c r="B816" s="1" t="s">
        <v>3090</v>
      </c>
      <c r="C816" s="1" t="s">
        <v>2485</v>
      </c>
      <c r="D816" s="1" t="str">
        <f t="shared" si="1"/>
        <v>Computers&amp;Accessories</v>
      </c>
      <c r="E816" s="1" t="str">
        <f t="shared" si="2"/>
        <v>Accessories&amp;Peripherals</v>
      </c>
      <c r="F816" s="1">
        <v>499.0</v>
      </c>
      <c r="G816" s="1">
        <v>999.0</v>
      </c>
      <c r="H816" s="6">
        <f t="shared" si="3"/>
        <v>0.5005005005</v>
      </c>
      <c r="I816" s="3">
        <f>IFERROR(__xludf.DUMMYFUNCTION("GOOGLEFINANCE(""CURRENCY:INRBRL"")*F816"),30.38979116989)</f>
        <v>30.38979117</v>
      </c>
      <c r="J816" s="1">
        <v>4.5</v>
      </c>
      <c r="K816" s="1">
        <v>103.0</v>
      </c>
      <c r="L816" s="1" t="s">
        <v>3091</v>
      </c>
      <c r="M816" s="7" t="s">
        <v>3092</v>
      </c>
    </row>
    <row r="817">
      <c r="A817" s="1" t="s">
        <v>3093</v>
      </c>
      <c r="B817" s="1" t="s">
        <v>3094</v>
      </c>
      <c r="C817" s="1" t="s">
        <v>2384</v>
      </c>
      <c r="D817" s="1" t="str">
        <f t="shared" si="1"/>
        <v>Computers&amp;Accessories</v>
      </c>
      <c r="E817" s="1" t="str">
        <f t="shared" si="2"/>
        <v>ExternalDevices&amp;DataStorage</v>
      </c>
      <c r="F817" s="5">
        <v>5799.0</v>
      </c>
      <c r="G817" s="5">
        <v>7999.0</v>
      </c>
      <c r="H817" s="6">
        <f t="shared" si="3"/>
        <v>0.2750343793</v>
      </c>
      <c r="I817" s="3">
        <f>IFERROR(__xludf.DUMMYFUNCTION("GOOGLEFINANCE(""CURRENCY:INRBRL"")*F817"),353.16713225289)</f>
        <v>353.1671323</v>
      </c>
      <c r="J817" s="1">
        <v>4.51</v>
      </c>
      <c r="K817" s="1">
        <v>50273.0</v>
      </c>
      <c r="L817" s="1" t="s">
        <v>3095</v>
      </c>
      <c r="M817" s="7" t="s">
        <v>3096</v>
      </c>
    </row>
    <row r="818">
      <c r="A818" s="1" t="s">
        <v>3097</v>
      </c>
      <c r="B818" s="1" t="s">
        <v>3098</v>
      </c>
      <c r="C818" s="1" t="s">
        <v>3099</v>
      </c>
      <c r="D818" s="1" t="str">
        <f t="shared" si="1"/>
        <v>Electronics</v>
      </c>
      <c r="E818" s="1" t="str">
        <f t="shared" si="2"/>
        <v>HomeAudio</v>
      </c>
      <c r="F818" s="1">
        <v>499.0</v>
      </c>
      <c r="G818" s="1">
        <v>799.0</v>
      </c>
      <c r="H818" s="6">
        <f t="shared" si="3"/>
        <v>0.3754693367</v>
      </c>
      <c r="I818" s="3">
        <f>IFERROR(__xludf.DUMMYFUNCTION("GOOGLEFINANCE(""CURRENCY:INRBRL"")*F818"),30.38979116989)</f>
        <v>30.38979117</v>
      </c>
      <c r="J818" s="1">
        <v>4.52</v>
      </c>
      <c r="K818" s="1">
        <v>6742.0</v>
      </c>
      <c r="L818" s="1" t="s">
        <v>3100</v>
      </c>
      <c r="M818" s="7" t="s">
        <v>3101</v>
      </c>
    </row>
    <row r="819">
      <c r="A819" s="1" t="s">
        <v>3102</v>
      </c>
      <c r="B819" s="1" t="s">
        <v>3103</v>
      </c>
      <c r="C819" s="1" t="s">
        <v>2275</v>
      </c>
      <c r="D819" s="1" t="str">
        <f t="shared" si="1"/>
        <v>Computers&amp;Accessories</v>
      </c>
      <c r="E819" s="1" t="str">
        <f t="shared" si="2"/>
        <v>Accessories&amp;Peripherals</v>
      </c>
      <c r="F819" s="1">
        <v>249.0</v>
      </c>
      <c r="G819" s="1">
        <v>600.0</v>
      </c>
      <c r="H819" s="6">
        <f t="shared" si="3"/>
        <v>0.585</v>
      </c>
      <c r="I819" s="3">
        <f>IFERROR(__xludf.DUMMYFUNCTION("GOOGLEFINANCE(""CURRENCY:INRBRL"")*F819"),15.16444489239)</f>
        <v>15.16444489</v>
      </c>
      <c r="J819" s="1">
        <v>4.0</v>
      </c>
      <c r="K819" s="1">
        <v>1208.0</v>
      </c>
      <c r="L819" s="1" t="s">
        <v>3104</v>
      </c>
      <c r="M819" s="7" t="s">
        <v>3105</v>
      </c>
    </row>
    <row r="820">
      <c r="A820" s="1" t="s">
        <v>147</v>
      </c>
      <c r="B820" s="1" t="s">
        <v>148</v>
      </c>
      <c r="C820" s="1" t="s">
        <v>22</v>
      </c>
      <c r="D820" s="1" t="str">
        <f t="shared" si="1"/>
        <v>Computers&amp;Accessories</v>
      </c>
      <c r="E820" s="1" t="str">
        <f t="shared" si="2"/>
        <v>Accessories&amp;Peripherals</v>
      </c>
      <c r="F820" s="1">
        <v>179.0</v>
      </c>
      <c r="G820" s="1">
        <v>499.0</v>
      </c>
      <c r="H820" s="6">
        <f t="shared" si="3"/>
        <v>0.6412825651</v>
      </c>
      <c r="I820" s="3">
        <f>IFERROR(__xludf.DUMMYFUNCTION("GOOGLEFINANCE(""CURRENCY:INRBRL"")*F820"),10.90134793469)</f>
        <v>10.90134793</v>
      </c>
      <c r="J820" s="1">
        <v>4.0</v>
      </c>
      <c r="K820" s="1">
        <v>1933.0</v>
      </c>
      <c r="L820" s="1" t="s">
        <v>149</v>
      </c>
      <c r="M820" s="7" t="s">
        <v>3106</v>
      </c>
    </row>
    <row r="821">
      <c r="A821" s="1" t="s">
        <v>3107</v>
      </c>
      <c r="B821" s="1" t="s">
        <v>3108</v>
      </c>
      <c r="C821" s="1" t="s">
        <v>2384</v>
      </c>
      <c r="D821" s="1" t="str">
        <f t="shared" si="1"/>
        <v>Computers&amp;Accessories</v>
      </c>
      <c r="E821" s="1" t="str">
        <f t="shared" si="2"/>
        <v>ExternalDevices&amp;DataStorage</v>
      </c>
      <c r="F821" s="5">
        <v>4449.0</v>
      </c>
      <c r="G821" s="5">
        <v>5734.0</v>
      </c>
      <c r="H821" s="6">
        <f t="shared" si="3"/>
        <v>0.2241018486</v>
      </c>
      <c r="I821" s="3">
        <f>IFERROR(__xludf.DUMMYFUNCTION("GOOGLEFINANCE(""CURRENCY:INRBRL"")*F821"),270.95026235438996)</f>
        <v>270.9502624</v>
      </c>
      <c r="J821" s="1">
        <v>4.5</v>
      </c>
      <c r="K821" s="1">
        <v>25006.0</v>
      </c>
      <c r="L821" s="1" t="s">
        <v>3109</v>
      </c>
      <c r="M821" s="7" t="s">
        <v>3110</v>
      </c>
    </row>
    <row r="822">
      <c r="A822" s="1" t="s">
        <v>3111</v>
      </c>
      <c r="B822" s="1" t="s">
        <v>3112</v>
      </c>
      <c r="C822" s="1" t="s">
        <v>2767</v>
      </c>
      <c r="D822" s="1" t="str">
        <f t="shared" si="1"/>
        <v>Computers&amp;Accessories</v>
      </c>
      <c r="E822" s="1" t="str">
        <f t="shared" si="2"/>
        <v>Accessories&amp;Peripherals</v>
      </c>
      <c r="F822" s="1">
        <v>299.0</v>
      </c>
      <c r="G822" s="1">
        <v>550.0</v>
      </c>
      <c r="H822" s="6">
        <f t="shared" si="3"/>
        <v>0.4563636364</v>
      </c>
      <c r="I822" s="3">
        <f>IFERROR(__xludf.DUMMYFUNCTION("GOOGLEFINANCE(""CURRENCY:INRBRL"")*F822"),18.209514147889998)</f>
        <v>18.20951415</v>
      </c>
      <c r="J822" s="1">
        <v>4.51</v>
      </c>
      <c r="K822" s="1">
        <v>33434.0</v>
      </c>
      <c r="L822" s="1" t="s">
        <v>3113</v>
      </c>
      <c r="M822" s="7" t="s">
        <v>3114</v>
      </c>
    </row>
    <row r="823">
      <c r="A823" s="1" t="s">
        <v>3115</v>
      </c>
      <c r="B823" s="1" t="s">
        <v>3116</v>
      </c>
      <c r="C823" s="1" t="s">
        <v>2270</v>
      </c>
      <c r="D823" s="1" t="str">
        <f t="shared" si="1"/>
        <v>Computers&amp;Accessories</v>
      </c>
      <c r="E823" s="1" t="str">
        <f t="shared" si="2"/>
        <v>Accessories&amp;Peripherals</v>
      </c>
      <c r="F823" s="1">
        <v>629.0</v>
      </c>
      <c r="G823" s="5">
        <v>1399.0</v>
      </c>
      <c r="H823" s="6">
        <f t="shared" si="3"/>
        <v>0.550393138</v>
      </c>
      <c r="I823" s="3">
        <f>IFERROR(__xludf.DUMMYFUNCTION("GOOGLEFINANCE(""CURRENCY:INRBRL"")*F823"),38.30697123419)</f>
        <v>38.30697123</v>
      </c>
      <c r="J823" s="1">
        <v>4.5</v>
      </c>
      <c r="K823" s="1">
        <v>6301.0</v>
      </c>
      <c r="L823" s="1" t="s">
        <v>3117</v>
      </c>
      <c r="M823" s="7" t="s">
        <v>3118</v>
      </c>
    </row>
    <row r="824">
      <c r="A824" s="1" t="s">
        <v>3119</v>
      </c>
      <c r="B824" s="1" t="s">
        <v>3120</v>
      </c>
      <c r="C824" s="1" t="s">
        <v>2336</v>
      </c>
      <c r="D824" s="1" t="str">
        <f t="shared" si="1"/>
        <v>Computers&amp;Accessories</v>
      </c>
      <c r="E824" s="1" t="str">
        <f t="shared" si="2"/>
        <v>Accessories&amp;Peripherals</v>
      </c>
      <c r="F824" s="5">
        <v>2595.0</v>
      </c>
      <c r="G824" s="5">
        <v>3295.0</v>
      </c>
      <c r="H824" s="6">
        <f t="shared" si="3"/>
        <v>0.2124430956</v>
      </c>
      <c r="I824" s="3">
        <f>IFERROR(__xludf.DUMMYFUNCTION("GOOGLEFINANCE(""CURRENCY:INRBRL"")*F824"),158.03909436044998)</f>
        <v>158.0390944</v>
      </c>
      <c r="J824" s="1">
        <v>4.5</v>
      </c>
      <c r="K824" s="1">
        <v>22618.0</v>
      </c>
      <c r="L824" s="1" t="s">
        <v>3121</v>
      </c>
      <c r="M824" s="7" t="s">
        <v>3122</v>
      </c>
    </row>
    <row r="825">
      <c r="A825" s="1" t="s">
        <v>151</v>
      </c>
      <c r="B825" s="1" t="s">
        <v>152</v>
      </c>
      <c r="C825" s="1" t="s">
        <v>22</v>
      </c>
      <c r="D825" s="1" t="str">
        <f t="shared" si="1"/>
        <v>Computers&amp;Accessories</v>
      </c>
      <c r="E825" s="1" t="str">
        <f t="shared" si="2"/>
        <v>Accessories&amp;Peripherals</v>
      </c>
      <c r="F825" s="1">
        <v>389.0</v>
      </c>
      <c r="G825" s="5">
        <v>1099.0</v>
      </c>
      <c r="H825" s="6">
        <f t="shared" si="3"/>
        <v>0.6460418562</v>
      </c>
      <c r="I825" s="3">
        <f>IFERROR(__xludf.DUMMYFUNCTION("GOOGLEFINANCE(""CURRENCY:INRBRL"")*F825"),23.69063880779)</f>
        <v>23.69063881</v>
      </c>
      <c r="J825" s="1">
        <v>4.5</v>
      </c>
      <c r="K825" s="1">
        <v>974.0</v>
      </c>
      <c r="L825" s="1" t="s">
        <v>153</v>
      </c>
      <c r="M825" s="7" t="s">
        <v>3123</v>
      </c>
    </row>
    <row r="826">
      <c r="A826" s="1" t="s">
        <v>3124</v>
      </c>
      <c r="B826" s="1" t="s">
        <v>3125</v>
      </c>
      <c r="C826" s="1" t="s">
        <v>2523</v>
      </c>
      <c r="D826" s="1" t="str">
        <f t="shared" si="1"/>
        <v>Computers&amp;Accessories</v>
      </c>
      <c r="E826" s="1" t="str">
        <f t="shared" si="2"/>
        <v>NetworkingDevices</v>
      </c>
      <c r="F826" s="5">
        <v>1799.0</v>
      </c>
      <c r="G826" s="5">
        <v>2911.0</v>
      </c>
      <c r="H826" s="6">
        <f t="shared" si="3"/>
        <v>0.381999313</v>
      </c>
      <c r="I826" s="3">
        <f>IFERROR(__xludf.DUMMYFUNCTION("GOOGLEFINANCE(""CURRENCY:INRBRL"")*F826"),109.56159181289)</f>
        <v>109.5615918</v>
      </c>
      <c r="J826" s="1">
        <v>4.5</v>
      </c>
      <c r="K826" s="1">
        <v>20342.0</v>
      </c>
      <c r="L826" s="1" t="s">
        <v>3126</v>
      </c>
      <c r="M826" s="7" t="s">
        <v>3127</v>
      </c>
    </row>
    <row r="827">
      <c r="A827" s="1" t="s">
        <v>3128</v>
      </c>
      <c r="B827" s="1" t="s">
        <v>3129</v>
      </c>
      <c r="C827" s="1" t="s">
        <v>2657</v>
      </c>
      <c r="D827" s="1" t="str">
        <f t="shared" si="1"/>
        <v>OfficeProducts</v>
      </c>
      <c r="E827" s="1" t="str">
        <f t="shared" si="2"/>
        <v>OfficePaperProducts</v>
      </c>
      <c r="F827" s="1">
        <v>90.0</v>
      </c>
      <c r="G827" s="1">
        <v>175.0</v>
      </c>
      <c r="H827" s="6">
        <f t="shared" si="3"/>
        <v>0.4857142857</v>
      </c>
      <c r="I827" s="3">
        <f>IFERROR(__xludf.DUMMYFUNCTION("GOOGLEFINANCE(""CURRENCY:INRBRL"")*F827"),5.4811246599)</f>
        <v>5.48112466</v>
      </c>
      <c r="J827" s="1">
        <v>4.5</v>
      </c>
      <c r="K827" s="1">
        <v>7429.0</v>
      </c>
      <c r="L827" s="1" t="s">
        <v>3130</v>
      </c>
      <c r="M827" s="7" t="s">
        <v>3131</v>
      </c>
    </row>
    <row r="828">
      <c r="A828" s="1" t="s">
        <v>3132</v>
      </c>
      <c r="B828" s="1" t="s">
        <v>3133</v>
      </c>
      <c r="C828" s="1" t="s">
        <v>2284</v>
      </c>
      <c r="D828" s="1" t="str">
        <f t="shared" si="1"/>
        <v>Computers&amp;Accessories</v>
      </c>
      <c r="E828" s="1" t="str">
        <f t="shared" si="2"/>
        <v>Accessories&amp;Peripherals</v>
      </c>
      <c r="F828" s="1">
        <v>599.0</v>
      </c>
      <c r="G828" s="1">
        <v>599.0</v>
      </c>
      <c r="H828" s="6">
        <f t="shared" si="3"/>
        <v>0</v>
      </c>
      <c r="I828" s="3">
        <f>IFERROR(__xludf.DUMMYFUNCTION("GOOGLEFINANCE(""CURRENCY:INRBRL"")*F828"),36.479929680889995)</f>
        <v>36.47992968</v>
      </c>
      <c r="J828" s="1">
        <v>4.0</v>
      </c>
      <c r="K828" s="1">
        <v>26423.0</v>
      </c>
      <c r="L828" s="1" t="s">
        <v>3134</v>
      </c>
      <c r="M828" s="7" t="s">
        <v>3135</v>
      </c>
    </row>
    <row r="829">
      <c r="A829" s="1" t="s">
        <v>3136</v>
      </c>
      <c r="B829" s="1" t="s">
        <v>3137</v>
      </c>
      <c r="C829" s="1" t="s">
        <v>1357</v>
      </c>
      <c r="D829" s="1" t="str">
        <f t="shared" si="1"/>
        <v>Electronics</v>
      </c>
      <c r="E829" s="1" t="str">
        <f t="shared" si="2"/>
        <v>WearableTechnology</v>
      </c>
      <c r="F829" s="5">
        <v>1999.0</v>
      </c>
      <c r="G829" s="5">
        <v>7999.0</v>
      </c>
      <c r="H829" s="6">
        <f t="shared" si="3"/>
        <v>0.7500937617</v>
      </c>
      <c r="I829" s="3">
        <f>IFERROR(__xludf.DUMMYFUNCTION("GOOGLEFINANCE(""CURRENCY:INRBRL"")*F829"),121.74186883489)</f>
        <v>121.7418688</v>
      </c>
      <c r="J829" s="1">
        <v>4.5</v>
      </c>
      <c r="K829" s="1">
        <v>31305.0</v>
      </c>
      <c r="L829" s="1" t="s">
        <v>3138</v>
      </c>
      <c r="M829" s="7" t="s">
        <v>3139</v>
      </c>
    </row>
    <row r="830">
      <c r="A830" s="1" t="s">
        <v>3140</v>
      </c>
      <c r="B830" s="1" t="s">
        <v>3141</v>
      </c>
      <c r="C830" s="1" t="s">
        <v>3142</v>
      </c>
      <c r="D830" s="1" t="str">
        <f t="shared" si="1"/>
        <v>Computers&amp;Accessories</v>
      </c>
      <c r="E830" s="1" t="str">
        <f t="shared" si="2"/>
        <v>NetworkingDevices</v>
      </c>
      <c r="F830" s="5">
        <v>2099.0</v>
      </c>
      <c r="G830" s="5">
        <v>3249.0</v>
      </c>
      <c r="H830" s="6">
        <f t="shared" si="3"/>
        <v>0.3539550631</v>
      </c>
      <c r="I830" s="3">
        <f>IFERROR(__xludf.DUMMYFUNCTION("GOOGLEFINANCE(""CURRENCY:INRBRL"")*F830"),127.83200734588999)</f>
        <v>127.8320073</v>
      </c>
      <c r="J830" s="1">
        <v>4.51</v>
      </c>
      <c r="K830" s="1">
        <v>11213.0</v>
      </c>
      <c r="L830" s="1" t="s">
        <v>3143</v>
      </c>
      <c r="M830" s="7" t="s">
        <v>3144</v>
      </c>
    </row>
    <row r="831">
      <c r="A831" s="1" t="s">
        <v>3145</v>
      </c>
      <c r="B831" s="1" t="s">
        <v>3146</v>
      </c>
      <c r="C831" s="1" t="s">
        <v>3147</v>
      </c>
      <c r="D831" s="1" t="str">
        <f t="shared" si="1"/>
        <v>Computers&amp;Accessories</v>
      </c>
      <c r="E831" s="1" t="str">
        <f t="shared" si="2"/>
        <v>Accessories&amp;Peripherals</v>
      </c>
      <c r="F831" s="1">
        <v>179.0</v>
      </c>
      <c r="G831" s="1">
        <v>499.0</v>
      </c>
      <c r="H831" s="6">
        <f t="shared" si="3"/>
        <v>0.6412825651</v>
      </c>
      <c r="I831" s="3">
        <f>IFERROR(__xludf.DUMMYFUNCTION("GOOGLEFINANCE(""CURRENCY:INRBRL"")*F831"),10.90134793469)</f>
        <v>10.90134793</v>
      </c>
      <c r="J831" s="1">
        <v>4.49</v>
      </c>
      <c r="K831" s="1">
        <v>10174.0</v>
      </c>
      <c r="L831" s="1" t="s">
        <v>3148</v>
      </c>
      <c r="M831" s="7" t="s">
        <v>3149</v>
      </c>
    </row>
    <row r="832">
      <c r="A832" s="1" t="s">
        <v>3150</v>
      </c>
      <c r="B832" s="1" t="s">
        <v>3151</v>
      </c>
      <c r="C832" s="1" t="s">
        <v>2376</v>
      </c>
      <c r="D832" s="1" t="str">
        <f t="shared" si="1"/>
        <v>Computers&amp;Accessories</v>
      </c>
      <c r="E832" s="1" t="str">
        <f t="shared" si="2"/>
        <v>Accessories&amp;Peripherals</v>
      </c>
      <c r="F832" s="5">
        <v>1345.0</v>
      </c>
      <c r="G832" s="5">
        <v>2295.0</v>
      </c>
      <c r="H832" s="6">
        <f t="shared" si="3"/>
        <v>0.4139433551</v>
      </c>
      <c r="I832" s="3">
        <f>IFERROR(__xludf.DUMMYFUNCTION("GOOGLEFINANCE(""CURRENCY:INRBRL"")*F832"),81.91236297294999)</f>
        <v>81.91236297</v>
      </c>
      <c r="J832" s="1">
        <v>4.5</v>
      </c>
      <c r="K832" s="1">
        <v>17413.0</v>
      </c>
      <c r="L832" s="1" t="s">
        <v>3152</v>
      </c>
      <c r="M832" s="7" t="s">
        <v>3153</v>
      </c>
    </row>
    <row r="833">
      <c r="A833" s="1" t="s">
        <v>3154</v>
      </c>
      <c r="B833" s="1" t="s">
        <v>3155</v>
      </c>
      <c r="C833" s="1" t="s">
        <v>2437</v>
      </c>
      <c r="D833" s="1" t="str">
        <f t="shared" si="1"/>
        <v>Electronics</v>
      </c>
      <c r="E833" s="1" t="str">
        <f t="shared" si="2"/>
        <v>Cameras&amp;Photography</v>
      </c>
      <c r="F833" s="1">
        <v>349.0</v>
      </c>
      <c r="G833" s="1">
        <v>995.0</v>
      </c>
      <c r="H833" s="6">
        <f t="shared" si="3"/>
        <v>0.6492462312</v>
      </c>
      <c r="I833" s="3">
        <f>IFERROR(__xludf.DUMMYFUNCTION("GOOGLEFINANCE(""CURRENCY:INRBRL"")*F833"),21.25458340339)</f>
        <v>21.2545834</v>
      </c>
      <c r="J833" s="1">
        <v>4.5</v>
      </c>
      <c r="K833" s="1">
        <v>6676.0</v>
      </c>
      <c r="L833" s="1" t="s">
        <v>3156</v>
      </c>
      <c r="M833" s="7" t="s">
        <v>3157</v>
      </c>
    </row>
    <row r="834">
      <c r="A834" s="1" t="s">
        <v>3158</v>
      </c>
      <c r="B834" s="1" t="s">
        <v>3159</v>
      </c>
      <c r="C834" s="1" t="s">
        <v>2909</v>
      </c>
      <c r="D834" s="1" t="str">
        <f t="shared" si="1"/>
        <v>Computers&amp;Accessories</v>
      </c>
      <c r="E834" s="1" t="str">
        <f t="shared" si="2"/>
        <v>Accessories&amp;Peripherals</v>
      </c>
      <c r="F834" s="1">
        <v>287.0</v>
      </c>
      <c r="G834" s="1">
        <v>499.0</v>
      </c>
      <c r="H834" s="6">
        <f t="shared" si="3"/>
        <v>0.4248496994</v>
      </c>
      <c r="I834" s="3">
        <f>IFERROR(__xludf.DUMMYFUNCTION("GOOGLEFINANCE(""CURRENCY:INRBRL"")*F834"),17.47869752657)</f>
        <v>17.47869753</v>
      </c>
      <c r="J834" s="1">
        <v>4.5</v>
      </c>
      <c r="K834" s="1">
        <v>8076.0</v>
      </c>
      <c r="L834" s="1" t="s">
        <v>3160</v>
      </c>
      <c r="M834" s="7" t="s">
        <v>3161</v>
      </c>
    </row>
    <row r="835">
      <c r="A835" s="1" t="s">
        <v>155</v>
      </c>
      <c r="B835" s="1" t="s">
        <v>156</v>
      </c>
      <c r="C835" s="1" t="s">
        <v>22</v>
      </c>
      <c r="D835" s="1" t="str">
        <f t="shared" si="1"/>
        <v>Computers&amp;Accessories</v>
      </c>
      <c r="E835" s="1" t="str">
        <f t="shared" si="2"/>
        <v>Accessories&amp;Peripherals</v>
      </c>
      <c r="F835" s="1">
        <v>599.0</v>
      </c>
      <c r="G835" s="1">
        <v>599.0</v>
      </c>
      <c r="H835" s="6">
        <f t="shared" si="3"/>
        <v>0</v>
      </c>
      <c r="I835" s="3">
        <f>IFERROR(__xludf.DUMMYFUNCTION("GOOGLEFINANCE(""CURRENCY:INRBRL"")*F835"),36.479929680889995)</f>
        <v>36.47992968</v>
      </c>
      <c r="J835" s="1">
        <v>4.5</v>
      </c>
      <c r="K835" s="1">
        <v>355.0</v>
      </c>
      <c r="L835" s="1" t="s">
        <v>157</v>
      </c>
      <c r="M835" s="7" t="s">
        <v>3162</v>
      </c>
    </row>
    <row r="836">
      <c r="A836" s="1" t="s">
        <v>3163</v>
      </c>
      <c r="B836" s="1" t="s">
        <v>3164</v>
      </c>
      <c r="C836" s="1" t="s">
        <v>2265</v>
      </c>
      <c r="D836" s="1" t="str">
        <f t="shared" si="1"/>
        <v>Computers&amp;Accessories</v>
      </c>
      <c r="E836" s="1" t="str">
        <f t="shared" si="2"/>
        <v>ExternalDevices&amp;DataStorage</v>
      </c>
      <c r="F836" s="1">
        <v>349.0</v>
      </c>
      <c r="G836" s="1">
        <v>450.0</v>
      </c>
      <c r="H836" s="6">
        <f t="shared" si="3"/>
        <v>0.2244444444</v>
      </c>
      <c r="I836" s="3">
        <f>IFERROR(__xludf.DUMMYFUNCTION("GOOGLEFINANCE(""CURRENCY:INRBRL"")*F836"),21.25458340339)</f>
        <v>21.2545834</v>
      </c>
      <c r="J836" s="1">
        <v>4.49</v>
      </c>
      <c r="K836" s="1">
        <v>18656.0</v>
      </c>
      <c r="L836" s="1" t="s">
        <v>3165</v>
      </c>
      <c r="M836" s="7" t="s">
        <v>3166</v>
      </c>
    </row>
    <row r="837">
      <c r="A837" s="1" t="s">
        <v>3167</v>
      </c>
      <c r="B837" s="1" t="s">
        <v>3168</v>
      </c>
      <c r="C837" s="1" t="s">
        <v>2352</v>
      </c>
      <c r="D837" s="1" t="str">
        <f t="shared" si="1"/>
        <v>Electronics</v>
      </c>
      <c r="E837" s="1" t="str">
        <f t="shared" si="2"/>
        <v>GeneralPurposeBatteries&amp;BatteryChargers</v>
      </c>
      <c r="F837" s="1">
        <v>879.0</v>
      </c>
      <c r="G837" s="5">
        <v>1109.0</v>
      </c>
      <c r="H837" s="6">
        <f t="shared" si="3"/>
        <v>0.2073940487</v>
      </c>
      <c r="I837" s="3">
        <f>IFERROR(__xludf.DUMMYFUNCTION("GOOGLEFINANCE(""CURRENCY:INRBRL"")*F837"),53.532317511689996)</f>
        <v>53.53231751</v>
      </c>
      <c r="J837" s="1">
        <v>4.5</v>
      </c>
      <c r="K837" s="1">
        <v>31599.0</v>
      </c>
      <c r="L837" s="1" t="s">
        <v>3169</v>
      </c>
      <c r="M837" s="7" t="s">
        <v>3170</v>
      </c>
    </row>
    <row r="838">
      <c r="A838" s="1" t="s">
        <v>159</v>
      </c>
      <c r="B838" s="1" t="s">
        <v>160</v>
      </c>
      <c r="C838" s="1" t="s">
        <v>22</v>
      </c>
      <c r="D838" s="1" t="str">
        <f t="shared" si="1"/>
        <v>Computers&amp;Accessories</v>
      </c>
      <c r="E838" s="1" t="str">
        <f t="shared" si="2"/>
        <v>Accessories&amp;Peripherals</v>
      </c>
      <c r="F838" s="1">
        <v>199.0</v>
      </c>
      <c r="G838" s="1">
        <v>999.0</v>
      </c>
      <c r="H838" s="6">
        <f t="shared" si="3"/>
        <v>0.8008008008</v>
      </c>
      <c r="I838" s="3">
        <f>IFERROR(__xludf.DUMMYFUNCTION("GOOGLEFINANCE(""CURRENCY:INRBRL"")*F838"),12.11937563689)</f>
        <v>12.11937564</v>
      </c>
      <c r="J838" s="1">
        <v>4.52</v>
      </c>
      <c r="K838" s="1">
        <v>1075.0</v>
      </c>
      <c r="L838" s="1" t="s">
        <v>161</v>
      </c>
      <c r="M838" s="7" t="s">
        <v>3171</v>
      </c>
    </row>
    <row r="839">
      <c r="A839" s="1" t="s">
        <v>3172</v>
      </c>
      <c r="B839" s="1" t="s">
        <v>3173</v>
      </c>
      <c r="C839" s="1" t="s">
        <v>2611</v>
      </c>
      <c r="D839" s="1" t="str">
        <f t="shared" si="1"/>
        <v>Electronics</v>
      </c>
      <c r="E839" s="1" t="str">
        <f t="shared" si="2"/>
        <v>GeneralPurposeBatteries&amp;BatteryChargers</v>
      </c>
      <c r="F839" s="1">
        <v>250.0</v>
      </c>
      <c r="G839" s="1">
        <v>250.0</v>
      </c>
      <c r="H839" s="6">
        <f t="shared" si="3"/>
        <v>0</v>
      </c>
      <c r="I839" s="3">
        <f>IFERROR(__xludf.DUMMYFUNCTION("GOOGLEFINANCE(""CURRENCY:INRBRL"")*F839"),15.2253462775)</f>
        <v>15.22534628</v>
      </c>
      <c r="J839" s="1">
        <v>4.52</v>
      </c>
      <c r="K839" s="1">
        <v>13971.0</v>
      </c>
      <c r="L839" s="1" t="s">
        <v>3174</v>
      </c>
      <c r="M839" s="7" t="s">
        <v>3175</v>
      </c>
    </row>
    <row r="840">
      <c r="A840" s="1" t="s">
        <v>3176</v>
      </c>
      <c r="B840" s="1" t="s">
        <v>3177</v>
      </c>
      <c r="C840" s="1" t="s">
        <v>1412</v>
      </c>
      <c r="D840" s="1" t="str">
        <f t="shared" si="1"/>
        <v>Electronics</v>
      </c>
      <c r="E840" s="1" t="str">
        <f t="shared" si="2"/>
        <v>Headphones,Earbuds&amp;Accessories</v>
      </c>
      <c r="F840" s="1">
        <v>199.0</v>
      </c>
      <c r="G840" s="1">
        <v>499.0</v>
      </c>
      <c r="H840" s="6">
        <f t="shared" si="3"/>
        <v>0.6012024048</v>
      </c>
      <c r="I840" s="3">
        <f>IFERROR(__xludf.DUMMYFUNCTION("GOOGLEFINANCE(""CURRENCY:INRBRL"")*F840"),12.11937563689)</f>
        <v>12.11937564</v>
      </c>
      <c r="J840" s="1">
        <v>4.51</v>
      </c>
      <c r="K840" s="1">
        <v>2492.0</v>
      </c>
      <c r="L840" s="1" t="s">
        <v>3178</v>
      </c>
      <c r="M840" s="7" t="s">
        <v>3179</v>
      </c>
    </row>
    <row r="841">
      <c r="A841" s="1" t="s">
        <v>167</v>
      </c>
      <c r="B841" s="1" t="s">
        <v>168</v>
      </c>
      <c r="C841" s="1" t="s">
        <v>22</v>
      </c>
      <c r="D841" s="1" t="str">
        <f t="shared" si="1"/>
        <v>Computers&amp;Accessories</v>
      </c>
      <c r="E841" s="1" t="str">
        <f t="shared" si="2"/>
        <v>Accessories&amp;Peripherals</v>
      </c>
      <c r="F841" s="1">
        <v>899.0</v>
      </c>
      <c r="G841" s="5">
        <v>1899.0</v>
      </c>
      <c r="H841" s="6">
        <f t="shared" si="3"/>
        <v>0.5265929437</v>
      </c>
      <c r="I841" s="3">
        <f>IFERROR(__xludf.DUMMYFUNCTION("GOOGLEFINANCE(""CURRENCY:INRBRL"")*F841"),54.75034521389)</f>
        <v>54.75034521</v>
      </c>
      <c r="J841" s="1">
        <v>4.5</v>
      </c>
      <c r="K841" s="1">
        <v>13552.0</v>
      </c>
      <c r="L841" s="1" t="s">
        <v>169</v>
      </c>
      <c r="M841" s="7" t="s">
        <v>3180</v>
      </c>
    </row>
    <row r="842">
      <c r="A842" s="1" t="s">
        <v>171</v>
      </c>
      <c r="B842" s="1" t="s">
        <v>172</v>
      </c>
      <c r="C842" s="1" t="s">
        <v>22</v>
      </c>
      <c r="D842" s="1" t="str">
        <f t="shared" si="1"/>
        <v>Computers&amp;Accessories</v>
      </c>
      <c r="E842" s="1" t="str">
        <f t="shared" si="2"/>
        <v>Accessories&amp;Peripherals</v>
      </c>
      <c r="F842" s="1">
        <v>199.0</v>
      </c>
      <c r="G842" s="1">
        <v>999.0</v>
      </c>
      <c r="H842" s="6">
        <f t="shared" si="3"/>
        <v>0.8008008008</v>
      </c>
      <c r="I842" s="3">
        <f>IFERROR(__xludf.DUMMYFUNCTION("GOOGLEFINANCE(""CURRENCY:INRBRL"")*F842"),12.11937563689)</f>
        <v>12.11937564</v>
      </c>
      <c r="J842" s="1">
        <v>4.0</v>
      </c>
      <c r="K842" s="1">
        <v>575.0</v>
      </c>
      <c r="L842" s="1" t="s">
        <v>173</v>
      </c>
      <c r="M842" s="7" t="s">
        <v>3181</v>
      </c>
    </row>
    <row r="843">
      <c r="A843" s="1" t="s">
        <v>3182</v>
      </c>
      <c r="B843" s="1" t="s">
        <v>3183</v>
      </c>
      <c r="C843" s="1" t="s">
        <v>3147</v>
      </c>
      <c r="D843" s="1" t="str">
        <f t="shared" si="1"/>
        <v>Computers&amp;Accessories</v>
      </c>
      <c r="E843" s="1" t="str">
        <f t="shared" si="2"/>
        <v>Accessories&amp;Peripherals</v>
      </c>
      <c r="F843" s="1">
        <v>149.0</v>
      </c>
      <c r="G843" s="1">
        <v>999.0</v>
      </c>
      <c r="H843" s="6">
        <f t="shared" si="3"/>
        <v>0.8508508509</v>
      </c>
      <c r="I843" s="3">
        <f>IFERROR(__xludf.DUMMYFUNCTION("GOOGLEFINANCE(""CURRENCY:INRBRL"")*F843"),9.07430638139)</f>
        <v>9.074306381</v>
      </c>
      <c r="J843" s="1">
        <v>4.5</v>
      </c>
      <c r="K843" s="1">
        <v>2523.0</v>
      </c>
      <c r="L843" s="1" t="s">
        <v>3184</v>
      </c>
      <c r="M843" s="7" t="s">
        <v>3185</v>
      </c>
    </row>
    <row r="844">
      <c r="A844" s="1" t="s">
        <v>3186</v>
      </c>
      <c r="B844" s="1" t="s">
        <v>3187</v>
      </c>
      <c r="C844" s="1" t="s">
        <v>2275</v>
      </c>
      <c r="D844" s="1" t="str">
        <f t="shared" si="1"/>
        <v>Computers&amp;Accessories</v>
      </c>
      <c r="E844" s="1" t="str">
        <f t="shared" si="2"/>
        <v>Accessories&amp;Peripherals</v>
      </c>
      <c r="F844" s="1">
        <v>469.0</v>
      </c>
      <c r="G844" s="5">
        <v>1499.0</v>
      </c>
      <c r="H844" s="6">
        <f t="shared" si="3"/>
        <v>0.6871247498</v>
      </c>
      <c r="I844" s="3">
        <f>IFERROR(__xludf.DUMMYFUNCTION("GOOGLEFINANCE(""CURRENCY:INRBRL"")*F844"),28.56274961659)</f>
        <v>28.56274962</v>
      </c>
      <c r="J844" s="1">
        <v>4.49</v>
      </c>
      <c r="K844" s="1">
        <v>352.0</v>
      </c>
      <c r="L844" s="1" t="s">
        <v>3188</v>
      </c>
      <c r="M844" s="7" t="s">
        <v>3189</v>
      </c>
    </row>
    <row r="845">
      <c r="A845" s="1" t="s">
        <v>3190</v>
      </c>
      <c r="B845" s="1" t="s">
        <v>3191</v>
      </c>
      <c r="C845" s="1" t="s">
        <v>2807</v>
      </c>
      <c r="D845" s="1" t="str">
        <f t="shared" si="1"/>
        <v>Computers&amp;Accessories</v>
      </c>
      <c r="E845" s="1" t="str">
        <f t="shared" si="2"/>
        <v>Accessories&amp;Peripherals</v>
      </c>
      <c r="F845" s="5">
        <v>1187.0</v>
      </c>
      <c r="G845" s="5">
        <v>1929.0</v>
      </c>
      <c r="H845" s="6">
        <f t="shared" si="3"/>
        <v>0.3846552618</v>
      </c>
      <c r="I845" s="3">
        <f>IFERROR(__xludf.DUMMYFUNCTION("GOOGLEFINANCE(""CURRENCY:INRBRL"")*F845"),72.28994412557)</f>
        <v>72.28994413</v>
      </c>
      <c r="J845" s="1">
        <v>4.49</v>
      </c>
      <c r="K845" s="1">
        <v>1662.0</v>
      </c>
      <c r="L845" s="1" t="s">
        <v>3192</v>
      </c>
      <c r="M845" s="7" t="s">
        <v>3193</v>
      </c>
    </row>
    <row r="846">
      <c r="A846" s="1" t="s">
        <v>3194</v>
      </c>
      <c r="B846" s="1" t="s">
        <v>3195</v>
      </c>
      <c r="C846" s="1" t="s">
        <v>3196</v>
      </c>
      <c r="D846" s="1" t="str">
        <f t="shared" si="1"/>
        <v>Computers&amp;Accessories</v>
      </c>
      <c r="E846" s="1" t="str">
        <f t="shared" si="2"/>
        <v>Accessories&amp;Peripherals</v>
      </c>
      <c r="F846" s="1">
        <v>849.0</v>
      </c>
      <c r="G846" s="5">
        <v>1499.0</v>
      </c>
      <c r="H846" s="6">
        <f t="shared" si="3"/>
        <v>0.4336224149</v>
      </c>
      <c r="I846" s="3">
        <f>IFERROR(__xludf.DUMMYFUNCTION("GOOGLEFINANCE(""CURRENCY:INRBRL"")*F846"),51.70527595839)</f>
        <v>51.70527596</v>
      </c>
      <c r="J846" s="1">
        <v>4.0</v>
      </c>
      <c r="K846" s="1">
        <v>7352.0</v>
      </c>
      <c r="L846" s="1" t="s">
        <v>3197</v>
      </c>
      <c r="M846" s="7" t="s">
        <v>3198</v>
      </c>
    </row>
    <row r="847">
      <c r="A847" s="1" t="s">
        <v>3199</v>
      </c>
      <c r="B847" s="1" t="s">
        <v>3200</v>
      </c>
      <c r="C847" s="1" t="s">
        <v>2270</v>
      </c>
      <c r="D847" s="1" t="str">
        <f t="shared" si="1"/>
        <v>Computers&amp;Accessories</v>
      </c>
      <c r="E847" s="1" t="str">
        <f t="shared" si="2"/>
        <v>Accessories&amp;Peripherals</v>
      </c>
      <c r="F847" s="1">
        <v>328.0</v>
      </c>
      <c r="G847" s="1">
        <v>399.0</v>
      </c>
      <c r="H847" s="6">
        <f t="shared" si="3"/>
        <v>0.1779448622</v>
      </c>
      <c r="I847" s="3">
        <f>IFERROR(__xludf.DUMMYFUNCTION("GOOGLEFINANCE(""CURRENCY:INRBRL"")*F847"),19.97565431608)</f>
        <v>19.97565432</v>
      </c>
      <c r="J847" s="1">
        <v>4.49</v>
      </c>
      <c r="K847" s="1">
        <v>3441.0</v>
      </c>
      <c r="L847" s="1" t="s">
        <v>3201</v>
      </c>
      <c r="M847" s="7" t="s">
        <v>3202</v>
      </c>
    </row>
    <row r="848">
      <c r="A848" s="1" t="s">
        <v>3203</v>
      </c>
      <c r="B848" s="1" t="s">
        <v>3204</v>
      </c>
      <c r="C848" s="1" t="s">
        <v>2284</v>
      </c>
      <c r="D848" s="1" t="str">
        <f t="shared" si="1"/>
        <v>Computers&amp;Accessories</v>
      </c>
      <c r="E848" s="1" t="str">
        <f t="shared" si="2"/>
        <v>Accessories&amp;Peripherals</v>
      </c>
      <c r="F848" s="1">
        <v>269.0</v>
      </c>
      <c r="G848" s="1">
        <v>699.0</v>
      </c>
      <c r="H848" s="6">
        <f t="shared" si="3"/>
        <v>0.6151645207</v>
      </c>
      <c r="I848" s="3">
        <f>IFERROR(__xludf.DUMMYFUNCTION("GOOGLEFINANCE(""CURRENCY:INRBRL"")*F848"),16.38247259459)</f>
        <v>16.38247259</v>
      </c>
      <c r="J848" s="1">
        <v>4.0</v>
      </c>
      <c r="K848" s="1">
        <v>93.0</v>
      </c>
      <c r="L848" s="1" t="s">
        <v>3205</v>
      </c>
      <c r="M848" s="7" t="s">
        <v>3206</v>
      </c>
    </row>
    <row r="849">
      <c r="A849" s="1" t="s">
        <v>3207</v>
      </c>
      <c r="B849" s="1" t="s">
        <v>3208</v>
      </c>
      <c r="C849" s="1" t="s">
        <v>3209</v>
      </c>
      <c r="D849" s="1" t="str">
        <f t="shared" si="1"/>
        <v>Electronics</v>
      </c>
      <c r="E849" s="1" t="str">
        <f t="shared" si="2"/>
        <v>Cameras&amp;Photography</v>
      </c>
      <c r="F849" s="1">
        <v>299.0</v>
      </c>
      <c r="G849" s="1">
        <v>400.0</v>
      </c>
      <c r="H849" s="6">
        <f t="shared" si="3"/>
        <v>0.2525</v>
      </c>
      <c r="I849" s="3">
        <f>IFERROR(__xludf.DUMMYFUNCTION("GOOGLEFINANCE(""CURRENCY:INRBRL"")*F849"),18.209514147889998)</f>
        <v>18.20951415</v>
      </c>
      <c r="J849" s="1">
        <v>4.51</v>
      </c>
      <c r="K849" s="1">
        <v>40895.0</v>
      </c>
      <c r="L849" s="1" t="s">
        <v>3210</v>
      </c>
      <c r="M849" s="7" t="s">
        <v>3211</v>
      </c>
    </row>
    <row r="850">
      <c r="A850" s="1" t="s">
        <v>3212</v>
      </c>
      <c r="B850" s="1" t="s">
        <v>3213</v>
      </c>
      <c r="C850" s="1" t="s">
        <v>3214</v>
      </c>
      <c r="D850" s="1" t="str">
        <f t="shared" si="1"/>
        <v>Computers&amp;Accessories</v>
      </c>
      <c r="E850" s="1" t="str">
        <f t="shared" si="2"/>
        <v>Accessories&amp;Peripherals</v>
      </c>
      <c r="F850" s="1">
        <v>549.0</v>
      </c>
      <c r="G850" s="5">
        <v>1499.0</v>
      </c>
      <c r="H850" s="6">
        <f t="shared" si="3"/>
        <v>0.6337558372</v>
      </c>
      <c r="I850" s="3">
        <f>IFERROR(__xludf.DUMMYFUNCTION("GOOGLEFINANCE(""CURRENCY:INRBRL"")*F850"),33.43486042539)</f>
        <v>33.43486043</v>
      </c>
      <c r="J850" s="1">
        <v>4.5</v>
      </c>
      <c r="K850" s="1">
        <v>11006.0</v>
      </c>
      <c r="L850" s="1" t="s">
        <v>3215</v>
      </c>
      <c r="M850" s="7" t="s">
        <v>3216</v>
      </c>
    </row>
    <row r="851">
      <c r="A851" s="1" t="s">
        <v>3217</v>
      </c>
      <c r="B851" s="1" t="s">
        <v>3218</v>
      </c>
      <c r="C851" s="1" t="s">
        <v>2600</v>
      </c>
      <c r="D851" s="1" t="str">
        <f t="shared" si="1"/>
        <v>OfficeProducts</v>
      </c>
      <c r="E851" s="1" t="str">
        <f t="shared" si="2"/>
        <v>OfficePaperProducts</v>
      </c>
      <c r="F851" s="1">
        <v>114.0</v>
      </c>
      <c r="G851" s="1">
        <v>120.0</v>
      </c>
      <c r="H851" s="6">
        <f t="shared" si="3"/>
        <v>0.05</v>
      </c>
      <c r="I851" s="3">
        <f>IFERROR(__xludf.DUMMYFUNCTION("GOOGLEFINANCE(""CURRENCY:INRBRL"")*F851"),6.9427579025399995)</f>
        <v>6.942757903</v>
      </c>
      <c r="J851" s="1">
        <v>4.5</v>
      </c>
      <c r="K851" s="1">
        <v>8938.0</v>
      </c>
      <c r="L851" s="1" t="s">
        <v>3219</v>
      </c>
      <c r="M851" s="7" t="s">
        <v>3220</v>
      </c>
    </row>
    <row r="852">
      <c r="A852" s="1" t="s">
        <v>3221</v>
      </c>
      <c r="B852" s="1" t="s">
        <v>3222</v>
      </c>
      <c r="C852" s="1" t="s">
        <v>3223</v>
      </c>
      <c r="D852" s="1" t="str">
        <f t="shared" si="1"/>
        <v>OfficeProducts</v>
      </c>
      <c r="E852" s="1" t="str">
        <f t="shared" si="2"/>
        <v>OfficePaperProducts</v>
      </c>
      <c r="F852" s="1">
        <v>120.0</v>
      </c>
      <c r="G852" s="1">
        <v>120.0</v>
      </c>
      <c r="H852" s="6">
        <f t="shared" si="3"/>
        <v>0</v>
      </c>
      <c r="I852" s="3">
        <f>IFERROR(__xludf.DUMMYFUNCTION("GOOGLEFINANCE(""CURRENCY:INRBRL"")*F852"),7.3081662132)</f>
        <v>7.308166213</v>
      </c>
      <c r="J852" s="1">
        <v>4.49</v>
      </c>
      <c r="K852" s="1">
        <v>4308.0</v>
      </c>
      <c r="L852" s="1" t="s">
        <v>3224</v>
      </c>
      <c r="M852" s="7" t="s">
        <v>3225</v>
      </c>
    </row>
    <row r="853">
      <c r="A853" s="1" t="s">
        <v>179</v>
      </c>
      <c r="B853" s="1" t="s">
        <v>180</v>
      </c>
      <c r="C853" s="1" t="s">
        <v>22</v>
      </c>
      <c r="D853" s="1" t="str">
        <f t="shared" si="1"/>
        <v>Computers&amp;Accessories</v>
      </c>
      <c r="E853" s="1" t="str">
        <f t="shared" si="2"/>
        <v>Accessories&amp;Peripherals</v>
      </c>
      <c r="F853" s="1">
        <v>970.0</v>
      </c>
      <c r="G853" s="5">
        <v>1999.0</v>
      </c>
      <c r="H853" s="6">
        <f t="shared" si="3"/>
        <v>0.5147573787</v>
      </c>
      <c r="I853" s="3">
        <f>IFERROR(__xludf.DUMMYFUNCTION("GOOGLEFINANCE(""CURRENCY:INRBRL"")*F853"),59.0743435567)</f>
        <v>59.07434356</v>
      </c>
      <c r="J853" s="1">
        <v>4.5</v>
      </c>
      <c r="K853" s="1">
        <v>462.0</v>
      </c>
      <c r="L853" s="1" t="s">
        <v>181</v>
      </c>
      <c r="M853" s="7" t="s">
        <v>3226</v>
      </c>
    </row>
    <row r="854">
      <c r="A854" s="1" t="s">
        <v>183</v>
      </c>
      <c r="B854" s="1" t="s">
        <v>184</v>
      </c>
      <c r="C854" s="1" t="s">
        <v>22</v>
      </c>
      <c r="D854" s="1" t="str">
        <f t="shared" si="1"/>
        <v>Computers&amp;Accessories</v>
      </c>
      <c r="E854" s="1" t="str">
        <f t="shared" si="2"/>
        <v>Accessories&amp;Peripherals</v>
      </c>
      <c r="F854" s="1">
        <v>209.0</v>
      </c>
      <c r="G854" s="1">
        <v>695.0</v>
      </c>
      <c r="H854" s="6">
        <f t="shared" si="3"/>
        <v>0.6992805755</v>
      </c>
      <c r="I854" s="3">
        <f>IFERROR(__xludf.DUMMYFUNCTION("GOOGLEFINANCE(""CURRENCY:INRBRL"")*F854"),12.72838948799)</f>
        <v>12.72838949</v>
      </c>
      <c r="J854" s="1">
        <v>4.51</v>
      </c>
      <c r="K854" s="1">
        <v>1070686.0</v>
      </c>
      <c r="L854" s="1" t="s">
        <v>185</v>
      </c>
      <c r="M854" s="7" t="s">
        <v>3227</v>
      </c>
    </row>
    <row r="855">
      <c r="A855" s="1" t="s">
        <v>3228</v>
      </c>
      <c r="B855" s="1" t="s">
        <v>3229</v>
      </c>
      <c r="C855" s="1" t="s">
        <v>2270</v>
      </c>
      <c r="D855" s="1" t="str">
        <f t="shared" si="1"/>
        <v>Computers&amp;Accessories</v>
      </c>
      <c r="E855" s="1" t="str">
        <f t="shared" si="2"/>
        <v>Accessories&amp;Peripherals</v>
      </c>
      <c r="F855" s="5">
        <v>1499.0</v>
      </c>
      <c r="G855" s="5">
        <v>2295.0</v>
      </c>
      <c r="H855" s="6">
        <f t="shared" si="3"/>
        <v>0.3468409586</v>
      </c>
      <c r="I855" s="3">
        <f>IFERROR(__xludf.DUMMYFUNCTION("GOOGLEFINANCE(""CURRENCY:INRBRL"")*F855"),91.29117627989)</f>
        <v>91.29117628</v>
      </c>
      <c r="J855" s="1">
        <v>4.51</v>
      </c>
      <c r="K855" s="1">
        <v>10652.0</v>
      </c>
      <c r="L855" s="1" t="s">
        <v>3230</v>
      </c>
      <c r="M855" s="7" t="s">
        <v>3231</v>
      </c>
    </row>
    <row r="856">
      <c r="A856" s="1" t="s">
        <v>3232</v>
      </c>
      <c r="B856" s="1" t="s">
        <v>3233</v>
      </c>
      <c r="C856" s="1" t="s">
        <v>3234</v>
      </c>
      <c r="D856" s="1" t="str">
        <f t="shared" si="1"/>
        <v>Home&amp;Kitchen</v>
      </c>
      <c r="E856" s="1" t="str">
        <f t="shared" si="2"/>
        <v>CraftMaterials</v>
      </c>
      <c r="F856" s="1">
        <v>99.0</v>
      </c>
      <c r="G856" s="1">
        <v>99.0</v>
      </c>
      <c r="H856" s="6">
        <f t="shared" si="3"/>
        <v>0</v>
      </c>
      <c r="I856" s="3">
        <f>IFERROR(__xludf.DUMMYFUNCTION("GOOGLEFINANCE(""CURRENCY:INRBRL"")*F856"),6.02923712589)</f>
        <v>6.029237126</v>
      </c>
      <c r="J856" s="1">
        <v>4.5</v>
      </c>
      <c r="K856" s="1">
        <v>5036.0</v>
      </c>
      <c r="L856" s="1" t="s">
        <v>3235</v>
      </c>
      <c r="M856" s="7" t="s">
        <v>3236</v>
      </c>
    </row>
    <row r="857">
      <c r="A857" s="1" t="s">
        <v>3237</v>
      </c>
      <c r="B857" s="1" t="s">
        <v>3238</v>
      </c>
      <c r="C857" s="1" t="s">
        <v>2270</v>
      </c>
      <c r="D857" s="1" t="str">
        <f t="shared" si="1"/>
        <v>Computers&amp;Accessories</v>
      </c>
      <c r="E857" s="1" t="str">
        <f t="shared" si="2"/>
        <v>Accessories&amp;Peripherals</v>
      </c>
      <c r="F857" s="1">
        <v>149.0</v>
      </c>
      <c r="G857" s="1">
        <v>249.0</v>
      </c>
      <c r="H857" s="6">
        <f t="shared" si="3"/>
        <v>0.4016064257</v>
      </c>
      <c r="I857" s="3">
        <f>IFERROR(__xludf.DUMMYFUNCTION("GOOGLEFINANCE(""CURRENCY:INRBRL"")*F857"),9.07430638139)</f>
        <v>9.074306381</v>
      </c>
      <c r="J857" s="1">
        <v>4.0</v>
      </c>
      <c r="K857" s="1">
        <v>5057.0</v>
      </c>
      <c r="L857" s="1" t="s">
        <v>3239</v>
      </c>
      <c r="M857" s="7" t="s">
        <v>3240</v>
      </c>
    </row>
    <row r="858">
      <c r="A858" s="1" t="s">
        <v>3241</v>
      </c>
      <c r="B858" s="1" t="s">
        <v>3242</v>
      </c>
      <c r="C858" s="1" t="s">
        <v>2475</v>
      </c>
      <c r="D858" s="1" t="str">
        <f t="shared" si="1"/>
        <v>Computers&amp;Accessories</v>
      </c>
      <c r="E858" s="1" t="str">
        <f t="shared" si="2"/>
        <v>Accessories&amp;Peripherals</v>
      </c>
      <c r="F858" s="1">
        <v>575.0</v>
      </c>
      <c r="G858" s="5">
        <v>2799.0</v>
      </c>
      <c r="H858" s="6">
        <f t="shared" si="3"/>
        <v>0.7945694891</v>
      </c>
      <c r="I858" s="3">
        <f>IFERROR(__xludf.DUMMYFUNCTION("GOOGLEFINANCE(""CURRENCY:INRBRL"")*F858"),35.01829643825)</f>
        <v>35.01829644</v>
      </c>
      <c r="J858" s="1">
        <v>4.5</v>
      </c>
      <c r="K858" s="1">
        <v>8537.0</v>
      </c>
      <c r="L858" s="1" t="s">
        <v>3243</v>
      </c>
      <c r="M858" s="7" t="s">
        <v>3244</v>
      </c>
    </row>
    <row r="859">
      <c r="A859" s="1" t="s">
        <v>203</v>
      </c>
      <c r="B859" s="1" t="s">
        <v>204</v>
      </c>
      <c r="C859" s="1" t="s">
        <v>22</v>
      </c>
      <c r="D859" s="1" t="str">
        <f t="shared" si="1"/>
        <v>Computers&amp;Accessories</v>
      </c>
      <c r="E859" s="1" t="str">
        <f t="shared" si="2"/>
        <v>Accessories&amp;Peripherals</v>
      </c>
      <c r="F859" s="1">
        <v>333.0</v>
      </c>
      <c r="G859" s="1">
        <v>999.0</v>
      </c>
      <c r="H859" s="6">
        <f t="shared" si="3"/>
        <v>0.6666666667</v>
      </c>
      <c r="I859" s="3">
        <f>IFERROR(__xludf.DUMMYFUNCTION("GOOGLEFINANCE(""CURRENCY:INRBRL"")*F859"),20.280161241629997)</f>
        <v>20.28016124</v>
      </c>
      <c r="J859" s="1">
        <v>4.5</v>
      </c>
      <c r="K859" s="1">
        <v>9792.0</v>
      </c>
      <c r="L859" s="1" t="s">
        <v>205</v>
      </c>
      <c r="M859" s="7" t="s">
        <v>3245</v>
      </c>
    </row>
    <row r="860">
      <c r="A860" s="1" t="s">
        <v>3246</v>
      </c>
      <c r="B860" s="1" t="s">
        <v>3247</v>
      </c>
      <c r="C860" s="1" t="s">
        <v>2898</v>
      </c>
      <c r="D860" s="1" t="str">
        <f t="shared" si="1"/>
        <v>OfficeProducts</v>
      </c>
      <c r="E860" s="1" t="str">
        <f t="shared" si="2"/>
        <v>OfficePaperProducts</v>
      </c>
      <c r="F860" s="1">
        <v>178.0</v>
      </c>
      <c r="G860" s="1">
        <v>210.0</v>
      </c>
      <c r="H860" s="6">
        <f t="shared" si="3"/>
        <v>0.1523809524</v>
      </c>
      <c r="I860" s="3">
        <f>IFERROR(__xludf.DUMMYFUNCTION("GOOGLEFINANCE(""CURRENCY:INRBRL"")*F860"),10.84044654958)</f>
        <v>10.84044655</v>
      </c>
      <c r="J860" s="1">
        <v>4.5</v>
      </c>
      <c r="K860" s="1">
        <v>245.0</v>
      </c>
      <c r="L860" s="1" t="s">
        <v>3248</v>
      </c>
      <c r="M860" s="7" t="s">
        <v>3249</v>
      </c>
    </row>
    <row r="861">
      <c r="A861" s="1" t="s">
        <v>3250</v>
      </c>
      <c r="B861" s="1" t="s">
        <v>3251</v>
      </c>
      <c r="C861" s="1" t="s">
        <v>1412</v>
      </c>
      <c r="D861" s="1" t="str">
        <f t="shared" si="1"/>
        <v>Electronics</v>
      </c>
      <c r="E861" s="1" t="str">
        <f t="shared" si="2"/>
        <v>Headphones,Earbuds&amp;Accessories</v>
      </c>
      <c r="F861" s="5">
        <v>1599.0</v>
      </c>
      <c r="G861" s="5">
        <v>3499.0</v>
      </c>
      <c r="H861" s="6">
        <f t="shared" si="3"/>
        <v>0.5430122892</v>
      </c>
      <c r="I861" s="3">
        <f>IFERROR(__xludf.DUMMYFUNCTION("GOOGLEFINANCE(""CURRENCY:INRBRL"")*F861"),97.38131479089)</f>
        <v>97.38131479</v>
      </c>
      <c r="J861" s="1">
        <v>4.51</v>
      </c>
      <c r="K861" s="1">
        <v>676.0</v>
      </c>
      <c r="L861" s="1" t="s">
        <v>3252</v>
      </c>
      <c r="M861" s="7" t="s">
        <v>3253</v>
      </c>
    </row>
    <row r="862">
      <c r="A862" s="1" t="s">
        <v>3254</v>
      </c>
      <c r="B862" s="1" t="s">
        <v>3255</v>
      </c>
      <c r="C862" s="1" t="s">
        <v>1412</v>
      </c>
      <c r="D862" s="1" t="str">
        <f t="shared" si="1"/>
        <v>Electronics</v>
      </c>
      <c r="E862" s="1" t="str">
        <f t="shared" si="2"/>
        <v>Headphones,Earbuds&amp;Accessories</v>
      </c>
      <c r="F862" s="1">
        <v>499.0</v>
      </c>
      <c r="G862" s="5">
        <v>1299.0</v>
      </c>
      <c r="H862" s="6">
        <f t="shared" si="3"/>
        <v>0.6158583526</v>
      </c>
      <c r="I862" s="3">
        <f>IFERROR(__xludf.DUMMYFUNCTION("GOOGLEFINANCE(""CURRENCY:INRBRL"")*F862"),30.38979116989)</f>
        <v>30.38979117</v>
      </c>
      <c r="J862" s="1">
        <v>4.52</v>
      </c>
      <c r="K862" s="1">
        <v>1173.0</v>
      </c>
      <c r="L862" s="1" t="s">
        <v>3256</v>
      </c>
      <c r="M862" s="7" t="s">
        <v>3257</v>
      </c>
    </row>
    <row r="863">
      <c r="A863" s="1" t="s">
        <v>3258</v>
      </c>
      <c r="B863" s="1" t="s">
        <v>3259</v>
      </c>
      <c r="C863" s="1" t="s">
        <v>2485</v>
      </c>
      <c r="D863" s="1" t="str">
        <f t="shared" si="1"/>
        <v>Computers&amp;Accessories</v>
      </c>
      <c r="E863" s="1" t="str">
        <f t="shared" si="2"/>
        <v>Accessories&amp;Peripherals</v>
      </c>
      <c r="F863" s="1">
        <v>199.0</v>
      </c>
      <c r="G863" s="1">
        <v>499.0</v>
      </c>
      <c r="H863" s="6">
        <f t="shared" si="3"/>
        <v>0.6012024048</v>
      </c>
      <c r="I863" s="3">
        <f>IFERROR(__xludf.DUMMYFUNCTION("GOOGLEFINANCE(""CURRENCY:INRBRL"")*F863"),12.11937563689)</f>
        <v>12.11937564</v>
      </c>
      <c r="J863" s="1">
        <v>4.5</v>
      </c>
      <c r="K863" s="1">
        <v>9998.0</v>
      </c>
      <c r="L863" s="1" t="s">
        <v>3260</v>
      </c>
      <c r="M863" s="7" t="s">
        <v>3261</v>
      </c>
    </row>
    <row r="864">
      <c r="A864" s="1" t="s">
        <v>3262</v>
      </c>
      <c r="B864" s="1" t="s">
        <v>3263</v>
      </c>
      <c r="C864" s="1" t="s">
        <v>1357</v>
      </c>
      <c r="D864" s="1" t="str">
        <f t="shared" si="1"/>
        <v>Electronics</v>
      </c>
      <c r="E864" s="1" t="str">
        <f t="shared" si="2"/>
        <v>WearableTechnology</v>
      </c>
      <c r="F864" s="5">
        <v>2499.0</v>
      </c>
      <c r="G864" s="5">
        <v>5999.0</v>
      </c>
      <c r="H864" s="6">
        <f t="shared" si="3"/>
        <v>0.5834305718</v>
      </c>
      <c r="I864" s="3">
        <f>IFERROR(__xludf.DUMMYFUNCTION("GOOGLEFINANCE(""CURRENCY:INRBRL"")*F864"),152.19256138989)</f>
        <v>152.1925614</v>
      </c>
      <c r="J864" s="1">
        <v>4.49</v>
      </c>
      <c r="K864" s="1">
        <v>5852.0</v>
      </c>
      <c r="L864" s="1" t="s">
        <v>3264</v>
      </c>
      <c r="M864" s="7" t="s">
        <v>3265</v>
      </c>
    </row>
    <row r="865">
      <c r="A865" s="1" t="s">
        <v>3266</v>
      </c>
      <c r="B865" s="1" t="s">
        <v>3267</v>
      </c>
      <c r="C865" s="1" t="s">
        <v>3268</v>
      </c>
      <c r="D865" s="1" t="str">
        <f t="shared" si="1"/>
        <v>Computers&amp;Accessories</v>
      </c>
      <c r="E865" s="1" t="str">
        <f t="shared" si="2"/>
        <v>Components</v>
      </c>
      <c r="F865" s="1">
        <v>199.0</v>
      </c>
      <c r="G865" s="1">
        <v>999.0</v>
      </c>
      <c r="H865" s="6">
        <f t="shared" si="3"/>
        <v>0.8008008008</v>
      </c>
      <c r="I865" s="3">
        <f>IFERROR(__xludf.DUMMYFUNCTION("GOOGLEFINANCE(""CURRENCY:INRBRL"")*F865"),12.11937563689)</f>
        <v>12.11937564</v>
      </c>
      <c r="J865" s="1">
        <v>4.5</v>
      </c>
      <c r="K865" s="1">
        <v>362.0</v>
      </c>
      <c r="L865" s="1" t="s">
        <v>3269</v>
      </c>
      <c r="M865" s="7" t="s">
        <v>3270</v>
      </c>
    </row>
    <row r="866">
      <c r="A866" s="1" t="s">
        <v>3271</v>
      </c>
      <c r="B866" s="1" t="s">
        <v>3272</v>
      </c>
      <c r="C866" s="1" t="s">
        <v>1394</v>
      </c>
      <c r="D866" s="1" t="str">
        <f t="shared" si="1"/>
        <v>Electronics</v>
      </c>
      <c r="E866" s="1" t="str">
        <f t="shared" si="2"/>
        <v>Accessories</v>
      </c>
      <c r="F866" s="1">
        <v>939.0</v>
      </c>
      <c r="G866" s="5">
        <v>1799.0</v>
      </c>
      <c r="H866" s="6">
        <f t="shared" si="3"/>
        <v>0.4780433574</v>
      </c>
      <c r="I866" s="3">
        <f>IFERROR(__xludf.DUMMYFUNCTION("GOOGLEFINANCE(""CURRENCY:INRBRL"")*F866"),57.186400618289994)</f>
        <v>57.18640062</v>
      </c>
      <c r="J866" s="1">
        <v>4.51</v>
      </c>
      <c r="K866" s="1">
        <v>2051952.0</v>
      </c>
      <c r="L866" s="1" t="s">
        <v>3273</v>
      </c>
      <c r="M866" s="7" t="s">
        <v>3274</v>
      </c>
    </row>
    <row r="867">
      <c r="A867" s="1" t="s">
        <v>3275</v>
      </c>
      <c r="B867" s="1" t="s">
        <v>3276</v>
      </c>
      <c r="C867" s="1" t="s">
        <v>1357</v>
      </c>
      <c r="D867" s="1" t="str">
        <f t="shared" si="1"/>
        <v>Electronics</v>
      </c>
      <c r="E867" s="1" t="str">
        <f t="shared" si="2"/>
        <v>WearableTechnology</v>
      </c>
      <c r="F867" s="5">
        <v>2499.0</v>
      </c>
      <c r="G867" s="5">
        <v>9999.0</v>
      </c>
      <c r="H867" s="6">
        <f t="shared" si="3"/>
        <v>0.7500750075</v>
      </c>
      <c r="I867" s="3">
        <f>IFERROR(__xludf.DUMMYFUNCTION("GOOGLEFINANCE(""CURRENCY:INRBRL"")*F867"),152.19256138989)</f>
        <v>152.1925614</v>
      </c>
      <c r="J867" s="1">
        <v>4.0</v>
      </c>
      <c r="K867" s="1">
        <v>909.0</v>
      </c>
      <c r="L867" s="1" t="s">
        <v>3277</v>
      </c>
      <c r="M867" s="7" t="s">
        <v>3278</v>
      </c>
    </row>
    <row r="868">
      <c r="A868" s="1" t="s">
        <v>3279</v>
      </c>
      <c r="B868" s="1" t="s">
        <v>3280</v>
      </c>
      <c r="C868" s="1" t="s">
        <v>2270</v>
      </c>
      <c r="D868" s="1" t="str">
        <f t="shared" si="1"/>
        <v>Computers&amp;Accessories</v>
      </c>
      <c r="E868" s="1" t="str">
        <f t="shared" si="2"/>
        <v>Accessories&amp;Peripherals</v>
      </c>
      <c r="F868" s="5">
        <v>1439.0</v>
      </c>
      <c r="G868" s="5">
        <v>2899.0</v>
      </c>
      <c r="H868" s="6">
        <f t="shared" si="3"/>
        <v>0.5036219386</v>
      </c>
      <c r="I868" s="3">
        <f>IFERROR(__xludf.DUMMYFUNCTION("GOOGLEFINANCE(""CURRENCY:INRBRL"")*F868"),87.63709317329)</f>
        <v>87.63709317</v>
      </c>
      <c r="J868" s="1">
        <v>4.51</v>
      </c>
      <c r="K868" s="1">
        <v>4099.0</v>
      </c>
      <c r="L868" s="1" t="s">
        <v>3281</v>
      </c>
      <c r="M868" s="7" t="s">
        <v>3282</v>
      </c>
    </row>
    <row r="869">
      <c r="A869" s="1" t="s">
        <v>3283</v>
      </c>
      <c r="B869" s="1" t="s">
        <v>3284</v>
      </c>
      <c r="C869" s="1" t="s">
        <v>1412</v>
      </c>
      <c r="D869" s="1" t="str">
        <f t="shared" si="1"/>
        <v>Electronics</v>
      </c>
      <c r="E869" s="1" t="str">
        <f t="shared" si="2"/>
        <v>Headphones,Earbuds&amp;Accessories</v>
      </c>
      <c r="F869" s="5">
        <v>1099.0</v>
      </c>
      <c r="G869" s="5">
        <v>5999.0</v>
      </c>
      <c r="H869" s="6">
        <f t="shared" si="3"/>
        <v>0.8168028005</v>
      </c>
      <c r="I869" s="3">
        <f>IFERROR(__xludf.DUMMYFUNCTION("GOOGLEFINANCE(""CURRENCY:INRBRL"")*F869"),66.93062223589)</f>
        <v>66.93062224</v>
      </c>
      <c r="J869" s="1">
        <v>4.5</v>
      </c>
      <c r="K869" s="1">
        <v>12966.0</v>
      </c>
      <c r="L869" s="1" t="s">
        <v>2459</v>
      </c>
      <c r="M869" s="7" t="s">
        <v>3285</v>
      </c>
    </row>
    <row r="870">
      <c r="A870" s="1" t="s">
        <v>3286</v>
      </c>
      <c r="B870" s="1" t="s">
        <v>3287</v>
      </c>
      <c r="C870" s="1" t="s">
        <v>2600</v>
      </c>
      <c r="D870" s="1" t="str">
        <f t="shared" si="1"/>
        <v>OfficeProducts</v>
      </c>
      <c r="E870" s="1" t="str">
        <f t="shared" si="2"/>
        <v>OfficePaperProducts</v>
      </c>
      <c r="F870" s="1">
        <v>157.0</v>
      </c>
      <c r="G870" s="1">
        <v>160.0</v>
      </c>
      <c r="H870" s="6">
        <f t="shared" si="3"/>
        <v>0.01875</v>
      </c>
      <c r="I870" s="3">
        <f>IFERROR(__xludf.DUMMYFUNCTION("GOOGLEFINANCE(""CURRENCY:INRBRL"")*F870"),9.56151746227)</f>
        <v>9.561517462</v>
      </c>
      <c r="J870" s="1">
        <v>4.51</v>
      </c>
      <c r="K870" s="1">
        <v>4428.0</v>
      </c>
      <c r="L870" s="1" t="s">
        <v>3288</v>
      </c>
      <c r="M870" s="7" t="s">
        <v>3289</v>
      </c>
    </row>
    <row r="871">
      <c r="A871" s="1" t="s">
        <v>195</v>
      </c>
      <c r="B871" s="1" t="s">
        <v>196</v>
      </c>
      <c r="C871" s="1" t="s">
        <v>55</v>
      </c>
      <c r="D871" s="1" t="str">
        <f t="shared" si="1"/>
        <v>Computers&amp;Accessories</v>
      </c>
      <c r="E871" s="1" t="str">
        <f t="shared" si="2"/>
        <v>NetworkingDevices</v>
      </c>
      <c r="F871" s="1">
        <v>999.0</v>
      </c>
      <c r="G871" s="5">
        <v>1599.0</v>
      </c>
      <c r="H871" s="6">
        <f t="shared" si="3"/>
        <v>0.3752345216</v>
      </c>
      <c r="I871" s="3">
        <f>IFERROR(__xludf.DUMMYFUNCTION("GOOGLEFINANCE(""CURRENCY:INRBRL"")*F871"),60.84048372489)</f>
        <v>60.84048372</v>
      </c>
      <c r="J871" s="1">
        <v>4.5</v>
      </c>
      <c r="K871" s="1">
        <v>12093.0</v>
      </c>
      <c r="L871" s="1" t="s">
        <v>197</v>
      </c>
      <c r="M871" s="7" t="s">
        <v>3290</v>
      </c>
    </row>
    <row r="872">
      <c r="A872" s="1" t="s">
        <v>3291</v>
      </c>
      <c r="B872" s="1" t="s">
        <v>3292</v>
      </c>
      <c r="C872" s="1" t="s">
        <v>2450</v>
      </c>
      <c r="D872" s="1" t="str">
        <f t="shared" si="1"/>
        <v>Computers&amp;Accessories</v>
      </c>
      <c r="E872" s="1" t="str">
        <f t="shared" si="2"/>
        <v>Accessories&amp;Peripherals</v>
      </c>
      <c r="F872" s="1">
        <v>115.0</v>
      </c>
      <c r="G872" s="1">
        <v>999.0</v>
      </c>
      <c r="H872" s="6">
        <f t="shared" si="3"/>
        <v>0.8848848849</v>
      </c>
      <c r="I872" s="3">
        <f>IFERROR(__xludf.DUMMYFUNCTION("GOOGLEFINANCE(""CURRENCY:INRBRL"")*F872"),7.00365928765)</f>
        <v>7.003659288</v>
      </c>
      <c r="J872" s="1">
        <v>4.5</v>
      </c>
      <c r="K872" s="1">
        <v>5692.0</v>
      </c>
      <c r="L872" s="1" t="s">
        <v>3293</v>
      </c>
      <c r="M872" s="7" t="s">
        <v>3294</v>
      </c>
    </row>
    <row r="873">
      <c r="A873" s="1" t="s">
        <v>3295</v>
      </c>
      <c r="B873" s="1" t="s">
        <v>3296</v>
      </c>
      <c r="C873" s="1" t="s">
        <v>2275</v>
      </c>
      <c r="D873" s="1" t="str">
        <f t="shared" si="1"/>
        <v>Computers&amp;Accessories</v>
      </c>
      <c r="E873" s="1" t="str">
        <f t="shared" si="2"/>
        <v>Accessories&amp;Peripherals</v>
      </c>
      <c r="F873" s="1">
        <v>175.0</v>
      </c>
      <c r="G873" s="1">
        <v>499.0</v>
      </c>
      <c r="H873" s="6">
        <f t="shared" si="3"/>
        <v>0.6492985972</v>
      </c>
      <c r="I873" s="3">
        <f>IFERROR(__xludf.DUMMYFUNCTION("GOOGLEFINANCE(""CURRENCY:INRBRL"")*F873"),10.657742394249999)</f>
        <v>10.65774239</v>
      </c>
      <c r="J873" s="1">
        <v>4.49</v>
      </c>
      <c r="K873" s="1">
        <v>21.0</v>
      </c>
      <c r="L873" s="1" t="s">
        <v>3297</v>
      </c>
      <c r="M873" s="7" t="s">
        <v>3298</v>
      </c>
    </row>
    <row r="874">
      <c r="A874" s="1" t="s">
        <v>3299</v>
      </c>
      <c r="B874" s="1" t="s">
        <v>3300</v>
      </c>
      <c r="C874" s="1" t="s">
        <v>2721</v>
      </c>
      <c r="D874" s="1" t="str">
        <f t="shared" si="1"/>
        <v>Electronics</v>
      </c>
      <c r="E874" s="1" t="str">
        <f t="shared" si="2"/>
        <v>Cameras&amp;Photography</v>
      </c>
      <c r="F874" s="5">
        <v>1999.0</v>
      </c>
      <c r="G874" s="5">
        <v>4699.0</v>
      </c>
      <c r="H874" s="6">
        <f t="shared" si="3"/>
        <v>0.5745903384</v>
      </c>
      <c r="I874" s="3">
        <f>IFERROR(__xludf.DUMMYFUNCTION("GOOGLEFINANCE(""CURRENCY:INRBRL"")*F874"),121.74186883489)</f>
        <v>121.7418688</v>
      </c>
      <c r="J874" s="1">
        <v>4.51</v>
      </c>
      <c r="K874" s="1">
        <v>188.0</v>
      </c>
      <c r="L874" s="1" t="s">
        <v>3301</v>
      </c>
      <c r="M874" s="7" t="s">
        <v>3302</v>
      </c>
    </row>
    <row r="875">
      <c r="A875" s="1" t="s">
        <v>3303</v>
      </c>
      <c r="B875" s="1" t="s">
        <v>3304</v>
      </c>
      <c r="C875" s="1" t="s">
        <v>3305</v>
      </c>
      <c r="D875" s="1" t="str">
        <f t="shared" si="1"/>
        <v>Computers&amp;Accessories</v>
      </c>
      <c r="E875" s="1" t="str">
        <f t="shared" si="2"/>
        <v>Printers,Inks&amp;Accessories</v>
      </c>
      <c r="F875" s="5">
        <v>3999.0</v>
      </c>
      <c r="G875" s="5">
        <v>4971.0</v>
      </c>
      <c r="H875" s="6">
        <f t="shared" si="3"/>
        <v>0.1955340978</v>
      </c>
      <c r="I875" s="3">
        <f>IFERROR(__xludf.DUMMYFUNCTION("GOOGLEFINANCE(""CURRENCY:INRBRL"")*F875"),243.54463905488998)</f>
        <v>243.5446391</v>
      </c>
      <c r="J875" s="1">
        <v>4.5</v>
      </c>
      <c r="K875" s="1">
        <v>21762.0</v>
      </c>
      <c r="L875" s="1" t="s">
        <v>3306</v>
      </c>
      <c r="M875" s="7" t="s">
        <v>3307</v>
      </c>
    </row>
    <row r="876">
      <c r="A876" s="1" t="s">
        <v>3308</v>
      </c>
      <c r="B876" s="1" t="s">
        <v>3309</v>
      </c>
      <c r="C876" s="1" t="s">
        <v>2523</v>
      </c>
      <c r="D876" s="1" t="str">
        <f t="shared" si="1"/>
        <v>Computers&amp;Accessories</v>
      </c>
      <c r="E876" s="1" t="str">
        <f t="shared" si="2"/>
        <v>NetworkingDevices</v>
      </c>
      <c r="F876" s="1">
        <v>899.0</v>
      </c>
      <c r="G876" s="5">
        <v>1799.0</v>
      </c>
      <c r="H876" s="6">
        <f t="shared" si="3"/>
        <v>0.5002779322</v>
      </c>
      <c r="I876" s="3">
        <f>IFERROR(__xludf.DUMMYFUNCTION("GOOGLEFINANCE(""CURRENCY:INRBRL"")*F876"),54.75034521389)</f>
        <v>54.75034521</v>
      </c>
      <c r="J876" s="1">
        <v>4.49</v>
      </c>
      <c r="K876" s="1">
        <v>22375.0</v>
      </c>
      <c r="L876" s="1" t="s">
        <v>3310</v>
      </c>
      <c r="M876" s="7" t="s">
        <v>3311</v>
      </c>
    </row>
    <row r="877">
      <c r="A877" s="1" t="s">
        <v>3312</v>
      </c>
      <c r="B877" s="1" t="s">
        <v>3313</v>
      </c>
      <c r="C877" s="1" t="s">
        <v>2485</v>
      </c>
      <c r="D877" s="1" t="str">
        <f t="shared" si="1"/>
        <v>Computers&amp;Accessories</v>
      </c>
      <c r="E877" s="1" t="str">
        <f t="shared" si="2"/>
        <v>Accessories&amp;Peripherals</v>
      </c>
      <c r="F877" s="1">
        <v>299.0</v>
      </c>
      <c r="G877" s="1">
        <v>990.0</v>
      </c>
      <c r="H877" s="6">
        <f t="shared" si="3"/>
        <v>0.697979798</v>
      </c>
      <c r="I877" s="3">
        <f>IFERROR(__xludf.DUMMYFUNCTION("GOOGLEFINANCE(""CURRENCY:INRBRL"")*F877"),18.209514147889998)</f>
        <v>18.20951415</v>
      </c>
      <c r="J877" s="1">
        <v>4.51</v>
      </c>
      <c r="K877" s="1">
        <v>2453.0</v>
      </c>
      <c r="L877" s="1" t="s">
        <v>3314</v>
      </c>
      <c r="M877" s="7" t="s">
        <v>3315</v>
      </c>
    </row>
    <row r="878">
      <c r="A878" s="1" t="s">
        <v>3316</v>
      </c>
      <c r="B878" s="1" t="s">
        <v>3317</v>
      </c>
      <c r="C878" s="1" t="s">
        <v>2275</v>
      </c>
      <c r="D878" s="1" t="str">
        <f t="shared" si="1"/>
        <v>Computers&amp;Accessories</v>
      </c>
      <c r="E878" s="1" t="str">
        <f t="shared" si="2"/>
        <v>Accessories&amp;Peripherals</v>
      </c>
      <c r="F878" s="5">
        <v>3303.0</v>
      </c>
      <c r="G878" s="5">
        <v>4699.0</v>
      </c>
      <c r="H878" s="6">
        <f t="shared" si="3"/>
        <v>0.2970844861</v>
      </c>
      <c r="I878" s="3">
        <f>IFERROR(__xludf.DUMMYFUNCTION("GOOGLEFINANCE(""CURRENCY:INRBRL"")*F878"),201.15727501832998)</f>
        <v>201.157275</v>
      </c>
      <c r="J878" s="1">
        <v>4.5</v>
      </c>
      <c r="K878" s="1">
        <v>13544.0</v>
      </c>
      <c r="L878" s="1" t="s">
        <v>3318</v>
      </c>
      <c r="M878" s="7" t="s">
        <v>3319</v>
      </c>
    </row>
    <row r="879">
      <c r="A879" s="1" t="s">
        <v>3320</v>
      </c>
      <c r="B879" s="1" t="s">
        <v>3321</v>
      </c>
      <c r="C879" s="1" t="s">
        <v>3007</v>
      </c>
      <c r="D879" s="1" t="str">
        <f t="shared" si="1"/>
        <v>Computers&amp;Accessories</v>
      </c>
      <c r="E879" s="1" t="str">
        <f t="shared" si="2"/>
        <v>Accessories&amp;Peripherals</v>
      </c>
      <c r="F879" s="5">
        <v>1899.0</v>
      </c>
      <c r="G879" s="5">
        <v>5499.0</v>
      </c>
      <c r="H879" s="6">
        <f t="shared" si="3"/>
        <v>0.6546644845</v>
      </c>
      <c r="I879" s="3">
        <f>IFERROR(__xludf.DUMMYFUNCTION("GOOGLEFINANCE(""CURRENCY:INRBRL"")*F879"),115.65173032388999)</f>
        <v>115.6517303</v>
      </c>
      <c r="J879" s="1">
        <v>4.49</v>
      </c>
      <c r="K879" s="1">
        <v>10976.0</v>
      </c>
      <c r="L879" s="1" t="s">
        <v>3322</v>
      </c>
      <c r="M879" s="7" t="s">
        <v>3323</v>
      </c>
    </row>
    <row r="880">
      <c r="A880" s="1" t="s">
        <v>3324</v>
      </c>
      <c r="B880" s="1" t="s">
        <v>3325</v>
      </c>
      <c r="C880" s="1" t="s">
        <v>2864</v>
      </c>
      <c r="D880" s="1" t="str">
        <f t="shared" si="1"/>
        <v>OfficeProducts</v>
      </c>
      <c r="E880" s="1" t="str">
        <f t="shared" si="2"/>
        <v>OfficePaperProducts</v>
      </c>
      <c r="F880" s="1">
        <v>90.0</v>
      </c>
      <c r="G880" s="1">
        <v>100.0</v>
      </c>
      <c r="H880" s="6">
        <f t="shared" si="3"/>
        <v>0.1</v>
      </c>
      <c r="I880" s="3">
        <f>IFERROR(__xludf.DUMMYFUNCTION("GOOGLEFINANCE(""CURRENCY:INRBRL"")*F880"),5.4811246599)</f>
        <v>5.48112466</v>
      </c>
      <c r="J880" s="1">
        <v>4.5</v>
      </c>
      <c r="K880" s="1">
        <v>3061.0</v>
      </c>
      <c r="L880" s="1" t="s">
        <v>3326</v>
      </c>
      <c r="M880" s="7" t="s">
        <v>3327</v>
      </c>
    </row>
    <row r="881">
      <c r="A881" s="1" t="s">
        <v>3328</v>
      </c>
      <c r="B881" s="1" t="s">
        <v>3329</v>
      </c>
      <c r="C881" s="1" t="s">
        <v>1412</v>
      </c>
      <c r="D881" s="1" t="str">
        <f t="shared" si="1"/>
        <v>Electronics</v>
      </c>
      <c r="E881" s="1" t="str">
        <f t="shared" si="2"/>
        <v>Headphones,Earbuds&amp;Accessories</v>
      </c>
      <c r="F881" s="5">
        <v>1599.0</v>
      </c>
      <c r="G881" s="5">
        <v>2799.0</v>
      </c>
      <c r="H881" s="6">
        <f t="shared" si="3"/>
        <v>0.4287245445</v>
      </c>
      <c r="I881" s="3">
        <f>IFERROR(__xludf.DUMMYFUNCTION("GOOGLEFINANCE(""CURRENCY:INRBRL"")*F881"),97.38131479089)</f>
        <v>97.38131479</v>
      </c>
      <c r="J881" s="1">
        <v>4.51</v>
      </c>
      <c r="K881" s="1">
        <v>2272.0</v>
      </c>
      <c r="L881" s="1" t="s">
        <v>3330</v>
      </c>
      <c r="M881" s="7" t="s">
        <v>3331</v>
      </c>
    </row>
    <row r="882">
      <c r="A882" s="1" t="s">
        <v>3332</v>
      </c>
      <c r="B882" s="1" t="s">
        <v>3333</v>
      </c>
      <c r="C882" s="1" t="s">
        <v>3020</v>
      </c>
      <c r="D882" s="1" t="str">
        <f t="shared" si="1"/>
        <v>Computers&amp;Accessories</v>
      </c>
      <c r="E882" s="1" t="str">
        <f t="shared" si="2"/>
        <v>Accessories&amp;Peripherals</v>
      </c>
      <c r="F882" s="1">
        <v>599.0</v>
      </c>
      <c r="G882" s="1">
        <v>999.0</v>
      </c>
      <c r="H882" s="6">
        <f t="shared" si="3"/>
        <v>0.4004004004</v>
      </c>
      <c r="I882" s="3">
        <f>IFERROR(__xludf.DUMMYFUNCTION("GOOGLEFINANCE(""CURRENCY:INRBRL"")*F882"),36.479929680889995)</f>
        <v>36.47992968</v>
      </c>
      <c r="J882" s="1">
        <v>4.0</v>
      </c>
      <c r="K882" s="1">
        <v>7601.0</v>
      </c>
      <c r="L882" s="1" t="s">
        <v>3334</v>
      </c>
      <c r="M882" s="7" t="s">
        <v>3335</v>
      </c>
    </row>
    <row r="883">
      <c r="A883" s="1" t="s">
        <v>207</v>
      </c>
      <c r="B883" s="1" t="s">
        <v>208</v>
      </c>
      <c r="C883" s="1" t="s">
        <v>55</v>
      </c>
      <c r="D883" s="1" t="str">
        <f t="shared" si="1"/>
        <v>Computers&amp;Accessories</v>
      </c>
      <c r="E883" s="1" t="str">
        <f t="shared" si="2"/>
        <v>NetworkingDevices</v>
      </c>
      <c r="F883" s="1">
        <v>507.0</v>
      </c>
      <c r="G883" s="5">
        <v>1208.0</v>
      </c>
      <c r="H883" s="6">
        <f t="shared" si="3"/>
        <v>0.5802980132</v>
      </c>
      <c r="I883" s="3">
        <f>IFERROR(__xludf.DUMMYFUNCTION("GOOGLEFINANCE(""CURRENCY:INRBRL"")*F883"),30.877002250769998)</f>
        <v>30.87700225</v>
      </c>
      <c r="J883" s="1">
        <v>4.49</v>
      </c>
      <c r="K883" s="1">
        <v>8131.0</v>
      </c>
      <c r="L883" s="1" t="s">
        <v>209</v>
      </c>
      <c r="M883" s="7" t="s">
        <v>3336</v>
      </c>
    </row>
    <row r="884">
      <c r="A884" s="1" t="s">
        <v>3337</v>
      </c>
      <c r="B884" s="1" t="s">
        <v>3338</v>
      </c>
      <c r="C884" s="1" t="s">
        <v>2485</v>
      </c>
      <c r="D884" s="1" t="str">
        <f t="shared" si="1"/>
        <v>Computers&amp;Accessories</v>
      </c>
      <c r="E884" s="1" t="str">
        <f t="shared" si="2"/>
        <v>Accessories&amp;Peripherals</v>
      </c>
      <c r="F884" s="1">
        <v>425.0</v>
      </c>
      <c r="G884" s="1">
        <v>899.0</v>
      </c>
      <c r="H884" s="6">
        <f t="shared" si="3"/>
        <v>0.5272525028</v>
      </c>
      <c r="I884" s="3">
        <f>IFERROR(__xludf.DUMMYFUNCTION("GOOGLEFINANCE(""CURRENCY:INRBRL"")*F884"),25.88308867175)</f>
        <v>25.88308867</v>
      </c>
      <c r="J884" s="1">
        <v>4.51</v>
      </c>
      <c r="K884" s="1">
        <v>4219.0</v>
      </c>
      <c r="L884" s="1" t="s">
        <v>3339</v>
      </c>
      <c r="M884" s="7" t="s">
        <v>3340</v>
      </c>
    </row>
    <row r="885">
      <c r="A885" s="1" t="s">
        <v>3341</v>
      </c>
      <c r="B885" s="1" t="s">
        <v>3342</v>
      </c>
      <c r="C885" s="1" t="s">
        <v>2078</v>
      </c>
      <c r="D885" s="1" t="str">
        <f t="shared" si="1"/>
        <v>Electronics</v>
      </c>
      <c r="E885" s="1" t="str">
        <f t="shared" si="2"/>
        <v>Headphones,Earbuds&amp;Accessories</v>
      </c>
      <c r="F885" s="5">
        <v>1499.0</v>
      </c>
      <c r="G885" s="5">
        <v>3999.0</v>
      </c>
      <c r="H885" s="6">
        <f t="shared" si="3"/>
        <v>0.6251562891</v>
      </c>
      <c r="I885" s="3">
        <f>IFERROR(__xludf.DUMMYFUNCTION("GOOGLEFINANCE(""CURRENCY:INRBRL"")*F885"),91.29117627989)</f>
        <v>91.29117628</v>
      </c>
      <c r="J885" s="1">
        <v>4.5</v>
      </c>
      <c r="K885" s="1">
        <v>42775.0</v>
      </c>
      <c r="L885" s="1" t="s">
        <v>3343</v>
      </c>
      <c r="M885" s="7" t="s">
        <v>3344</v>
      </c>
    </row>
    <row r="886">
      <c r="A886" s="1" t="s">
        <v>3345</v>
      </c>
      <c r="B886" s="1" t="s">
        <v>3346</v>
      </c>
      <c r="C886" s="1" t="s">
        <v>3214</v>
      </c>
      <c r="D886" s="1" t="str">
        <f t="shared" si="1"/>
        <v>Computers&amp;Accessories</v>
      </c>
      <c r="E886" s="1" t="str">
        <f t="shared" si="2"/>
        <v>Accessories&amp;Peripherals</v>
      </c>
      <c r="F886" s="1">
        <v>549.0</v>
      </c>
      <c r="G886" s="5">
        <v>2499.0</v>
      </c>
      <c r="H886" s="6">
        <f t="shared" si="3"/>
        <v>0.7803121248</v>
      </c>
      <c r="I886" s="3">
        <f>IFERROR(__xludf.DUMMYFUNCTION("GOOGLEFINANCE(""CURRENCY:INRBRL"")*F886"),33.43486042539)</f>
        <v>33.43486043</v>
      </c>
      <c r="J886" s="1">
        <v>4.5</v>
      </c>
      <c r="K886" s="1">
        <v>5556.0</v>
      </c>
      <c r="L886" s="1" t="s">
        <v>3347</v>
      </c>
      <c r="M886" s="7" t="s">
        <v>3348</v>
      </c>
    </row>
    <row r="887">
      <c r="A887" s="1" t="s">
        <v>220</v>
      </c>
      <c r="B887" s="1" t="s">
        <v>221</v>
      </c>
      <c r="C887" s="1" t="s">
        <v>22</v>
      </c>
      <c r="D887" s="1" t="str">
        <f t="shared" si="1"/>
        <v>Computers&amp;Accessories</v>
      </c>
      <c r="E887" s="1" t="str">
        <f t="shared" si="2"/>
        <v>Accessories&amp;Peripherals</v>
      </c>
      <c r="F887" s="1">
        <v>199.0</v>
      </c>
      <c r="G887" s="1">
        <v>395.0</v>
      </c>
      <c r="H887" s="6">
        <f t="shared" si="3"/>
        <v>0.4962025316</v>
      </c>
      <c r="I887" s="3">
        <f>IFERROR(__xludf.DUMMYFUNCTION("GOOGLEFINANCE(""CURRENCY:INRBRL"")*F887"),12.11937563689)</f>
        <v>12.11937564</v>
      </c>
      <c r="J887" s="1">
        <v>4.5</v>
      </c>
      <c r="K887" s="1">
        <v>92595.0</v>
      </c>
      <c r="L887" s="1" t="s">
        <v>222</v>
      </c>
      <c r="M887" s="7" t="s">
        <v>3349</v>
      </c>
    </row>
    <row r="888">
      <c r="A888" s="1" t="s">
        <v>3350</v>
      </c>
      <c r="B888" s="1" t="s">
        <v>3351</v>
      </c>
      <c r="C888" s="1" t="s">
        <v>2270</v>
      </c>
      <c r="D888" s="1" t="str">
        <f t="shared" si="1"/>
        <v>Computers&amp;Accessories</v>
      </c>
      <c r="E888" s="1" t="str">
        <f t="shared" si="2"/>
        <v>Accessories&amp;Peripherals</v>
      </c>
      <c r="F888" s="5">
        <v>1295.0</v>
      </c>
      <c r="G888" s="5">
        <v>1645.0</v>
      </c>
      <c r="H888" s="6">
        <f t="shared" si="3"/>
        <v>0.2127659574</v>
      </c>
      <c r="I888" s="3">
        <f>IFERROR(__xludf.DUMMYFUNCTION("GOOGLEFINANCE(""CURRENCY:INRBRL"")*F888"),78.86729371745)</f>
        <v>78.86729372</v>
      </c>
      <c r="J888" s="1">
        <v>4.51</v>
      </c>
      <c r="K888" s="1">
        <v>12375.0</v>
      </c>
      <c r="L888" s="1" t="s">
        <v>3352</v>
      </c>
      <c r="M888" s="7" t="s">
        <v>3353</v>
      </c>
    </row>
    <row r="889">
      <c r="A889" s="1" t="s">
        <v>3354</v>
      </c>
      <c r="B889" s="1" t="s">
        <v>3355</v>
      </c>
      <c r="C889" s="1" t="s">
        <v>2480</v>
      </c>
      <c r="D889" s="1" t="str">
        <f t="shared" si="1"/>
        <v>Home&amp;Kitchen</v>
      </c>
      <c r="E889" s="1" t="str">
        <f t="shared" si="2"/>
        <v>CraftMaterials</v>
      </c>
      <c r="F889" s="1">
        <v>310.0</v>
      </c>
      <c r="G889" s="1">
        <v>310.0</v>
      </c>
      <c r="H889" s="6">
        <f t="shared" si="3"/>
        <v>0</v>
      </c>
      <c r="I889" s="3">
        <f>IFERROR(__xludf.DUMMYFUNCTION("GOOGLEFINANCE(""CURRENCY:INRBRL"")*F889"),18.8794293841)</f>
        <v>18.87942938</v>
      </c>
      <c r="J889" s="1">
        <v>4.51</v>
      </c>
      <c r="K889" s="1">
        <v>5882.0</v>
      </c>
      <c r="L889" s="1" t="s">
        <v>3356</v>
      </c>
      <c r="M889" s="7" t="s">
        <v>3357</v>
      </c>
    </row>
    <row r="890">
      <c r="A890" s="1" t="s">
        <v>2089</v>
      </c>
      <c r="B890" s="1" t="s">
        <v>2090</v>
      </c>
      <c r="C890" s="1" t="s">
        <v>2091</v>
      </c>
      <c r="D890" s="1" t="str">
        <f t="shared" si="1"/>
        <v>Computers&amp;Accessories</v>
      </c>
      <c r="E890" s="1" t="str">
        <f t="shared" si="2"/>
        <v>Accessories&amp;Peripherals</v>
      </c>
      <c r="F890" s="1">
        <v>149.0</v>
      </c>
      <c r="G890" s="1">
        <v>149.0</v>
      </c>
      <c r="H890" s="6">
        <f t="shared" si="3"/>
        <v>0</v>
      </c>
      <c r="I890" s="3">
        <f>IFERROR(__xludf.DUMMYFUNCTION("GOOGLEFINANCE(""CURRENCY:INRBRL"")*F890"),9.07430638139)</f>
        <v>9.074306381</v>
      </c>
      <c r="J890" s="1">
        <v>4.5</v>
      </c>
      <c r="K890" s="1">
        <v>10833.0</v>
      </c>
      <c r="L890" s="1" t="s">
        <v>2092</v>
      </c>
      <c r="M890" s="7" t="s">
        <v>3358</v>
      </c>
    </row>
    <row r="891">
      <c r="A891" s="1" t="s">
        <v>3359</v>
      </c>
      <c r="B891" s="1" t="s">
        <v>3360</v>
      </c>
      <c r="C891" s="1" t="s">
        <v>2376</v>
      </c>
      <c r="D891" s="1" t="str">
        <f t="shared" si="1"/>
        <v>Computers&amp;Accessories</v>
      </c>
      <c r="E891" s="1" t="str">
        <f t="shared" si="2"/>
        <v>Accessories&amp;Peripherals</v>
      </c>
      <c r="F891" s="5">
        <v>1149.0</v>
      </c>
      <c r="G891" s="5">
        <v>1499.0</v>
      </c>
      <c r="H891" s="6">
        <f t="shared" si="3"/>
        <v>0.2334889927</v>
      </c>
      <c r="I891" s="3">
        <f>IFERROR(__xludf.DUMMYFUNCTION("GOOGLEFINANCE(""CURRENCY:INRBRL"")*F891"),69.97569149139)</f>
        <v>69.97569149</v>
      </c>
      <c r="J891" s="1">
        <v>4.49</v>
      </c>
      <c r="K891" s="1">
        <v>10443.0</v>
      </c>
      <c r="L891" s="1" t="s">
        <v>3361</v>
      </c>
      <c r="M891" s="7" t="s">
        <v>3362</v>
      </c>
    </row>
    <row r="892">
      <c r="A892" s="1" t="s">
        <v>3363</v>
      </c>
      <c r="B892" s="1" t="s">
        <v>3364</v>
      </c>
      <c r="C892" s="1" t="s">
        <v>2284</v>
      </c>
      <c r="D892" s="1" t="str">
        <f t="shared" si="1"/>
        <v>Computers&amp;Accessories</v>
      </c>
      <c r="E892" s="1" t="str">
        <f t="shared" si="2"/>
        <v>Accessories&amp;Peripherals</v>
      </c>
      <c r="F892" s="1">
        <v>499.0</v>
      </c>
      <c r="G892" s="5">
        <v>1299.0</v>
      </c>
      <c r="H892" s="6">
        <f t="shared" si="3"/>
        <v>0.6158583526</v>
      </c>
      <c r="I892" s="3">
        <f>IFERROR(__xludf.DUMMYFUNCTION("GOOGLEFINANCE(""CURRENCY:INRBRL"")*F892"),30.38979116989)</f>
        <v>30.38979117</v>
      </c>
      <c r="J892" s="1">
        <v>4.51</v>
      </c>
      <c r="K892" s="1">
        <v>434.0</v>
      </c>
      <c r="L892" s="1" t="s">
        <v>3365</v>
      </c>
      <c r="M892" s="7" t="s">
        <v>3366</v>
      </c>
    </row>
    <row r="893">
      <c r="A893" s="1" t="s">
        <v>3367</v>
      </c>
      <c r="B893" s="1" t="s">
        <v>3368</v>
      </c>
      <c r="C893" s="1" t="s">
        <v>1412</v>
      </c>
      <c r="D893" s="1" t="str">
        <f t="shared" si="1"/>
        <v>Electronics</v>
      </c>
      <c r="E893" s="1" t="str">
        <f t="shared" si="2"/>
        <v>Headphones,Earbuds&amp;Accessories</v>
      </c>
      <c r="F893" s="1">
        <v>999.0</v>
      </c>
      <c r="G893" s="5">
        <v>4199.0</v>
      </c>
      <c r="H893" s="6">
        <f t="shared" si="3"/>
        <v>0.762086211</v>
      </c>
      <c r="I893" s="3">
        <f>IFERROR(__xludf.DUMMYFUNCTION("GOOGLEFINANCE(""CURRENCY:INRBRL"")*F893"),60.84048372489)</f>
        <v>60.84048372</v>
      </c>
      <c r="J893" s="1">
        <v>4.5</v>
      </c>
      <c r="K893" s="1">
        <v>1913.0</v>
      </c>
      <c r="L893" s="1" t="s">
        <v>3369</v>
      </c>
      <c r="M893" s="7" t="s">
        <v>3370</v>
      </c>
    </row>
    <row r="894">
      <c r="A894" s="1" t="s">
        <v>3371</v>
      </c>
      <c r="B894" s="1" t="s">
        <v>3372</v>
      </c>
      <c r="C894" s="1" t="s">
        <v>3074</v>
      </c>
      <c r="D894" s="1" t="str">
        <f t="shared" si="1"/>
        <v>Computers&amp;Accessories</v>
      </c>
      <c r="E894" s="1" t="str">
        <f t="shared" si="2"/>
        <v>Components</v>
      </c>
      <c r="F894" s="5">
        <v>1709.0</v>
      </c>
      <c r="G894" s="5">
        <v>3999.0</v>
      </c>
      <c r="H894" s="6">
        <f t="shared" si="3"/>
        <v>0.5726431608</v>
      </c>
      <c r="I894" s="3">
        <f>IFERROR(__xludf.DUMMYFUNCTION("GOOGLEFINANCE(""CURRENCY:INRBRL"")*F894"),104.08046715299)</f>
        <v>104.0804672</v>
      </c>
      <c r="J894" s="1">
        <v>4.5</v>
      </c>
      <c r="K894" s="1">
        <v>3029.0</v>
      </c>
      <c r="L894" s="1" t="s">
        <v>3373</v>
      </c>
      <c r="M894" s="7" t="s">
        <v>3374</v>
      </c>
    </row>
    <row r="895">
      <c r="A895" s="1" t="s">
        <v>3375</v>
      </c>
      <c r="B895" s="1" t="s">
        <v>3376</v>
      </c>
      <c r="C895" s="1" t="s">
        <v>2357</v>
      </c>
      <c r="D895" s="1" t="str">
        <f t="shared" si="1"/>
        <v>OfficeProducts</v>
      </c>
      <c r="E895" s="1" t="str">
        <f t="shared" si="2"/>
        <v>OfficePaperProducts</v>
      </c>
      <c r="F895" s="1">
        <v>250.0</v>
      </c>
      <c r="G895" s="1">
        <v>250.0</v>
      </c>
      <c r="H895" s="6">
        <f t="shared" si="3"/>
        <v>0</v>
      </c>
      <c r="I895" s="3">
        <f>IFERROR(__xludf.DUMMYFUNCTION("GOOGLEFINANCE(""CURRENCY:INRBRL"")*F895"),15.2253462775)</f>
        <v>15.22534628</v>
      </c>
      <c r="J895" s="1">
        <v>4.5</v>
      </c>
      <c r="K895" s="1">
        <v>2628.0</v>
      </c>
      <c r="L895" s="1" t="s">
        <v>3377</v>
      </c>
      <c r="M895" s="7" t="s">
        <v>3378</v>
      </c>
    </row>
    <row r="896">
      <c r="A896" s="1" t="s">
        <v>224</v>
      </c>
      <c r="B896" s="1" t="s">
        <v>225</v>
      </c>
      <c r="C896" s="1" t="s">
        <v>55</v>
      </c>
      <c r="D896" s="1" t="str">
        <f t="shared" si="1"/>
        <v>Computers&amp;Accessories</v>
      </c>
      <c r="E896" s="1" t="str">
        <f t="shared" si="2"/>
        <v>NetworkingDevices</v>
      </c>
      <c r="F896" s="5">
        <v>1199.0</v>
      </c>
      <c r="G896" s="5">
        <v>2199.0</v>
      </c>
      <c r="H896" s="6">
        <f t="shared" si="3"/>
        <v>0.4547521601</v>
      </c>
      <c r="I896" s="3">
        <f>IFERROR(__xludf.DUMMYFUNCTION("GOOGLEFINANCE(""CURRENCY:INRBRL"")*F896"),73.02076074688999)</f>
        <v>73.02076075</v>
      </c>
      <c r="J896" s="1">
        <v>4.5</v>
      </c>
      <c r="K896" s="1">
        <v>2478.0</v>
      </c>
      <c r="L896" s="1" t="s">
        <v>226</v>
      </c>
      <c r="M896" s="7" t="s">
        <v>3379</v>
      </c>
    </row>
    <row r="897">
      <c r="A897" s="1" t="s">
        <v>3380</v>
      </c>
      <c r="B897" s="1" t="s">
        <v>3381</v>
      </c>
      <c r="C897" s="1" t="s">
        <v>3382</v>
      </c>
      <c r="D897" s="1" t="str">
        <f t="shared" si="1"/>
        <v>Home&amp;Kitchen</v>
      </c>
      <c r="E897" s="1" t="str">
        <f t="shared" si="2"/>
        <v>CraftMaterials</v>
      </c>
      <c r="F897" s="1">
        <v>90.0</v>
      </c>
      <c r="G897" s="1">
        <v>100.0</v>
      </c>
      <c r="H897" s="6">
        <f t="shared" si="3"/>
        <v>0.1</v>
      </c>
      <c r="I897" s="3">
        <f>IFERROR(__xludf.DUMMYFUNCTION("GOOGLEFINANCE(""CURRENCY:INRBRL"")*F897"),5.4811246599)</f>
        <v>5.48112466</v>
      </c>
      <c r="J897" s="1">
        <v>4.5</v>
      </c>
      <c r="K897" s="1">
        <v>10718.0</v>
      </c>
      <c r="L897" s="1" t="s">
        <v>3383</v>
      </c>
      <c r="M897" s="7" t="s">
        <v>3384</v>
      </c>
    </row>
    <row r="898">
      <c r="A898" s="1" t="s">
        <v>3385</v>
      </c>
      <c r="B898" s="1" t="s">
        <v>3386</v>
      </c>
      <c r="C898" s="1" t="s">
        <v>1810</v>
      </c>
      <c r="D898" s="1" t="str">
        <f t="shared" si="1"/>
        <v>Electronics</v>
      </c>
      <c r="E898" s="1" t="str">
        <f t="shared" si="2"/>
        <v>Mobiles&amp;Accessories</v>
      </c>
      <c r="F898" s="5">
        <v>2025.0</v>
      </c>
      <c r="G898" s="5">
        <v>5999.0</v>
      </c>
      <c r="H898" s="6">
        <f t="shared" si="3"/>
        <v>0.6624437406</v>
      </c>
      <c r="I898" s="3">
        <f>IFERROR(__xludf.DUMMYFUNCTION("GOOGLEFINANCE(""CURRENCY:INRBRL"")*F898"),123.32530484774999)</f>
        <v>123.3253048</v>
      </c>
      <c r="J898" s="1">
        <v>4.5</v>
      </c>
      <c r="K898" s="1">
        <v>6233.0</v>
      </c>
      <c r="L898" s="1" t="s">
        <v>3387</v>
      </c>
      <c r="M898" s="7" t="s">
        <v>3388</v>
      </c>
    </row>
    <row r="899">
      <c r="A899" s="1" t="s">
        <v>3389</v>
      </c>
      <c r="B899" s="1" t="s">
        <v>3390</v>
      </c>
      <c r="C899" s="1" t="s">
        <v>2475</v>
      </c>
      <c r="D899" s="1" t="str">
        <f t="shared" si="1"/>
        <v>Computers&amp;Accessories</v>
      </c>
      <c r="E899" s="1" t="str">
        <f t="shared" si="2"/>
        <v>Accessories&amp;Peripherals</v>
      </c>
      <c r="F899" s="5">
        <v>1495.0</v>
      </c>
      <c r="G899" s="5">
        <v>1995.0</v>
      </c>
      <c r="H899" s="6">
        <f t="shared" si="3"/>
        <v>0.2506265664</v>
      </c>
      <c r="I899" s="3">
        <f>IFERROR(__xludf.DUMMYFUNCTION("GOOGLEFINANCE(""CURRENCY:INRBRL"")*F899"),91.04757073945)</f>
        <v>91.04757074</v>
      </c>
      <c r="J899" s="1">
        <v>4.51</v>
      </c>
      <c r="K899" s="1">
        <v>10541.0</v>
      </c>
      <c r="L899" s="1" t="s">
        <v>3391</v>
      </c>
      <c r="M899" s="7" t="s">
        <v>3392</v>
      </c>
    </row>
    <row r="900">
      <c r="A900" s="1" t="s">
        <v>232</v>
      </c>
      <c r="B900" s="1" t="s">
        <v>233</v>
      </c>
      <c r="C900" s="1" t="s">
        <v>22</v>
      </c>
      <c r="D900" s="1" t="str">
        <f t="shared" si="1"/>
        <v>Computers&amp;Accessories</v>
      </c>
      <c r="E900" s="1" t="str">
        <f t="shared" si="2"/>
        <v>Accessories&amp;Peripherals</v>
      </c>
      <c r="F900" s="1">
        <v>799.0</v>
      </c>
      <c r="G900" s="5">
        <v>2099.0</v>
      </c>
      <c r="H900" s="6">
        <f t="shared" si="3"/>
        <v>0.6193425441</v>
      </c>
      <c r="I900" s="3">
        <f>IFERROR(__xludf.DUMMYFUNCTION("GOOGLEFINANCE(""CURRENCY:INRBRL"")*F900"),48.66020670289)</f>
        <v>48.6602067</v>
      </c>
      <c r="J900" s="1">
        <v>4.5</v>
      </c>
      <c r="K900" s="1">
        <v>8188.0</v>
      </c>
      <c r="L900" s="1" t="s">
        <v>234</v>
      </c>
      <c r="M900" s="7" t="s">
        <v>3393</v>
      </c>
    </row>
    <row r="901">
      <c r="A901" s="1" t="s">
        <v>3394</v>
      </c>
      <c r="B901" s="1" t="s">
        <v>3395</v>
      </c>
      <c r="C901" s="1" t="s">
        <v>2554</v>
      </c>
      <c r="D901" s="1" t="str">
        <f t="shared" si="1"/>
        <v>Electronics</v>
      </c>
      <c r="E901" s="1" t="str">
        <f t="shared" si="2"/>
        <v>HomeAudio</v>
      </c>
      <c r="F901" s="1">
        <v>899.0</v>
      </c>
      <c r="G901" s="5">
        <v>1199.0</v>
      </c>
      <c r="H901" s="6">
        <f t="shared" si="3"/>
        <v>0.2502085071</v>
      </c>
      <c r="I901" s="3">
        <f>IFERROR(__xludf.DUMMYFUNCTION("GOOGLEFINANCE(""CURRENCY:INRBRL"")*F901"),54.75034521389)</f>
        <v>54.75034521</v>
      </c>
      <c r="J901" s="1">
        <v>4.51</v>
      </c>
      <c r="K901" s="1">
        <v>10751.0</v>
      </c>
      <c r="L901" s="1" t="s">
        <v>3396</v>
      </c>
      <c r="M901" s="7" t="s">
        <v>3397</v>
      </c>
    </row>
    <row r="902">
      <c r="A902" s="1" t="s">
        <v>3398</v>
      </c>
      <c r="B902" s="1" t="s">
        <v>3399</v>
      </c>
      <c r="C902" s="1" t="s">
        <v>3400</v>
      </c>
      <c r="D902" s="1" t="str">
        <f t="shared" si="1"/>
        <v>Computers&amp;Accessories</v>
      </c>
      <c r="E902" s="1" t="str">
        <f t="shared" si="2"/>
        <v>Accessories&amp;Peripherals</v>
      </c>
      <c r="F902" s="1">
        <v>349.0</v>
      </c>
      <c r="G902" s="1">
        <v>999.0</v>
      </c>
      <c r="H902" s="6">
        <f t="shared" si="3"/>
        <v>0.6506506507</v>
      </c>
      <c r="I902" s="3">
        <f>IFERROR(__xludf.DUMMYFUNCTION("GOOGLEFINANCE(""CURRENCY:INRBRL"")*F902"),21.25458340339)</f>
        <v>21.2545834</v>
      </c>
      <c r="J902" s="1">
        <v>4.52</v>
      </c>
      <c r="K902" s="1">
        <v>817.0</v>
      </c>
      <c r="L902" s="1" t="s">
        <v>3401</v>
      </c>
      <c r="M902" s="7" t="s">
        <v>3402</v>
      </c>
    </row>
    <row r="903">
      <c r="A903" s="1" t="s">
        <v>3403</v>
      </c>
      <c r="B903" s="1" t="s">
        <v>3404</v>
      </c>
      <c r="C903" s="1" t="s">
        <v>1370</v>
      </c>
      <c r="D903" s="1" t="str">
        <f t="shared" si="1"/>
        <v>Electronics</v>
      </c>
      <c r="E903" s="1" t="str">
        <f t="shared" si="2"/>
        <v>Mobiles&amp;Accessories</v>
      </c>
      <c r="F903" s="1">
        <v>900.0</v>
      </c>
      <c r="G903" s="5">
        <v>2499.0</v>
      </c>
      <c r="H903" s="6">
        <f t="shared" si="3"/>
        <v>0.6398559424</v>
      </c>
      <c r="I903" s="3">
        <f>IFERROR(__xludf.DUMMYFUNCTION("GOOGLEFINANCE(""CURRENCY:INRBRL"")*F903"),54.811246599)</f>
        <v>54.8112466</v>
      </c>
      <c r="J903" s="1">
        <v>4.0</v>
      </c>
      <c r="K903" s="1">
        <v>36384.0</v>
      </c>
      <c r="L903" s="1" t="s">
        <v>3405</v>
      </c>
      <c r="M903" s="7" t="s">
        <v>3406</v>
      </c>
    </row>
    <row r="904">
      <c r="A904" s="1" t="s">
        <v>3407</v>
      </c>
      <c r="B904" s="1" t="s">
        <v>3408</v>
      </c>
      <c r="C904" s="1" t="s">
        <v>2721</v>
      </c>
      <c r="D904" s="1" t="str">
        <f t="shared" si="1"/>
        <v>Electronics</v>
      </c>
      <c r="E904" s="1" t="str">
        <f t="shared" si="2"/>
        <v>Cameras&amp;Photography</v>
      </c>
      <c r="F904" s="5">
        <v>2499.0</v>
      </c>
      <c r="G904" s="5">
        <v>3999.0</v>
      </c>
      <c r="H904" s="6">
        <f t="shared" si="3"/>
        <v>0.3750937734</v>
      </c>
      <c r="I904" s="3">
        <f>IFERROR(__xludf.DUMMYFUNCTION("GOOGLEFINANCE(""CURRENCY:INRBRL"")*F904"),152.19256138989)</f>
        <v>152.1925614</v>
      </c>
      <c r="J904" s="1">
        <v>4.49</v>
      </c>
      <c r="K904" s="1">
        <v>3606.0</v>
      </c>
      <c r="L904" s="1" t="s">
        <v>3409</v>
      </c>
      <c r="M904" s="7" t="s">
        <v>3410</v>
      </c>
    </row>
    <row r="905">
      <c r="A905" s="1" t="s">
        <v>3411</v>
      </c>
      <c r="B905" s="1" t="s">
        <v>3412</v>
      </c>
      <c r="C905" s="1" t="s">
        <v>2561</v>
      </c>
      <c r="D905" s="1" t="str">
        <f t="shared" si="1"/>
        <v>Electronics</v>
      </c>
      <c r="E905" s="1" t="str">
        <f t="shared" si="2"/>
        <v>#VALUE!</v>
      </c>
      <c r="F905" s="1">
        <v>116.0</v>
      </c>
      <c r="G905" s="1">
        <v>200.0</v>
      </c>
      <c r="H905" s="6">
        <f t="shared" si="3"/>
        <v>0.42</v>
      </c>
      <c r="I905" s="3">
        <f>IFERROR(__xludf.DUMMYFUNCTION("GOOGLEFINANCE(""CURRENCY:INRBRL"")*F905"),7.06456067276)</f>
        <v>7.064560673</v>
      </c>
      <c r="J905" s="1">
        <v>4.5</v>
      </c>
      <c r="K905" s="1">
        <v>357.0</v>
      </c>
      <c r="L905" s="1" t="s">
        <v>3413</v>
      </c>
      <c r="M905" s="7" t="s">
        <v>3414</v>
      </c>
    </row>
    <row r="906">
      <c r="A906" s="1" t="s">
        <v>3415</v>
      </c>
      <c r="B906" s="1" t="s">
        <v>3416</v>
      </c>
      <c r="C906" s="1" t="s">
        <v>2480</v>
      </c>
      <c r="D906" s="1" t="str">
        <f t="shared" si="1"/>
        <v>Home&amp;Kitchen</v>
      </c>
      <c r="E906" s="1" t="str">
        <f t="shared" si="2"/>
        <v>CraftMaterials</v>
      </c>
      <c r="F906" s="1">
        <v>200.0</v>
      </c>
      <c r="G906" s="1">
        <v>230.0</v>
      </c>
      <c r="H906" s="6">
        <f t="shared" si="3"/>
        <v>0.1304347826</v>
      </c>
      <c r="I906" s="3">
        <f>IFERROR(__xludf.DUMMYFUNCTION("GOOGLEFINANCE(""CURRENCY:INRBRL"")*F906"),12.180277022)</f>
        <v>12.18027702</v>
      </c>
      <c r="J906" s="1">
        <v>4.5</v>
      </c>
      <c r="K906" s="1">
        <v>1017.0</v>
      </c>
      <c r="L906" s="1" t="s">
        <v>3417</v>
      </c>
      <c r="M906" s="7" t="s">
        <v>3418</v>
      </c>
    </row>
    <row r="907">
      <c r="A907" s="1" t="s">
        <v>3419</v>
      </c>
      <c r="B907" s="1" t="s">
        <v>3420</v>
      </c>
      <c r="C907" s="1" t="s">
        <v>3147</v>
      </c>
      <c r="D907" s="1" t="str">
        <f t="shared" si="1"/>
        <v>Computers&amp;Accessories</v>
      </c>
      <c r="E907" s="1" t="str">
        <f t="shared" si="2"/>
        <v>Accessories&amp;Peripherals</v>
      </c>
      <c r="F907" s="5">
        <v>1249.0</v>
      </c>
      <c r="G907" s="5">
        <v>2796.0</v>
      </c>
      <c r="H907" s="6">
        <f t="shared" si="3"/>
        <v>0.5532904149</v>
      </c>
      <c r="I907" s="3">
        <f>IFERROR(__xludf.DUMMYFUNCTION("GOOGLEFINANCE(""CURRENCY:INRBRL"")*F907"),76.06583000239)</f>
        <v>76.06583</v>
      </c>
      <c r="J907" s="1">
        <v>4.5</v>
      </c>
      <c r="K907" s="1">
        <v>4598.0</v>
      </c>
      <c r="L907" s="1" t="s">
        <v>3421</v>
      </c>
      <c r="M907" s="7" t="s">
        <v>3422</v>
      </c>
    </row>
    <row r="908">
      <c r="A908" s="1" t="s">
        <v>3423</v>
      </c>
      <c r="B908" s="1" t="s">
        <v>3424</v>
      </c>
      <c r="C908" s="1" t="s">
        <v>3425</v>
      </c>
      <c r="D908" s="1" t="str">
        <f t="shared" si="1"/>
        <v>Computers&amp;Accessories</v>
      </c>
      <c r="E908" s="1" t="str">
        <f t="shared" si="2"/>
        <v>Accessories&amp;Peripherals</v>
      </c>
      <c r="F908" s="1">
        <v>649.0</v>
      </c>
      <c r="G908" s="1">
        <v>999.0</v>
      </c>
      <c r="H908" s="6">
        <f t="shared" si="3"/>
        <v>0.3503503504</v>
      </c>
      <c r="I908" s="3">
        <f>IFERROR(__xludf.DUMMYFUNCTION("GOOGLEFINANCE(""CURRENCY:INRBRL"")*F908"),39.52499893639)</f>
        <v>39.52499894</v>
      </c>
      <c r="J908" s="1">
        <v>4.5</v>
      </c>
      <c r="K908" s="1">
        <v>7222.0</v>
      </c>
      <c r="L908" s="1" t="s">
        <v>3426</v>
      </c>
      <c r="M908" s="7" t="s">
        <v>3427</v>
      </c>
    </row>
    <row r="909">
      <c r="A909" s="1" t="s">
        <v>3428</v>
      </c>
      <c r="B909" s="1" t="s">
        <v>3429</v>
      </c>
      <c r="C909" s="1" t="s">
        <v>3430</v>
      </c>
      <c r="D909" s="1" t="str">
        <f t="shared" si="1"/>
        <v>Computers&amp;Accessories</v>
      </c>
      <c r="E909" s="1" t="str">
        <f t="shared" si="2"/>
        <v>Accessories&amp;Peripherals</v>
      </c>
      <c r="F909" s="5">
        <v>2649.0</v>
      </c>
      <c r="G909" s="5">
        <v>3499.0</v>
      </c>
      <c r="H909" s="6">
        <f t="shared" si="3"/>
        <v>0.2429265504</v>
      </c>
      <c r="I909" s="3">
        <f>IFERROR(__xludf.DUMMYFUNCTION("GOOGLEFINANCE(""CURRENCY:INRBRL"")*F909"),161.32776915639)</f>
        <v>161.3277692</v>
      </c>
      <c r="J909" s="1">
        <v>4.51</v>
      </c>
      <c r="K909" s="1">
        <v>1271.0</v>
      </c>
      <c r="L909" s="1" t="s">
        <v>3431</v>
      </c>
      <c r="M909" s="7" t="s">
        <v>3432</v>
      </c>
    </row>
    <row r="910">
      <c r="A910" s="1" t="s">
        <v>241</v>
      </c>
      <c r="B910" s="1" t="s">
        <v>242</v>
      </c>
      <c r="C910" s="1" t="s">
        <v>22</v>
      </c>
      <c r="D910" s="1" t="str">
        <f t="shared" si="1"/>
        <v>Computers&amp;Accessories</v>
      </c>
      <c r="E910" s="1" t="str">
        <f t="shared" si="2"/>
        <v>Accessories&amp;Peripherals</v>
      </c>
      <c r="F910" s="1">
        <v>199.0</v>
      </c>
      <c r="G910" s="1">
        <v>349.0</v>
      </c>
      <c r="H910" s="6">
        <f t="shared" si="3"/>
        <v>0.4297994269</v>
      </c>
      <c r="I910" s="3">
        <f>IFERROR(__xludf.DUMMYFUNCTION("GOOGLEFINANCE(""CURRENCY:INRBRL"")*F910"),12.11937563689)</f>
        <v>12.11937564</v>
      </c>
      <c r="J910" s="1">
        <v>4.49</v>
      </c>
      <c r="K910" s="1">
        <v>314.0</v>
      </c>
      <c r="L910" s="1" t="s">
        <v>243</v>
      </c>
      <c r="M910" s="7" t="s">
        <v>3433</v>
      </c>
    </row>
    <row r="911">
      <c r="A911" s="1" t="s">
        <v>3434</v>
      </c>
      <c r="B911" s="1" t="s">
        <v>3435</v>
      </c>
      <c r="C911" s="1" t="s">
        <v>2444</v>
      </c>
      <c r="D911" s="1" t="str">
        <f t="shared" si="1"/>
        <v>Computers&amp;Accessories</v>
      </c>
      <c r="E911" s="1" t="str">
        <f t="shared" si="2"/>
        <v>Printers,Inks&amp;Accessories</v>
      </c>
      <c r="F911" s="1">
        <v>596.0</v>
      </c>
      <c r="G911" s="1">
        <v>723.0</v>
      </c>
      <c r="H911" s="6">
        <f t="shared" si="3"/>
        <v>0.1756569848</v>
      </c>
      <c r="I911" s="3">
        <f>IFERROR(__xludf.DUMMYFUNCTION("GOOGLEFINANCE(""CURRENCY:INRBRL"")*F911"),36.29722552556)</f>
        <v>36.29722553</v>
      </c>
      <c r="J911" s="1">
        <v>4.5</v>
      </c>
      <c r="K911" s="1">
        <v>3219.0</v>
      </c>
      <c r="L911" s="1" t="s">
        <v>3436</v>
      </c>
      <c r="M911" s="7" t="s">
        <v>3437</v>
      </c>
    </row>
    <row r="912">
      <c r="A912" s="1" t="s">
        <v>3438</v>
      </c>
      <c r="B912" s="1" t="s">
        <v>3439</v>
      </c>
      <c r="C912" s="1" t="s">
        <v>1357</v>
      </c>
      <c r="D912" s="1" t="str">
        <f t="shared" si="1"/>
        <v>Electronics</v>
      </c>
      <c r="E912" s="1" t="str">
        <f t="shared" si="2"/>
        <v>WearableTechnology</v>
      </c>
      <c r="F912" s="5">
        <v>2499.0</v>
      </c>
      <c r="G912" s="5">
        <v>2649.0</v>
      </c>
      <c r="H912" s="6">
        <f t="shared" si="3"/>
        <v>0.05662514156</v>
      </c>
      <c r="I912" s="3">
        <f>IFERROR(__xludf.DUMMYFUNCTION("GOOGLEFINANCE(""CURRENCY:INRBRL"")*F912"),152.19256138989)</f>
        <v>152.1925614</v>
      </c>
      <c r="J912" s="1">
        <v>4.49</v>
      </c>
      <c r="K912" s="1">
        <v>38879.0</v>
      </c>
      <c r="L912" s="1" t="s">
        <v>3440</v>
      </c>
      <c r="M912" s="7" t="s">
        <v>3441</v>
      </c>
    </row>
    <row r="913">
      <c r="A913" s="1" t="s">
        <v>3442</v>
      </c>
      <c r="B913" s="1" t="s">
        <v>3443</v>
      </c>
      <c r="C913" s="1" t="s">
        <v>3444</v>
      </c>
      <c r="D913" s="1" t="str">
        <f t="shared" si="1"/>
        <v>Electronics</v>
      </c>
      <c r="E913" s="1" t="str">
        <f t="shared" si="2"/>
        <v>HomeAudio</v>
      </c>
      <c r="F913" s="5">
        <v>4999.0</v>
      </c>
      <c r="G913" s="5">
        <v>12499.0</v>
      </c>
      <c r="H913" s="6">
        <f t="shared" si="3"/>
        <v>0.6000480038</v>
      </c>
      <c r="I913" s="3">
        <f>IFERROR(__xludf.DUMMYFUNCTION("GOOGLEFINANCE(""CURRENCY:INRBRL"")*F913"),304.44602416489)</f>
        <v>304.4460242</v>
      </c>
      <c r="J913" s="1">
        <v>4.5</v>
      </c>
      <c r="K913" s="1">
        <v>4541.0</v>
      </c>
      <c r="L913" s="1" t="s">
        <v>3445</v>
      </c>
      <c r="M913" s="7" t="s">
        <v>3446</v>
      </c>
    </row>
    <row r="914">
      <c r="A914" s="1" t="s">
        <v>3447</v>
      </c>
      <c r="B914" s="1" t="s">
        <v>3448</v>
      </c>
      <c r="C914" s="1" t="s">
        <v>1412</v>
      </c>
      <c r="D914" s="1" t="str">
        <f t="shared" si="1"/>
        <v>Electronics</v>
      </c>
      <c r="E914" s="1" t="str">
        <f t="shared" si="2"/>
        <v>Headphones,Earbuds&amp;Accessories</v>
      </c>
      <c r="F914" s="1">
        <v>399.0</v>
      </c>
      <c r="G914" s="5">
        <v>1299.0</v>
      </c>
      <c r="H914" s="6">
        <f t="shared" si="3"/>
        <v>0.6928406467</v>
      </c>
      <c r="I914" s="3">
        <f>IFERROR(__xludf.DUMMYFUNCTION("GOOGLEFINANCE(""CURRENCY:INRBRL"")*F914"),24.29965265889)</f>
        <v>24.29965266</v>
      </c>
      <c r="J914" s="1">
        <v>4.5</v>
      </c>
      <c r="K914" s="1">
        <v>76042.0</v>
      </c>
      <c r="L914" s="1" t="s">
        <v>3449</v>
      </c>
      <c r="M914" s="7" t="s">
        <v>3450</v>
      </c>
    </row>
    <row r="915">
      <c r="A915" s="1" t="s">
        <v>3451</v>
      </c>
      <c r="B915" s="1" t="s">
        <v>3452</v>
      </c>
      <c r="C915" s="1" t="s">
        <v>2561</v>
      </c>
      <c r="D915" s="1" t="str">
        <f t="shared" si="1"/>
        <v>Electronics</v>
      </c>
      <c r="E915" s="1" t="str">
        <f t="shared" si="2"/>
        <v>#VALUE!</v>
      </c>
      <c r="F915" s="1">
        <v>116.0</v>
      </c>
      <c r="G915" s="1">
        <v>200.0</v>
      </c>
      <c r="H915" s="6">
        <f t="shared" si="3"/>
        <v>0.42</v>
      </c>
      <c r="I915" s="3">
        <f>IFERROR(__xludf.DUMMYFUNCTION("GOOGLEFINANCE(""CURRENCY:INRBRL"")*F915"),7.06456067276)</f>
        <v>7.064560673</v>
      </c>
      <c r="J915" s="1">
        <v>4.5</v>
      </c>
      <c r="K915" s="1">
        <v>485.0</v>
      </c>
      <c r="L915" s="1" t="s">
        <v>3453</v>
      </c>
      <c r="M915" s="7" t="s">
        <v>3454</v>
      </c>
    </row>
    <row r="916">
      <c r="A916" s="1" t="s">
        <v>3455</v>
      </c>
      <c r="B916" s="1" t="s">
        <v>3456</v>
      </c>
      <c r="C916" s="1" t="s">
        <v>2721</v>
      </c>
      <c r="D916" s="1" t="str">
        <f t="shared" si="1"/>
        <v>Electronics</v>
      </c>
      <c r="E916" s="1" t="str">
        <f t="shared" si="2"/>
        <v>Cameras&amp;Photography</v>
      </c>
      <c r="F916" s="5">
        <v>4499.0</v>
      </c>
      <c r="G916" s="5">
        <v>5999.0</v>
      </c>
      <c r="H916" s="6">
        <f t="shared" si="3"/>
        <v>0.2500416736</v>
      </c>
      <c r="I916" s="3">
        <f>IFERROR(__xludf.DUMMYFUNCTION("GOOGLEFINANCE(""CURRENCY:INRBRL"")*F916"),273.99533160989)</f>
        <v>273.9953316</v>
      </c>
      <c r="J916" s="1">
        <v>4.5</v>
      </c>
      <c r="K916" s="1">
        <v>44696.0</v>
      </c>
      <c r="L916" s="1" t="s">
        <v>3457</v>
      </c>
      <c r="M916" s="7" t="s">
        <v>3458</v>
      </c>
    </row>
    <row r="917">
      <c r="A917" s="1" t="s">
        <v>3459</v>
      </c>
      <c r="B917" s="1" t="s">
        <v>3460</v>
      </c>
      <c r="C917" s="1" t="s">
        <v>2807</v>
      </c>
      <c r="D917" s="1" t="str">
        <f t="shared" si="1"/>
        <v>Computers&amp;Accessories</v>
      </c>
      <c r="E917" s="1" t="str">
        <f t="shared" si="2"/>
        <v>Accessories&amp;Peripherals</v>
      </c>
      <c r="F917" s="1">
        <v>330.0</v>
      </c>
      <c r="G917" s="1">
        <v>499.0</v>
      </c>
      <c r="H917" s="6">
        <f t="shared" si="3"/>
        <v>0.3386773547</v>
      </c>
      <c r="I917" s="3">
        <f>IFERROR(__xludf.DUMMYFUNCTION("GOOGLEFINANCE(""CURRENCY:INRBRL"")*F917"),20.0974570863)</f>
        <v>20.09745709</v>
      </c>
      <c r="J917" s="1">
        <v>4.51</v>
      </c>
      <c r="K917" s="1">
        <v>8566.0</v>
      </c>
      <c r="L917" s="1" t="s">
        <v>3461</v>
      </c>
      <c r="M917" s="7" t="s">
        <v>3462</v>
      </c>
    </row>
    <row r="918">
      <c r="A918" s="1" t="s">
        <v>3463</v>
      </c>
      <c r="B918" s="1" t="s">
        <v>3464</v>
      </c>
      <c r="C918" s="1" t="s">
        <v>2528</v>
      </c>
      <c r="D918" s="1" t="str">
        <f t="shared" si="1"/>
        <v>Electronics</v>
      </c>
      <c r="E918" s="1" t="str">
        <f t="shared" si="2"/>
        <v>Headphones,Earbuds&amp;Accessories</v>
      </c>
      <c r="F918" s="1">
        <v>649.0</v>
      </c>
      <c r="G918" s="5">
        <v>2499.0</v>
      </c>
      <c r="H918" s="6">
        <f t="shared" si="3"/>
        <v>0.7402961184</v>
      </c>
      <c r="I918" s="3">
        <f>IFERROR(__xludf.DUMMYFUNCTION("GOOGLEFINANCE(""CURRENCY:INRBRL"")*F918"),39.52499893639)</f>
        <v>39.52499894</v>
      </c>
      <c r="J918" s="1">
        <v>4.52</v>
      </c>
      <c r="K918" s="1">
        <v>13049.0</v>
      </c>
      <c r="L918" s="1" t="s">
        <v>3465</v>
      </c>
      <c r="M918" s="7" t="s">
        <v>3466</v>
      </c>
    </row>
    <row r="919">
      <c r="A919" s="1" t="s">
        <v>3467</v>
      </c>
      <c r="B919" s="1" t="s">
        <v>3468</v>
      </c>
      <c r="C919" s="1" t="s">
        <v>2762</v>
      </c>
      <c r="D919" s="1" t="str">
        <f t="shared" si="1"/>
        <v>Computers&amp;Accessories</v>
      </c>
      <c r="E919" s="1" t="str">
        <f t="shared" si="2"/>
        <v>Accessories&amp;Peripherals</v>
      </c>
      <c r="F919" s="5">
        <v>1234.0</v>
      </c>
      <c r="G919" s="5">
        <v>1599.0</v>
      </c>
      <c r="H919" s="6">
        <f t="shared" si="3"/>
        <v>0.2282676673</v>
      </c>
      <c r="I919" s="3">
        <f>IFERROR(__xludf.DUMMYFUNCTION("GOOGLEFINANCE(""CURRENCY:INRBRL"")*F919"),75.15230922574)</f>
        <v>75.15230923</v>
      </c>
      <c r="J919" s="1">
        <v>4.51</v>
      </c>
      <c r="K919" s="1">
        <v>1668.0</v>
      </c>
      <c r="L919" s="1" t="s">
        <v>3469</v>
      </c>
      <c r="M919" s="7" t="s">
        <v>3470</v>
      </c>
    </row>
    <row r="920">
      <c r="A920" s="1" t="s">
        <v>2076</v>
      </c>
      <c r="B920" s="1" t="s">
        <v>2077</v>
      </c>
      <c r="C920" s="1" t="s">
        <v>2078</v>
      </c>
      <c r="D920" s="1" t="str">
        <f t="shared" si="1"/>
        <v>Electronics</v>
      </c>
      <c r="E920" s="1" t="str">
        <f t="shared" si="2"/>
        <v>Headphones,Earbuds&amp;Accessories</v>
      </c>
      <c r="F920" s="5">
        <v>1399.0</v>
      </c>
      <c r="G920" s="5">
        <v>2999.0</v>
      </c>
      <c r="H920" s="6">
        <f t="shared" si="3"/>
        <v>0.5335111704</v>
      </c>
      <c r="I920" s="3">
        <f>IFERROR(__xludf.DUMMYFUNCTION("GOOGLEFINANCE(""CURRENCY:INRBRL"")*F920"),85.20103776889)</f>
        <v>85.20103777</v>
      </c>
      <c r="J920" s="1">
        <v>4.49</v>
      </c>
      <c r="K920" s="1">
        <v>97174.0</v>
      </c>
      <c r="L920" s="1" t="s">
        <v>2079</v>
      </c>
      <c r="M920" s="7" t="s">
        <v>3471</v>
      </c>
    </row>
    <row r="921">
      <c r="A921" s="1" t="s">
        <v>3472</v>
      </c>
      <c r="B921" s="1" t="s">
        <v>3473</v>
      </c>
      <c r="C921" s="1" t="s">
        <v>3223</v>
      </c>
      <c r="D921" s="1" t="str">
        <f t="shared" si="1"/>
        <v>OfficeProducts</v>
      </c>
      <c r="E921" s="1" t="str">
        <f t="shared" si="2"/>
        <v>OfficePaperProducts</v>
      </c>
      <c r="F921" s="1">
        <v>272.0</v>
      </c>
      <c r="G921" s="1">
        <v>320.0</v>
      </c>
      <c r="H921" s="6">
        <f t="shared" si="3"/>
        <v>0.15</v>
      </c>
      <c r="I921" s="3">
        <f>IFERROR(__xludf.DUMMYFUNCTION("GOOGLEFINANCE(""CURRENCY:INRBRL"")*F921"),16.56517674992)</f>
        <v>16.56517675</v>
      </c>
      <c r="J921" s="1">
        <v>4.0</v>
      </c>
      <c r="K921" s="1">
        <v>3686.0</v>
      </c>
      <c r="L921" s="1" t="s">
        <v>3474</v>
      </c>
      <c r="M921" s="7" t="s">
        <v>3475</v>
      </c>
    </row>
    <row r="922">
      <c r="A922" s="1" t="s">
        <v>3476</v>
      </c>
      <c r="B922" s="1" t="s">
        <v>3477</v>
      </c>
      <c r="C922" s="1" t="s">
        <v>3478</v>
      </c>
      <c r="D922" s="1" t="str">
        <f t="shared" si="1"/>
        <v>Electronics</v>
      </c>
      <c r="E922" s="1" t="str">
        <f t="shared" si="2"/>
        <v>Headphones,Earbuds&amp;Accessories</v>
      </c>
      <c r="F922" s="1">
        <v>99.0</v>
      </c>
      <c r="G922" s="1">
        <v>999.0</v>
      </c>
      <c r="H922" s="6">
        <f t="shared" si="3"/>
        <v>0.9009009009</v>
      </c>
      <c r="I922" s="3">
        <f>IFERROR(__xludf.DUMMYFUNCTION("GOOGLEFINANCE(""CURRENCY:INRBRL"")*F922"),6.02923712589)</f>
        <v>6.029237126</v>
      </c>
      <c r="J922" s="1">
        <v>4.51</v>
      </c>
      <c r="K922" s="1">
        <v>594.0</v>
      </c>
      <c r="L922" s="1" t="s">
        <v>3479</v>
      </c>
      <c r="M922" s="7" t="s">
        <v>3480</v>
      </c>
    </row>
    <row r="923">
      <c r="A923" s="1" t="s">
        <v>3481</v>
      </c>
      <c r="B923" s="1" t="s">
        <v>3482</v>
      </c>
      <c r="C923" s="1" t="s">
        <v>3483</v>
      </c>
      <c r="D923" s="1" t="str">
        <f t="shared" si="1"/>
        <v>Computers&amp;Accessories</v>
      </c>
      <c r="E923" s="1" t="str">
        <f t="shared" si="2"/>
        <v>Printers,Inks&amp;Accessories</v>
      </c>
      <c r="F923" s="5">
        <v>3498.0</v>
      </c>
      <c r="G923" s="5">
        <v>3875.0</v>
      </c>
      <c r="H923" s="6">
        <f t="shared" si="3"/>
        <v>0.09729032258</v>
      </c>
      <c r="I923" s="3">
        <f>IFERROR(__xludf.DUMMYFUNCTION("GOOGLEFINANCE(""CURRENCY:INRBRL"")*F923"),213.03304511477998)</f>
        <v>213.0330451</v>
      </c>
      <c r="J923" s="1">
        <v>4.5</v>
      </c>
      <c r="K923" s="1">
        <v>12185.0</v>
      </c>
      <c r="L923" s="1" t="s">
        <v>3484</v>
      </c>
      <c r="M923" s="7" t="s">
        <v>3485</v>
      </c>
    </row>
    <row r="924">
      <c r="A924" s="1" t="s">
        <v>3486</v>
      </c>
      <c r="B924" s="1" t="s">
        <v>3487</v>
      </c>
      <c r="C924" s="1" t="s">
        <v>2684</v>
      </c>
      <c r="D924" s="1" t="str">
        <f t="shared" si="1"/>
        <v>Computers&amp;Accessories</v>
      </c>
      <c r="E924" s="1" t="str">
        <f t="shared" si="2"/>
        <v>#VALUE!</v>
      </c>
      <c r="F924" s="5">
        <v>10099.0</v>
      </c>
      <c r="G924" s="5">
        <v>19110.0</v>
      </c>
      <c r="H924" s="6">
        <f t="shared" si="3"/>
        <v>0.4715332287</v>
      </c>
      <c r="I924" s="3">
        <f>IFERROR(__xludf.DUMMYFUNCTION("GOOGLEFINANCE(""CURRENCY:INRBRL"")*F924"),615.04308822589)</f>
        <v>615.0430882</v>
      </c>
      <c r="J924" s="1">
        <v>4.5</v>
      </c>
      <c r="K924" s="1">
        <v>2623.0</v>
      </c>
      <c r="L924" s="1" t="s">
        <v>3488</v>
      </c>
      <c r="M924" s="7" t="s">
        <v>3489</v>
      </c>
    </row>
    <row r="925">
      <c r="A925" s="1" t="s">
        <v>3490</v>
      </c>
      <c r="B925" s="1" t="s">
        <v>3491</v>
      </c>
      <c r="C925" s="1" t="s">
        <v>2850</v>
      </c>
      <c r="D925" s="1" t="str">
        <f t="shared" si="1"/>
        <v>Computers&amp;Accessories</v>
      </c>
      <c r="E925" s="1" t="str">
        <f t="shared" si="2"/>
        <v>Accessories&amp;Peripherals</v>
      </c>
      <c r="F925" s="1">
        <v>449.0</v>
      </c>
      <c r="G925" s="1">
        <v>999.0</v>
      </c>
      <c r="H925" s="6">
        <f t="shared" si="3"/>
        <v>0.5505505506</v>
      </c>
      <c r="I925" s="3">
        <f>IFERROR(__xludf.DUMMYFUNCTION("GOOGLEFINANCE(""CURRENCY:INRBRL"")*F925"),27.34472191439)</f>
        <v>27.34472191</v>
      </c>
      <c r="J925" s="1">
        <v>4.5</v>
      </c>
      <c r="K925" s="1">
        <v>9701.0</v>
      </c>
      <c r="L925" s="1" t="s">
        <v>3492</v>
      </c>
      <c r="M925" s="7" t="s">
        <v>3493</v>
      </c>
    </row>
    <row r="926">
      <c r="A926" s="1" t="s">
        <v>3494</v>
      </c>
      <c r="B926" s="1" t="s">
        <v>3495</v>
      </c>
      <c r="C926" s="1" t="s">
        <v>3496</v>
      </c>
      <c r="D926" s="1" t="str">
        <f t="shared" si="1"/>
        <v>Toys&amp;Games</v>
      </c>
      <c r="E926" s="1" t="str">
        <f t="shared" si="2"/>
        <v>Arts&amp;Crafts</v>
      </c>
      <c r="F926" s="1">
        <v>150.0</v>
      </c>
      <c r="G926" s="1">
        <v>150.0</v>
      </c>
      <c r="H926" s="6">
        <f t="shared" si="3"/>
        <v>0</v>
      </c>
      <c r="I926" s="3">
        <f>IFERROR(__xludf.DUMMYFUNCTION("GOOGLEFINANCE(""CURRENCY:INRBRL"")*F926"),9.135207766499999)</f>
        <v>9.135207767</v>
      </c>
      <c r="J926" s="1">
        <v>4.5</v>
      </c>
      <c r="K926" s="1">
        <v>15867.0</v>
      </c>
      <c r="L926" s="1" t="s">
        <v>3497</v>
      </c>
      <c r="M926" s="7" t="s">
        <v>3498</v>
      </c>
    </row>
    <row r="927">
      <c r="A927" s="1" t="s">
        <v>257</v>
      </c>
      <c r="B927" s="1" t="s">
        <v>258</v>
      </c>
      <c r="C927" s="1" t="s">
        <v>22</v>
      </c>
      <c r="D927" s="1" t="str">
        <f t="shared" si="1"/>
        <v>Computers&amp;Accessories</v>
      </c>
      <c r="E927" s="1" t="str">
        <f t="shared" si="2"/>
        <v>Accessories&amp;Peripherals</v>
      </c>
      <c r="F927" s="1">
        <v>348.0</v>
      </c>
      <c r="G927" s="5">
        <v>1499.0</v>
      </c>
      <c r="H927" s="6">
        <f t="shared" si="3"/>
        <v>0.7678452302</v>
      </c>
      <c r="I927" s="3">
        <f>IFERROR(__xludf.DUMMYFUNCTION("GOOGLEFINANCE(""CURRENCY:INRBRL"")*F927"),21.19368201828)</f>
        <v>21.19368202</v>
      </c>
      <c r="J927" s="1">
        <v>4.5</v>
      </c>
      <c r="K927" s="1">
        <v>656.0</v>
      </c>
      <c r="L927" s="1" t="s">
        <v>259</v>
      </c>
      <c r="M927" s="7" t="s">
        <v>3499</v>
      </c>
    </row>
    <row r="928">
      <c r="A928" s="1" t="s">
        <v>3500</v>
      </c>
      <c r="B928" s="1" t="s">
        <v>3501</v>
      </c>
      <c r="C928" s="1" t="s">
        <v>2523</v>
      </c>
      <c r="D928" s="1" t="str">
        <f t="shared" si="1"/>
        <v>Computers&amp;Accessories</v>
      </c>
      <c r="E928" s="1" t="str">
        <f t="shared" si="2"/>
        <v>NetworkingDevices</v>
      </c>
      <c r="F928" s="5">
        <v>1199.0</v>
      </c>
      <c r="G928" s="5">
        <v>2999.0</v>
      </c>
      <c r="H928" s="6">
        <f t="shared" si="3"/>
        <v>0.6002000667</v>
      </c>
      <c r="I928" s="3">
        <f>IFERROR(__xludf.DUMMYFUNCTION("GOOGLEFINANCE(""CURRENCY:INRBRL"")*F928"),73.02076074688999)</f>
        <v>73.02076075</v>
      </c>
      <c r="J928" s="1">
        <v>4.49</v>
      </c>
      <c r="K928" s="1">
        <v>10725.0</v>
      </c>
      <c r="L928" s="1" t="s">
        <v>3502</v>
      </c>
      <c r="M928" s="7" t="s">
        <v>3503</v>
      </c>
    </row>
    <row r="929">
      <c r="A929" s="1" t="s">
        <v>3504</v>
      </c>
      <c r="B929" s="1" t="s">
        <v>3505</v>
      </c>
      <c r="C929" s="1" t="s">
        <v>2490</v>
      </c>
      <c r="D929" s="1" t="str">
        <f t="shared" si="1"/>
        <v>Computers&amp;Accessories</v>
      </c>
      <c r="E929" s="1" t="str">
        <f t="shared" si="2"/>
        <v>Accessories&amp;Peripherals</v>
      </c>
      <c r="F929" s="1">
        <v>397.0</v>
      </c>
      <c r="G929" s="1">
        <v>899.0</v>
      </c>
      <c r="H929" s="6">
        <f t="shared" si="3"/>
        <v>0.5583982202</v>
      </c>
      <c r="I929" s="3">
        <f>IFERROR(__xludf.DUMMYFUNCTION("GOOGLEFINANCE(""CURRENCY:INRBRL"")*F929"),24.17784988867)</f>
        <v>24.17784989</v>
      </c>
      <c r="J929" s="1">
        <v>4.0</v>
      </c>
      <c r="K929" s="1">
        <v>3025.0</v>
      </c>
      <c r="L929" s="1" t="s">
        <v>3506</v>
      </c>
      <c r="M929" s="7" t="s">
        <v>3507</v>
      </c>
    </row>
    <row r="930">
      <c r="A930" s="1" t="s">
        <v>261</v>
      </c>
      <c r="B930" s="1" t="s">
        <v>262</v>
      </c>
      <c r="C930" s="1" t="s">
        <v>22</v>
      </c>
      <c r="D930" s="1" t="str">
        <f t="shared" si="1"/>
        <v>Computers&amp;Accessories</v>
      </c>
      <c r="E930" s="1" t="str">
        <f t="shared" si="2"/>
        <v>Accessories&amp;Peripherals</v>
      </c>
      <c r="F930" s="1">
        <v>154.0</v>
      </c>
      <c r="G930" s="1">
        <v>349.0</v>
      </c>
      <c r="H930" s="6">
        <f t="shared" si="3"/>
        <v>0.558739255</v>
      </c>
      <c r="I930" s="3">
        <f>IFERROR(__xludf.DUMMYFUNCTION("GOOGLEFINANCE(""CURRENCY:INRBRL"")*F930"),9.37881330694)</f>
        <v>9.378813307</v>
      </c>
      <c r="J930" s="1">
        <v>4.5</v>
      </c>
      <c r="K930" s="1">
        <v>7064.0</v>
      </c>
      <c r="L930" s="1" t="s">
        <v>263</v>
      </c>
      <c r="M930" s="7" t="s">
        <v>3508</v>
      </c>
    </row>
    <row r="931">
      <c r="A931" s="1" t="s">
        <v>3509</v>
      </c>
      <c r="B931" s="1" t="s">
        <v>3510</v>
      </c>
      <c r="C931" s="1" t="s">
        <v>2767</v>
      </c>
      <c r="D931" s="1" t="str">
        <f t="shared" si="1"/>
        <v>Computers&amp;Accessories</v>
      </c>
      <c r="E931" s="1" t="str">
        <f t="shared" si="2"/>
        <v>Accessories&amp;Peripherals</v>
      </c>
      <c r="F931" s="1">
        <v>699.0</v>
      </c>
      <c r="G931" s="5">
        <v>1499.0</v>
      </c>
      <c r="H931" s="6">
        <f t="shared" si="3"/>
        <v>0.5336891261</v>
      </c>
      <c r="I931" s="3">
        <f>IFERROR(__xludf.DUMMYFUNCTION("GOOGLEFINANCE(""CURRENCY:INRBRL"")*F931"),42.57006819189)</f>
        <v>42.57006819</v>
      </c>
      <c r="J931" s="1">
        <v>4.0</v>
      </c>
      <c r="K931" s="1">
        <v>5736.0</v>
      </c>
      <c r="L931" s="1" t="s">
        <v>3511</v>
      </c>
      <c r="M931" s="7" t="s">
        <v>3512</v>
      </c>
    </row>
    <row r="932">
      <c r="A932" s="1" t="s">
        <v>3513</v>
      </c>
      <c r="B932" s="1" t="s">
        <v>3514</v>
      </c>
      <c r="C932" s="1" t="s">
        <v>1412</v>
      </c>
      <c r="D932" s="1" t="str">
        <f t="shared" si="1"/>
        <v>Electronics</v>
      </c>
      <c r="E932" s="1" t="str">
        <f t="shared" si="2"/>
        <v>Headphones,Earbuds&amp;Accessories</v>
      </c>
      <c r="F932" s="5">
        <v>1679.0</v>
      </c>
      <c r="G932" s="5">
        <v>1999.0</v>
      </c>
      <c r="H932" s="6">
        <f t="shared" si="3"/>
        <v>0.16008004</v>
      </c>
      <c r="I932" s="3">
        <f>IFERROR(__xludf.DUMMYFUNCTION("GOOGLEFINANCE(""CURRENCY:INRBRL"")*F932"),102.25342559968999)</f>
        <v>102.2534256</v>
      </c>
      <c r="J932" s="1">
        <v>4.49</v>
      </c>
      <c r="K932" s="1">
        <v>72563.0</v>
      </c>
      <c r="L932" s="1" t="s">
        <v>3515</v>
      </c>
      <c r="M932" s="7" t="s">
        <v>3516</v>
      </c>
    </row>
    <row r="933">
      <c r="A933" s="1" t="s">
        <v>3517</v>
      </c>
      <c r="B933" s="1" t="s">
        <v>3518</v>
      </c>
      <c r="C933" s="1" t="s">
        <v>2275</v>
      </c>
      <c r="D933" s="1" t="str">
        <f t="shared" si="1"/>
        <v>Computers&amp;Accessories</v>
      </c>
      <c r="E933" s="1" t="str">
        <f t="shared" si="2"/>
        <v>Accessories&amp;Peripherals</v>
      </c>
      <c r="F933" s="1">
        <v>354.0</v>
      </c>
      <c r="G933" s="5">
        <v>1499.0</v>
      </c>
      <c r="H933" s="6">
        <f t="shared" si="3"/>
        <v>0.7638425617</v>
      </c>
      <c r="I933" s="3">
        <f>IFERROR(__xludf.DUMMYFUNCTION("GOOGLEFINANCE(""CURRENCY:INRBRL"")*F933"),21.559090328939998)</f>
        <v>21.55909033</v>
      </c>
      <c r="J933" s="1">
        <v>4.0</v>
      </c>
      <c r="K933" s="1">
        <v>1026.0</v>
      </c>
      <c r="L933" s="1" t="s">
        <v>3519</v>
      </c>
      <c r="M933" s="7" t="s">
        <v>3520</v>
      </c>
    </row>
    <row r="934">
      <c r="A934" s="1" t="s">
        <v>3521</v>
      </c>
      <c r="B934" s="1" t="s">
        <v>3522</v>
      </c>
      <c r="C934" s="1" t="s">
        <v>3523</v>
      </c>
      <c r="D934" s="1" t="str">
        <f t="shared" si="1"/>
        <v>Computers&amp;Accessories</v>
      </c>
      <c r="E934" s="1" t="str">
        <f t="shared" si="2"/>
        <v>Accessories&amp;Peripherals</v>
      </c>
      <c r="F934" s="5">
        <v>1199.0</v>
      </c>
      <c r="G934" s="5">
        <v>5499.0</v>
      </c>
      <c r="H934" s="6">
        <f t="shared" si="3"/>
        <v>0.7819603564</v>
      </c>
      <c r="I934" s="3">
        <f>IFERROR(__xludf.DUMMYFUNCTION("GOOGLEFINANCE(""CURRENCY:INRBRL"")*F934"),73.02076074688999)</f>
        <v>73.02076075</v>
      </c>
      <c r="J934" s="1">
        <v>4.51</v>
      </c>
      <c r="K934" s="1">
        <v>2043.0</v>
      </c>
      <c r="L934" s="1" t="s">
        <v>3524</v>
      </c>
      <c r="M934" s="7" t="s">
        <v>3525</v>
      </c>
    </row>
    <row r="935">
      <c r="A935" s="1" t="s">
        <v>3526</v>
      </c>
      <c r="B935" s="1" t="s">
        <v>3527</v>
      </c>
      <c r="C935" s="1" t="s">
        <v>2762</v>
      </c>
      <c r="D935" s="1" t="str">
        <f t="shared" si="1"/>
        <v>Computers&amp;Accessories</v>
      </c>
      <c r="E935" s="1" t="str">
        <f t="shared" si="2"/>
        <v>Accessories&amp;Peripherals</v>
      </c>
      <c r="F935" s="1">
        <v>379.0</v>
      </c>
      <c r="G935" s="5">
        <v>1499.0</v>
      </c>
      <c r="H935" s="6">
        <f t="shared" si="3"/>
        <v>0.7471647765</v>
      </c>
      <c r="I935" s="3">
        <f>IFERROR(__xludf.DUMMYFUNCTION("GOOGLEFINANCE(""CURRENCY:INRBRL"")*F935"),23.08162495669)</f>
        <v>23.08162496</v>
      </c>
      <c r="J935" s="1">
        <v>4.5</v>
      </c>
      <c r="K935" s="1">
        <v>4149.0</v>
      </c>
      <c r="L935" s="1" t="s">
        <v>3528</v>
      </c>
      <c r="M935" s="7" t="s">
        <v>3529</v>
      </c>
    </row>
    <row r="936">
      <c r="A936" s="1" t="s">
        <v>3530</v>
      </c>
      <c r="B936" s="1" t="s">
        <v>3531</v>
      </c>
      <c r="C936" s="1" t="s">
        <v>2384</v>
      </c>
      <c r="D936" s="1" t="str">
        <f t="shared" si="1"/>
        <v>Computers&amp;Accessories</v>
      </c>
      <c r="E936" s="1" t="str">
        <f t="shared" si="2"/>
        <v>ExternalDevices&amp;DataStorage</v>
      </c>
      <c r="F936" s="1">
        <v>499.0</v>
      </c>
      <c r="G936" s="1">
        <v>775.0</v>
      </c>
      <c r="H936" s="6">
        <f t="shared" si="3"/>
        <v>0.3561290323</v>
      </c>
      <c r="I936" s="3">
        <f>IFERROR(__xludf.DUMMYFUNCTION("GOOGLEFINANCE(""CURRENCY:INRBRL"")*F936"),30.38979116989)</f>
        <v>30.38979117</v>
      </c>
      <c r="J936" s="1">
        <v>4.5</v>
      </c>
      <c r="K936" s="1">
        <v>74.0</v>
      </c>
      <c r="L936" s="1" t="s">
        <v>3532</v>
      </c>
      <c r="M936" s="7" t="s">
        <v>3533</v>
      </c>
    </row>
    <row r="937">
      <c r="A937" s="1" t="s">
        <v>3534</v>
      </c>
      <c r="B937" s="1" t="s">
        <v>3535</v>
      </c>
      <c r="C937" s="1" t="s">
        <v>3536</v>
      </c>
      <c r="D937" s="1" t="str">
        <f t="shared" si="1"/>
        <v>Computers&amp;Accessories</v>
      </c>
      <c r="E937" s="1" t="str">
        <f t="shared" si="2"/>
        <v>ExternalDevices&amp;DataStorage</v>
      </c>
      <c r="F937" s="5">
        <v>10389.0</v>
      </c>
      <c r="G937" s="5">
        <v>31999.0</v>
      </c>
      <c r="H937" s="6">
        <f t="shared" si="3"/>
        <v>0.6753336042</v>
      </c>
      <c r="I937" s="3">
        <f>IFERROR(__xludf.DUMMYFUNCTION("GOOGLEFINANCE(""CURRENCY:INRBRL"")*F937"),632.7044899077899)</f>
        <v>632.7044899</v>
      </c>
      <c r="J937" s="1">
        <v>4.5</v>
      </c>
      <c r="K937" s="1">
        <v>41398.0</v>
      </c>
      <c r="L937" s="1" t="s">
        <v>3537</v>
      </c>
      <c r="M937" s="7" t="s">
        <v>3538</v>
      </c>
    </row>
    <row r="938">
      <c r="A938" s="1" t="s">
        <v>3539</v>
      </c>
      <c r="B938" s="1" t="s">
        <v>3540</v>
      </c>
      <c r="C938" s="1" t="s">
        <v>3196</v>
      </c>
      <c r="D938" s="1" t="str">
        <f t="shared" si="1"/>
        <v>Computers&amp;Accessories</v>
      </c>
      <c r="E938" s="1" t="str">
        <f t="shared" si="2"/>
        <v>Accessories&amp;Peripherals</v>
      </c>
      <c r="F938" s="1">
        <v>649.0</v>
      </c>
      <c r="G938" s="5">
        <v>1299.0</v>
      </c>
      <c r="H938" s="6">
        <f t="shared" si="3"/>
        <v>0.5003849115</v>
      </c>
      <c r="I938" s="3">
        <f>IFERROR(__xludf.DUMMYFUNCTION("GOOGLEFINANCE(""CURRENCY:INRBRL"")*F938"),39.52499893639)</f>
        <v>39.52499894</v>
      </c>
      <c r="J938" s="1">
        <v>4.49</v>
      </c>
      <c r="K938" s="1">
        <v>5195.0</v>
      </c>
      <c r="L938" s="1" t="s">
        <v>3541</v>
      </c>
      <c r="M938" s="7" t="s">
        <v>3542</v>
      </c>
    </row>
    <row r="939">
      <c r="A939" s="1" t="s">
        <v>3543</v>
      </c>
      <c r="B939" s="1" t="s">
        <v>3544</v>
      </c>
      <c r="C939" s="1" t="s">
        <v>3545</v>
      </c>
      <c r="D939" s="1" t="str">
        <f t="shared" si="1"/>
        <v>Computers&amp;Accessories</v>
      </c>
      <c r="E939" s="1" t="str">
        <f t="shared" si="2"/>
        <v>NetworkingDevices</v>
      </c>
      <c r="F939" s="5">
        <v>1199.0</v>
      </c>
      <c r="G939" s="5">
        <v>1999.0</v>
      </c>
      <c r="H939" s="6">
        <f t="shared" si="3"/>
        <v>0.4002001001</v>
      </c>
      <c r="I939" s="3">
        <f>IFERROR(__xludf.DUMMYFUNCTION("GOOGLEFINANCE(""CURRENCY:INRBRL"")*F939"),73.02076074688999)</f>
        <v>73.02076075</v>
      </c>
      <c r="J939" s="1">
        <v>4.51</v>
      </c>
      <c r="K939" s="1">
        <v>2242.0</v>
      </c>
      <c r="L939" s="1" t="s">
        <v>3546</v>
      </c>
      <c r="M939" s="7" t="s">
        <v>3547</v>
      </c>
    </row>
    <row r="940">
      <c r="A940" s="1" t="s">
        <v>273</v>
      </c>
      <c r="B940" s="1" t="s">
        <v>274</v>
      </c>
      <c r="C940" s="1" t="s">
        <v>22</v>
      </c>
      <c r="D940" s="1" t="str">
        <f t="shared" si="1"/>
        <v>Computers&amp;Accessories</v>
      </c>
      <c r="E940" s="1" t="str">
        <f t="shared" si="2"/>
        <v>Accessories&amp;Peripherals</v>
      </c>
      <c r="F940" s="1">
        <v>139.0</v>
      </c>
      <c r="G940" s="1">
        <v>999.0</v>
      </c>
      <c r="H940" s="6">
        <f t="shared" si="3"/>
        <v>0.8608608609</v>
      </c>
      <c r="I940" s="3">
        <f>IFERROR(__xludf.DUMMYFUNCTION("GOOGLEFINANCE(""CURRENCY:INRBRL"")*F940"),8.46529253029)</f>
        <v>8.46529253</v>
      </c>
      <c r="J940" s="1">
        <v>4.0</v>
      </c>
      <c r="K940" s="1">
        <v>1313.0</v>
      </c>
      <c r="L940" s="1" t="s">
        <v>275</v>
      </c>
      <c r="M940" s="7" t="s">
        <v>3548</v>
      </c>
    </row>
    <row r="941">
      <c r="A941" s="1" t="s">
        <v>3549</v>
      </c>
      <c r="B941" s="1" t="s">
        <v>3550</v>
      </c>
      <c r="C941" s="1" t="s">
        <v>1412</v>
      </c>
      <c r="D941" s="1" t="str">
        <f t="shared" si="1"/>
        <v>Electronics</v>
      </c>
      <c r="E941" s="1" t="str">
        <f t="shared" si="2"/>
        <v>Headphones,Earbuds&amp;Accessories</v>
      </c>
      <c r="F941" s="1">
        <v>889.0</v>
      </c>
      <c r="G941" s="5">
        <v>1999.0</v>
      </c>
      <c r="H941" s="6">
        <f t="shared" si="3"/>
        <v>0.5552776388</v>
      </c>
      <c r="I941" s="3">
        <f>IFERROR(__xludf.DUMMYFUNCTION("GOOGLEFINANCE(""CURRENCY:INRBRL"")*F941"),54.14133136279)</f>
        <v>54.14133136</v>
      </c>
      <c r="J941" s="1">
        <v>4.5</v>
      </c>
      <c r="K941" s="1">
        <v>2284.0</v>
      </c>
      <c r="L941" s="1" t="s">
        <v>3551</v>
      </c>
      <c r="M941" s="7" t="s">
        <v>3552</v>
      </c>
    </row>
    <row r="942">
      <c r="A942" s="1" t="s">
        <v>3553</v>
      </c>
      <c r="B942" s="1" t="s">
        <v>3554</v>
      </c>
      <c r="C942" s="1" t="s">
        <v>2376</v>
      </c>
      <c r="D942" s="1" t="str">
        <f t="shared" si="1"/>
        <v>Computers&amp;Accessories</v>
      </c>
      <c r="E942" s="1" t="str">
        <f t="shared" si="2"/>
        <v>Accessories&amp;Peripherals</v>
      </c>
      <c r="F942" s="5">
        <v>1409.0</v>
      </c>
      <c r="G942" s="5">
        <v>2199.0</v>
      </c>
      <c r="H942" s="6">
        <f t="shared" si="3"/>
        <v>0.3592542065</v>
      </c>
      <c r="I942" s="3">
        <f>IFERROR(__xludf.DUMMYFUNCTION("GOOGLEFINANCE(""CURRENCY:INRBRL"")*F942"),85.81005161998999)</f>
        <v>85.81005162</v>
      </c>
      <c r="J942" s="1">
        <v>4.52</v>
      </c>
      <c r="K942" s="1">
        <v>427.0</v>
      </c>
      <c r="L942" s="1" t="s">
        <v>3555</v>
      </c>
      <c r="M942" s="7" t="s">
        <v>3556</v>
      </c>
    </row>
    <row r="943">
      <c r="A943" s="1" t="s">
        <v>3557</v>
      </c>
      <c r="B943" s="1" t="s">
        <v>3558</v>
      </c>
      <c r="C943" s="1" t="s">
        <v>3559</v>
      </c>
      <c r="D943" s="1" t="str">
        <f t="shared" si="1"/>
        <v>Computers&amp;Accessories</v>
      </c>
      <c r="E943" s="1" t="str">
        <f t="shared" si="2"/>
        <v>Printers,Inks&amp;Accessories</v>
      </c>
      <c r="F943" s="1">
        <v>549.0</v>
      </c>
      <c r="G943" s="5">
        <v>1999.0</v>
      </c>
      <c r="H943" s="6">
        <f t="shared" si="3"/>
        <v>0.7253626813</v>
      </c>
      <c r="I943" s="3">
        <f>IFERROR(__xludf.DUMMYFUNCTION("GOOGLEFINANCE(""CURRENCY:INRBRL"")*F943"),33.43486042539)</f>
        <v>33.43486043</v>
      </c>
      <c r="J943" s="1">
        <v>4.5</v>
      </c>
      <c r="K943" s="1">
        <v>1367.0</v>
      </c>
      <c r="L943" s="1" t="s">
        <v>3560</v>
      </c>
      <c r="M943" s="7" t="s">
        <v>3561</v>
      </c>
    </row>
    <row r="944">
      <c r="A944" s="1" t="s">
        <v>3562</v>
      </c>
      <c r="B944" s="1" t="s">
        <v>3563</v>
      </c>
      <c r="C944" s="1" t="s">
        <v>3523</v>
      </c>
      <c r="D944" s="1" t="str">
        <f t="shared" si="1"/>
        <v>Computers&amp;Accessories</v>
      </c>
      <c r="E944" s="1" t="str">
        <f t="shared" si="2"/>
        <v>Accessories&amp;Peripherals</v>
      </c>
      <c r="F944" s="1">
        <v>749.0</v>
      </c>
      <c r="G944" s="5">
        <v>1799.0</v>
      </c>
      <c r="H944" s="6">
        <f t="shared" si="3"/>
        <v>0.5836575875</v>
      </c>
      <c r="I944" s="3">
        <f>IFERROR(__xludf.DUMMYFUNCTION("GOOGLEFINANCE(""CURRENCY:INRBRL"")*F944"),45.61513744739)</f>
        <v>45.61513745</v>
      </c>
      <c r="J944" s="1">
        <v>4.0</v>
      </c>
      <c r="K944" s="1">
        <v>13199.0</v>
      </c>
      <c r="L944" s="1" t="s">
        <v>3564</v>
      </c>
      <c r="M944" s="7" t="s">
        <v>3565</v>
      </c>
    </row>
    <row r="945">
      <c r="A945" s="1" t="s">
        <v>277</v>
      </c>
      <c r="B945" s="1" t="s">
        <v>278</v>
      </c>
      <c r="C945" s="1" t="s">
        <v>22</v>
      </c>
      <c r="D945" s="1" t="str">
        <f t="shared" si="1"/>
        <v>Computers&amp;Accessories</v>
      </c>
      <c r="E945" s="1" t="str">
        <f t="shared" si="2"/>
        <v>Accessories&amp;Peripherals</v>
      </c>
      <c r="F945" s="1">
        <v>329.0</v>
      </c>
      <c r="G945" s="1">
        <v>845.0</v>
      </c>
      <c r="H945" s="6">
        <f t="shared" si="3"/>
        <v>0.6106508876</v>
      </c>
      <c r="I945" s="3">
        <f>IFERROR(__xludf.DUMMYFUNCTION("GOOGLEFINANCE(""CURRENCY:INRBRL"")*F945"),20.03655570119)</f>
        <v>20.0365557</v>
      </c>
      <c r="J945" s="1">
        <v>4.5</v>
      </c>
      <c r="K945" s="1">
        <v>29746.0</v>
      </c>
      <c r="L945" s="1" t="s">
        <v>279</v>
      </c>
      <c r="M945" s="7" t="s">
        <v>3566</v>
      </c>
    </row>
    <row r="946">
      <c r="A946" s="1" t="s">
        <v>3567</v>
      </c>
      <c r="B946" s="1" t="s">
        <v>3568</v>
      </c>
      <c r="C946" s="1" t="s">
        <v>22</v>
      </c>
      <c r="D946" s="1" t="str">
        <f t="shared" si="1"/>
        <v>Computers&amp;Accessories</v>
      </c>
      <c r="E946" s="1" t="str">
        <f t="shared" si="2"/>
        <v>Accessories&amp;Peripherals</v>
      </c>
      <c r="F946" s="1">
        <v>379.0</v>
      </c>
      <c r="G946" s="5">
        <v>1099.0</v>
      </c>
      <c r="H946" s="6">
        <f t="shared" si="3"/>
        <v>0.6551410373</v>
      </c>
      <c r="I946" s="3">
        <f>IFERROR(__xludf.DUMMYFUNCTION("GOOGLEFINANCE(""CURRENCY:INRBRL"")*F946"),23.08162495669)</f>
        <v>23.08162496</v>
      </c>
      <c r="J946" s="1">
        <v>4.5</v>
      </c>
      <c r="K946" s="1">
        <v>2806.0</v>
      </c>
      <c r="L946" s="1" t="s">
        <v>3569</v>
      </c>
      <c r="M946" s="7" t="s">
        <v>3570</v>
      </c>
    </row>
    <row r="947">
      <c r="A947" s="1" t="s">
        <v>3571</v>
      </c>
      <c r="B947" s="1" t="s">
        <v>3572</v>
      </c>
      <c r="C947" s="1" t="s">
        <v>1357</v>
      </c>
      <c r="D947" s="1" t="str">
        <f t="shared" si="1"/>
        <v>Electronics</v>
      </c>
      <c r="E947" s="1" t="str">
        <f t="shared" si="2"/>
        <v>WearableTechnology</v>
      </c>
      <c r="F947" s="5">
        <v>5998.0</v>
      </c>
      <c r="G947" s="5">
        <v>7999.0</v>
      </c>
      <c r="H947" s="6">
        <f t="shared" si="3"/>
        <v>0.2501562695</v>
      </c>
      <c r="I947" s="3">
        <f>IFERROR(__xludf.DUMMYFUNCTION("GOOGLEFINANCE(""CURRENCY:INRBRL"")*F947"),365.28650788978)</f>
        <v>365.2865079</v>
      </c>
      <c r="J947" s="1">
        <v>4.5</v>
      </c>
      <c r="K947" s="1">
        <v>30355.0</v>
      </c>
      <c r="L947" s="1" t="s">
        <v>3573</v>
      </c>
      <c r="M947" s="7" t="s">
        <v>3574</v>
      </c>
    </row>
    <row r="948">
      <c r="A948" s="1" t="s">
        <v>3575</v>
      </c>
      <c r="B948" s="1" t="s">
        <v>3576</v>
      </c>
      <c r="C948" s="1" t="s">
        <v>2850</v>
      </c>
      <c r="D948" s="1" t="str">
        <f t="shared" si="1"/>
        <v>Computers&amp;Accessories</v>
      </c>
      <c r="E948" s="1" t="str">
        <f t="shared" si="2"/>
        <v>Accessories&amp;Peripherals</v>
      </c>
      <c r="F948" s="1">
        <v>299.0</v>
      </c>
      <c r="G948" s="5">
        <v>1499.0</v>
      </c>
      <c r="H948" s="6">
        <f t="shared" si="3"/>
        <v>0.8005336891</v>
      </c>
      <c r="I948" s="3">
        <f>IFERROR(__xludf.DUMMYFUNCTION("GOOGLEFINANCE(""CURRENCY:INRBRL"")*F948"),18.209514147889998)</f>
        <v>18.20951415</v>
      </c>
      <c r="J948" s="1">
        <v>4.5</v>
      </c>
      <c r="K948" s="1">
        <v>2868.0</v>
      </c>
      <c r="L948" s="1" t="s">
        <v>3577</v>
      </c>
      <c r="M948" s="7" t="s">
        <v>3578</v>
      </c>
    </row>
    <row r="949">
      <c r="A949" s="1" t="s">
        <v>3579</v>
      </c>
      <c r="B949" s="1" t="s">
        <v>3580</v>
      </c>
      <c r="C949" s="1" t="s">
        <v>2762</v>
      </c>
      <c r="D949" s="1" t="str">
        <f t="shared" si="1"/>
        <v>Computers&amp;Accessories</v>
      </c>
      <c r="E949" s="1" t="str">
        <f t="shared" si="2"/>
        <v>Accessories&amp;Peripherals</v>
      </c>
      <c r="F949" s="1">
        <v>379.0</v>
      </c>
      <c r="G949" s="5">
        <v>1499.0</v>
      </c>
      <c r="H949" s="6">
        <f t="shared" si="3"/>
        <v>0.7471647765</v>
      </c>
      <c r="I949" s="3">
        <f>IFERROR(__xludf.DUMMYFUNCTION("GOOGLEFINANCE(""CURRENCY:INRBRL"")*F949"),23.08162495669)</f>
        <v>23.08162496</v>
      </c>
      <c r="J949" s="1">
        <v>4.49</v>
      </c>
      <c r="K949" s="1">
        <v>670.0</v>
      </c>
      <c r="L949" s="1" t="s">
        <v>3581</v>
      </c>
      <c r="M949" s="7" t="s">
        <v>3582</v>
      </c>
    </row>
    <row r="950">
      <c r="A950" s="1" t="s">
        <v>3583</v>
      </c>
      <c r="B950" s="1" t="s">
        <v>3584</v>
      </c>
      <c r="C950" s="1" t="s">
        <v>3585</v>
      </c>
      <c r="D950" s="1" t="str">
        <f t="shared" si="1"/>
        <v>OfficeProducts</v>
      </c>
      <c r="E950" s="1" t="str">
        <f t="shared" si="2"/>
        <v>OfficePaperProducts</v>
      </c>
      <c r="F950" s="5">
        <v>1399.0</v>
      </c>
      <c r="G950" s="5">
        <v>2999.0</v>
      </c>
      <c r="H950" s="6">
        <f t="shared" si="3"/>
        <v>0.5335111704</v>
      </c>
      <c r="I950" s="3">
        <f>IFERROR(__xludf.DUMMYFUNCTION("GOOGLEFINANCE(""CURRENCY:INRBRL"")*F950"),85.20103776889)</f>
        <v>85.20103777</v>
      </c>
      <c r="J950" s="1">
        <v>4.5</v>
      </c>
      <c r="K950" s="1">
        <v>353.0</v>
      </c>
      <c r="L950" s="1" t="s">
        <v>3586</v>
      </c>
      <c r="M950" s="7" t="s">
        <v>3587</v>
      </c>
    </row>
    <row r="951">
      <c r="A951" s="1" t="s">
        <v>3588</v>
      </c>
      <c r="B951" s="1" t="s">
        <v>3589</v>
      </c>
      <c r="C951" s="1" t="s">
        <v>3590</v>
      </c>
      <c r="D951" s="1" t="str">
        <f t="shared" si="1"/>
        <v>Electronics</v>
      </c>
      <c r="E951" s="1" t="str">
        <f t="shared" si="2"/>
        <v>Cameras&amp;Photography</v>
      </c>
      <c r="F951" s="1">
        <v>699.0</v>
      </c>
      <c r="G951" s="5">
        <v>1299.0</v>
      </c>
      <c r="H951" s="6">
        <f t="shared" si="3"/>
        <v>0.4618937644</v>
      </c>
      <c r="I951" s="3">
        <f>IFERROR(__xludf.DUMMYFUNCTION("GOOGLEFINANCE(""CURRENCY:INRBRL"")*F951"),42.57006819189)</f>
        <v>42.57006819</v>
      </c>
      <c r="J951" s="1">
        <v>4.5</v>
      </c>
      <c r="K951" s="1">
        <v>6183.0</v>
      </c>
      <c r="L951" s="1" t="s">
        <v>3591</v>
      </c>
      <c r="M951" s="7" t="s">
        <v>3592</v>
      </c>
    </row>
    <row r="952">
      <c r="A952" s="1" t="s">
        <v>3593</v>
      </c>
      <c r="B952" s="1" t="s">
        <v>3594</v>
      </c>
      <c r="C952" s="1" t="s">
        <v>2881</v>
      </c>
      <c r="D952" s="1" t="str">
        <f t="shared" si="1"/>
        <v>OfficeProducts</v>
      </c>
      <c r="E952" s="1" t="str">
        <f t="shared" si="2"/>
        <v>OfficePaperProducts</v>
      </c>
      <c r="F952" s="1">
        <v>300.0</v>
      </c>
      <c r="G952" s="1">
        <v>300.0</v>
      </c>
      <c r="H952" s="6">
        <f t="shared" si="3"/>
        <v>0</v>
      </c>
      <c r="I952" s="3">
        <f>IFERROR(__xludf.DUMMYFUNCTION("GOOGLEFINANCE(""CURRENCY:INRBRL"")*F952"),18.270415532999998)</f>
        <v>18.27041553</v>
      </c>
      <c r="J952" s="1">
        <v>4.5</v>
      </c>
      <c r="K952" s="1">
        <v>419.0</v>
      </c>
      <c r="L952" s="1" t="s">
        <v>3595</v>
      </c>
      <c r="M952" s="7" t="s">
        <v>3596</v>
      </c>
    </row>
    <row r="953">
      <c r="A953" s="1" t="s">
        <v>3597</v>
      </c>
      <c r="B953" s="1" t="s">
        <v>3598</v>
      </c>
      <c r="C953" s="1" t="s">
        <v>2485</v>
      </c>
      <c r="D953" s="1" t="str">
        <f t="shared" si="1"/>
        <v>Computers&amp;Accessories</v>
      </c>
      <c r="E953" s="1" t="str">
        <f t="shared" si="2"/>
        <v>Accessories&amp;Peripherals</v>
      </c>
      <c r="F953" s="1">
        <v>999.0</v>
      </c>
      <c r="G953" s="5">
        <v>1995.0</v>
      </c>
      <c r="H953" s="6">
        <f t="shared" si="3"/>
        <v>0.4992481203</v>
      </c>
      <c r="I953" s="3">
        <f>IFERROR(__xludf.DUMMYFUNCTION("GOOGLEFINANCE(""CURRENCY:INRBRL"")*F953"),60.84048372489)</f>
        <v>60.84048372</v>
      </c>
      <c r="J953" s="1">
        <v>4.51</v>
      </c>
      <c r="K953" s="1">
        <v>7317.0</v>
      </c>
      <c r="L953" s="1" t="s">
        <v>3599</v>
      </c>
      <c r="M953" s="7" t="s">
        <v>3600</v>
      </c>
    </row>
    <row r="954">
      <c r="A954" s="1" t="s">
        <v>3601</v>
      </c>
      <c r="B954" s="1" t="s">
        <v>3602</v>
      </c>
      <c r="C954" s="1" t="s">
        <v>3603</v>
      </c>
      <c r="D954" s="1" t="str">
        <f t="shared" si="1"/>
        <v>OfficeProducts</v>
      </c>
      <c r="E954" s="1" t="str">
        <f t="shared" si="2"/>
        <v>OfficeElectronics</v>
      </c>
      <c r="F954" s="1">
        <v>535.0</v>
      </c>
      <c r="G954" s="1">
        <v>535.0</v>
      </c>
      <c r="H954" s="6">
        <f t="shared" si="3"/>
        <v>0</v>
      </c>
      <c r="I954" s="3">
        <f>IFERROR(__xludf.DUMMYFUNCTION("GOOGLEFINANCE(""CURRENCY:INRBRL"")*F954"),32.582241033849996)</f>
        <v>32.58224103</v>
      </c>
      <c r="J954" s="1">
        <v>4.5</v>
      </c>
      <c r="K954" s="1">
        <v>4426.0</v>
      </c>
      <c r="L954" s="1" t="s">
        <v>3604</v>
      </c>
      <c r="M954" s="7" t="s">
        <v>3605</v>
      </c>
    </row>
    <row r="955">
      <c r="A955" s="1" t="s">
        <v>281</v>
      </c>
      <c r="B955" s="1" t="s">
        <v>282</v>
      </c>
      <c r="C955" s="1" t="s">
        <v>88</v>
      </c>
      <c r="D955" s="1" t="str">
        <f t="shared" si="1"/>
        <v>Electronics</v>
      </c>
      <c r="E955" s="1" t="str">
        <f t="shared" si="2"/>
        <v>HomeTheater,TV&amp;Video</v>
      </c>
      <c r="F955" s="5">
        <v>13999.0</v>
      </c>
      <c r="G955" s="5">
        <v>24999.0</v>
      </c>
      <c r="H955" s="6">
        <f t="shared" si="3"/>
        <v>0.4400176007</v>
      </c>
      <c r="I955" s="3">
        <f>IFERROR(__xludf.DUMMYFUNCTION("GOOGLEFINANCE(""CURRENCY:INRBRL"")*F955"),852.5584901548899)</f>
        <v>852.5584902</v>
      </c>
      <c r="J955" s="1">
        <v>4.5</v>
      </c>
      <c r="K955" s="1">
        <v>45237.0</v>
      </c>
      <c r="L955" s="1" t="s">
        <v>283</v>
      </c>
      <c r="M955" s="7" t="s">
        <v>3606</v>
      </c>
    </row>
    <row r="956">
      <c r="A956" s="1" t="s">
        <v>3607</v>
      </c>
      <c r="B956" s="1" t="s">
        <v>3608</v>
      </c>
      <c r="C956" s="1" t="s">
        <v>2850</v>
      </c>
      <c r="D956" s="1" t="str">
        <f t="shared" si="1"/>
        <v>Computers&amp;Accessories</v>
      </c>
      <c r="E956" s="1" t="str">
        <f t="shared" si="2"/>
        <v>Accessories&amp;Peripherals</v>
      </c>
      <c r="F956" s="1">
        <v>269.0</v>
      </c>
      <c r="G956" s="5">
        <v>1099.0</v>
      </c>
      <c r="H956" s="6">
        <f t="shared" si="3"/>
        <v>0.7552320291</v>
      </c>
      <c r="I956" s="3">
        <f>IFERROR(__xludf.DUMMYFUNCTION("GOOGLEFINANCE(""CURRENCY:INRBRL"")*F956"),16.38247259459)</f>
        <v>16.38247259</v>
      </c>
      <c r="J956" s="1">
        <v>4.49</v>
      </c>
      <c r="K956" s="1">
        <v>1092.0</v>
      </c>
      <c r="L956" s="1" t="s">
        <v>3609</v>
      </c>
      <c r="M956" s="7" t="s">
        <v>3610</v>
      </c>
    </row>
    <row r="957">
      <c r="A957" s="1" t="s">
        <v>3611</v>
      </c>
      <c r="B957" s="1" t="s">
        <v>3612</v>
      </c>
      <c r="C957" s="1" t="s">
        <v>3223</v>
      </c>
      <c r="D957" s="1" t="str">
        <f t="shared" si="1"/>
        <v>OfficeProducts</v>
      </c>
      <c r="E957" s="1" t="str">
        <f t="shared" si="2"/>
        <v>OfficePaperProducts</v>
      </c>
      <c r="F957" s="1">
        <v>341.0</v>
      </c>
      <c r="G957" s="1">
        <v>450.0</v>
      </c>
      <c r="H957" s="6">
        <f t="shared" si="3"/>
        <v>0.2422222222</v>
      </c>
      <c r="I957" s="3">
        <f>IFERROR(__xludf.DUMMYFUNCTION("GOOGLEFINANCE(""CURRENCY:INRBRL"")*F957"),20.76737232251)</f>
        <v>20.76737232</v>
      </c>
      <c r="J957" s="1">
        <v>4.5</v>
      </c>
      <c r="K957" s="1">
        <v>2493.0</v>
      </c>
      <c r="L957" s="1" t="s">
        <v>3613</v>
      </c>
      <c r="M957" s="7" t="s">
        <v>3614</v>
      </c>
    </row>
    <row r="958">
      <c r="A958" s="1" t="s">
        <v>3615</v>
      </c>
      <c r="B958" s="1" t="s">
        <v>3616</v>
      </c>
      <c r="C958" s="1" t="s">
        <v>2523</v>
      </c>
      <c r="D958" s="1" t="str">
        <f t="shared" si="1"/>
        <v>Computers&amp;Accessories</v>
      </c>
      <c r="E958" s="1" t="str">
        <f t="shared" si="2"/>
        <v>NetworkingDevices</v>
      </c>
      <c r="F958" s="5">
        <v>2499.0</v>
      </c>
      <c r="G958" s="5">
        <v>3999.0</v>
      </c>
      <c r="H958" s="6">
        <f t="shared" si="3"/>
        <v>0.3750937734</v>
      </c>
      <c r="I958" s="3">
        <f>IFERROR(__xludf.DUMMYFUNCTION("GOOGLEFINANCE(""CURRENCY:INRBRL"")*F958"),152.19256138989)</f>
        <v>152.1925614</v>
      </c>
      <c r="J958" s="1">
        <v>4.5</v>
      </c>
      <c r="K958" s="1">
        <v>12679.0</v>
      </c>
      <c r="L958" s="1" t="s">
        <v>3617</v>
      </c>
      <c r="M958" s="7" t="s">
        <v>3618</v>
      </c>
    </row>
    <row r="959">
      <c r="A959" s="1" t="s">
        <v>310</v>
      </c>
      <c r="B959" s="1" t="s">
        <v>311</v>
      </c>
      <c r="C959" s="1" t="s">
        <v>22</v>
      </c>
      <c r="D959" s="1" t="str">
        <f t="shared" si="1"/>
        <v>Computers&amp;Accessories</v>
      </c>
      <c r="E959" s="1" t="str">
        <f t="shared" si="2"/>
        <v>Accessories&amp;Peripherals</v>
      </c>
      <c r="F959" s="1">
        <v>349.0</v>
      </c>
      <c r="G959" s="1">
        <v>599.0</v>
      </c>
      <c r="H959" s="6">
        <f t="shared" si="3"/>
        <v>0.4173622705</v>
      </c>
      <c r="I959" s="3">
        <f>IFERROR(__xludf.DUMMYFUNCTION("GOOGLEFINANCE(""CURRENCY:INRBRL"")*F959"),21.25458340339)</f>
        <v>21.2545834</v>
      </c>
      <c r="J959" s="1">
        <v>4.49</v>
      </c>
      <c r="K959" s="1">
        <v>210.0</v>
      </c>
      <c r="L959" s="1" t="s">
        <v>312</v>
      </c>
      <c r="M959" s="7" t="s">
        <v>3619</v>
      </c>
    </row>
    <row r="960">
      <c r="A960" s="1" t="s">
        <v>3620</v>
      </c>
      <c r="B960" s="1" t="s">
        <v>3621</v>
      </c>
      <c r="C960" s="1" t="s">
        <v>3305</v>
      </c>
      <c r="D960" s="1" t="str">
        <f t="shared" si="1"/>
        <v>Computers&amp;Accessories</v>
      </c>
      <c r="E960" s="1" t="str">
        <f t="shared" si="2"/>
        <v>Printers,Inks&amp;Accessories</v>
      </c>
      <c r="F960" s="5">
        <v>5899.0</v>
      </c>
      <c r="G960" s="5">
        <v>7005.0</v>
      </c>
      <c r="H960" s="6">
        <f t="shared" si="3"/>
        <v>0.1578872234</v>
      </c>
      <c r="I960" s="3">
        <f>IFERROR(__xludf.DUMMYFUNCTION("GOOGLEFINANCE(""CURRENCY:INRBRL"")*F960"),359.25727076389)</f>
        <v>359.2572708</v>
      </c>
      <c r="J960" s="1">
        <v>4.51</v>
      </c>
      <c r="K960" s="1">
        <v>4199.0</v>
      </c>
      <c r="L960" s="1" t="s">
        <v>3622</v>
      </c>
      <c r="M960" s="7" t="s">
        <v>3623</v>
      </c>
    </row>
    <row r="961">
      <c r="A961" s="1" t="s">
        <v>2154</v>
      </c>
      <c r="B961" s="1" t="s">
        <v>2155</v>
      </c>
      <c r="C961" s="1" t="s">
        <v>1457</v>
      </c>
      <c r="D961" s="1" t="str">
        <f t="shared" si="1"/>
        <v>Electronics</v>
      </c>
      <c r="E961" s="1" t="str">
        <f t="shared" si="2"/>
        <v>Mobiles&amp;Accessories</v>
      </c>
      <c r="F961" s="1">
        <v>699.0</v>
      </c>
      <c r="G961" s="5">
        <v>1199.0</v>
      </c>
      <c r="H961" s="6">
        <f t="shared" si="3"/>
        <v>0.4170141785</v>
      </c>
      <c r="I961" s="3">
        <f>IFERROR(__xludf.DUMMYFUNCTION("GOOGLEFINANCE(""CURRENCY:INRBRL"")*F961"),42.57006819189)</f>
        <v>42.57006819</v>
      </c>
      <c r="J961" s="1">
        <v>4.0</v>
      </c>
      <c r="K961" s="1">
        <v>14403.0</v>
      </c>
      <c r="L961" s="1" t="s">
        <v>2156</v>
      </c>
      <c r="M961" s="7" t="s">
        <v>3624</v>
      </c>
    </row>
    <row r="962">
      <c r="A962" s="1" t="s">
        <v>3625</v>
      </c>
      <c r="B962" s="1" t="s">
        <v>3626</v>
      </c>
      <c r="C962" s="1" t="s">
        <v>2523</v>
      </c>
      <c r="D962" s="1" t="str">
        <f t="shared" si="1"/>
        <v>Computers&amp;Accessories</v>
      </c>
      <c r="E962" s="1" t="str">
        <f t="shared" si="2"/>
        <v>NetworkingDevices</v>
      </c>
      <c r="F962" s="5">
        <v>1565.0</v>
      </c>
      <c r="G962" s="5">
        <v>2999.0</v>
      </c>
      <c r="H962" s="6">
        <f t="shared" si="3"/>
        <v>0.4781593865</v>
      </c>
      <c r="I962" s="3">
        <f>IFERROR(__xludf.DUMMYFUNCTION("GOOGLEFINANCE(""CURRENCY:INRBRL"")*F962"),95.31066769715)</f>
        <v>95.3106677</v>
      </c>
      <c r="J962" s="1">
        <v>4.0</v>
      </c>
      <c r="K962" s="1">
        <v>11113.0</v>
      </c>
      <c r="L962" s="1" t="s">
        <v>3627</v>
      </c>
      <c r="M962" s="7" t="s">
        <v>3628</v>
      </c>
    </row>
    <row r="963">
      <c r="A963" s="1" t="s">
        <v>3629</v>
      </c>
      <c r="B963" s="1" t="s">
        <v>3630</v>
      </c>
      <c r="C963" s="1" t="s">
        <v>2403</v>
      </c>
      <c r="D963" s="1" t="str">
        <f t="shared" si="1"/>
        <v>Electronics</v>
      </c>
      <c r="E963" s="1" t="str">
        <f t="shared" si="2"/>
        <v>Cameras&amp;Photography</v>
      </c>
      <c r="F963" s="1">
        <v>326.0</v>
      </c>
      <c r="G963" s="1">
        <v>799.0</v>
      </c>
      <c r="H963" s="6">
        <f t="shared" si="3"/>
        <v>0.5919899875</v>
      </c>
      <c r="I963" s="3">
        <f>IFERROR(__xludf.DUMMYFUNCTION("GOOGLEFINANCE(""CURRENCY:INRBRL"")*F963"),19.85385154586)</f>
        <v>19.85385155</v>
      </c>
      <c r="J963" s="1">
        <v>4.5</v>
      </c>
      <c r="K963" s="1">
        <v>10773.0</v>
      </c>
      <c r="L963" s="1" t="s">
        <v>3631</v>
      </c>
      <c r="M963" s="7" t="s">
        <v>3632</v>
      </c>
    </row>
    <row r="964">
      <c r="A964" s="1" t="s">
        <v>2139</v>
      </c>
      <c r="B964" s="1" t="s">
        <v>2140</v>
      </c>
      <c r="C964" s="1" t="s">
        <v>2141</v>
      </c>
      <c r="D964" s="1" t="str">
        <f t="shared" si="1"/>
        <v>Electronics</v>
      </c>
      <c r="E964" s="1" t="str">
        <f t="shared" si="2"/>
        <v>Headphones,Earbuds&amp;Accessories</v>
      </c>
      <c r="F964" s="1">
        <v>120.0</v>
      </c>
      <c r="G964" s="1">
        <v>999.0</v>
      </c>
      <c r="H964" s="6">
        <f t="shared" si="3"/>
        <v>0.8798798799</v>
      </c>
      <c r="I964" s="3">
        <f>IFERROR(__xludf.DUMMYFUNCTION("GOOGLEFINANCE(""CURRENCY:INRBRL"")*F964"),7.3081662132)</f>
        <v>7.308166213</v>
      </c>
      <c r="J964" s="1">
        <v>4.52</v>
      </c>
      <c r="K964" s="1">
        <v>6491.0</v>
      </c>
      <c r="L964" s="1" t="s">
        <v>2142</v>
      </c>
      <c r="M964" s="7" t="s">
        <v>3633</v>
      </c>
    </row>
    <row r="965">
      <c r="A965" s="1" t="s">
        <v>3634</v>
      </c>
      <c r="B965" s="1" t="s">
        <v>3635</v>
      </c>
      <c r="C965" s="1" t="s">
        <v>2384</v>
      </c>
      <c r="D965" s="1" t="str">
        <f t="shared" si="1"/>
        <v>Computers&amp;Accessories</v>
      </c>
      <c r="E965" s="1" t="str">
        <f t="shared" si="2"/>
        <v>ExternalDevices&amp;DataStorage</v>
      </c>
      <c r="F965" s="1">
        <v>657.0</v>
      </c>
      <c r="G965" s="1">
        <v>999.0</v>
      </c>
      <c r="H965" s="6">
        <f t="shared" si="3"/>
        <v>0.3423423423</v>
      </c>
      <c r="I965" s="3">
        <f>IFERROR(__xludf.DUMMYFUNCTION("GOOGLEFINANCE(""CURRENCY:INRBRL"")*F965"),40.01221001727)</f>
        <v>40.01221002</v>
      </c>
      <c r="J965" s="1">
        <v>4.5</v>
      </c>
      <c r="K965" s="1">
        <v>13944.0</v>
      </c>
      <c r="L965" s="1" t="s">
        <v>3636</v>
      </c>
      <c r="M965" s="7" t="s">
        <v>3637</v>
      </c>
    </row>
    <row r="966">
      <c r="A966" s="1" t="s">
        <v>3638</v>
      </c>
      <c r="B966" s="1" t="s">
        <v>3639</v>
      </c>
      <c r="C966" s="1" t="s">
        <v>2475</v>
      </c>
      <c r="D966" s="1" t="str">
        <f t="shared" si="1"/>
        <v>Computers&amp;Accessories</v>
      </c>
      <c r="E966" s="1" t="str">
        <f t="shared" si="2"/>
        <v>Accessories&amp;Peripherals</v>
      </c>
      <c r="F966" s="5">
        <v>1995.0</v>
      </c>
      <c r="G966" s="5">
        <v>2895.0</v>
      </c>
      <c r="H966" s="6">
        <f t="shared" si="3"/>
        <v>0.310880829</v>
      </c>
      <c r="I966" s="3">
        <f>IFERROR(__xludf.DUMMYFUNCTION("GOOGLEFINANCE(""CURRENCY:INRBRL"")*F966"),121.49826329445)</f>
        <v>121.4982633</v>
      </c>
      <c r="J966" s="1">
        <v>4.51</v>
      </c>
      <c r="K966" s="1">
        <v>1076.0</v>
      </c>
      <c r="L966" s="1" t="s">
        <v>3640</v>
      </c>
      <c r="M966" s="7" t="s">
        <v>3641</v>
      </c>
    </row>
    <row r="967">
      <c r="A967" s="1" t="s">
        <v>3642</v>
      </c>
      <c r="B967" s="1" t="s">
        <v>3643</v>
      </c>
      <c r="C967" s="1" t="s">
        <v>2561</v>
      </c>
      <c r="D967" s="1" t="str">
        <f t="shared" si="1"/>
        <v>Electronics</v>
      </c>
      <c r="E967" s="1" t="str">
        <f t="shared" si="2"/>
        <v>#VALUE!</v>
      </c>
      <c r="F967" s="5">
        <v>1499.0</v>
      </c>
      <c r="G967" s="5">
        <v>1499.0</v>
      </c>
      <c r="H967" s="6">
        <f t="shared" si="3"/>
        <v>0</v>
      </c>
      <c r="I967" s="3">
        <f>IFERROR(__xludf.DUMMYFUNCTION("GOOGLEFINANCE(""CURRENCY:INRBRL"")*F967"),91.29117627989)</f>
        <v>91.29117628</v>
      </c>
      <c r="J967" s="1">
        <v>4.5</v>
      </c>
      <c r="K967" s="1">
        <v>25996.0</v>
      </c>
      <c r="L967" s="1" t="s">
        <v>3644</v>
      </c>
      <c r="M967" s="7" t="s">
        <v>3645</v>
      </c>
    </row>
    <row r="968">
      <c r="A968" s="1" t="s">
        <v>3646</v>
      </c>
      <c r="B968" s="1" t="s">
        <v>3647</v>
      </c>
      <c r="C968" s="1" t="s">
        <v>2336</v>
      </c>
      <c r="D968" s="1" t="str">
        <f t="shared" si="1"/>
        <v>Computers&amp;Accessories</v>
      </c>
      <c r="E968" s="1" t="str">
        <f t="shared" si="2"/>
        <v>Accessories&amp;Peripherals</v>
      </c>
      <c r="F968" s="5">
        <v>2649.0</v>
      </c>
      <c r="G968" s="5">
        <v>3195.0</v>
      </c>
      <c r="H968" s="6">
        <f t="shared" si="3"/>
        <v>0.1708920188</v>
      </c>
      <c r="I968" s="3">
        <f>IFERROR(__xludf.DUMMYFUNCTION("GOOGLEFINANCE(""CURRENCY:INRBRL"")*F968"),161.32776915639)</f>
        <v>161.3277692</v>
      </c>
      <c r="J968" s="1">
        <v>4.51</v>
      </c>
      <c r="K968" s="1">
        <v>16146.0</v>
      </c>
      <c r="L968" s="1" t="s">
        <v>3648</v>
      </c>
      <c r="M968" s="7" t="s">
        <v>3649</v>
      </c>
    </row>
    <row r="969">
      <c r="A969" s="1" t="s">
        <v>3650</v>
      </c>
      <c r="B969" s="1" t="s">
        <v>3651</v>
      </c>
      <c r="C969" s="1" t="s">
        <v>3305</v>
      </c>
      <c r="D969" s="1" t="str">
        <f t="shared" si="1"/>
        <v>Computers&amp;Accessories</v>
      </c>
      <c r="E969" s="1" t="str">
        <f t="shared" si="2"/>
        <v>Printers,Inks&amp;Accessories</v>
      </c>
      <c r="F969" s="5">
        <v>5299.0</v>
      </c>
      <c r="G969" s="5">
        <v>6355.0</v>
      </c>
      <c r="H969" s="6">
        <f t="shared" si="3"/>
        <v>0.1661683714</v>
      </c>
      <c r="I969" s="3">
        <f>IFERROR(__xludf.DUMMYFUNCTION("GOOGLEFINANCE(""CURRENCY:INRBRL"")*F969"),322.71643969789)</f>
        <v>322.7164397</v>
      </c>
      <c r="J969" s="1">
        <v>4.52</v>
      </c>
      <c r="K969" s="1">
        <v>828.0</v>
      </c>
      <c r="L969" s="1" t="s">
        <v>3652</v>
      </c>
      <c r="M969" s="7" t="s">
        <v>3653</v>
      </c>
    </row>
    <row r="970">
      <c r="A970" s="1" t="s">
        <v>289</v>
      </c>
      <c r="B970" s="1" t="s">
        <v>290</v>
      </c>
      <c r="C970" s="1" t="s">
        <v>22</v>
      </c>
      <c r="D970" s="1" t="str">
        <f t="shared" si="1"/>
        <v>Computers&amp;Accessories</v>
      </c>
      <c r="E970" s="1" t="str">
        <f t="shared" si="2"/>
        <v>Accessories&amp;Peripherals</v>
      </c>
      <c r="F970" s="1">
        <v>263.0</v>
      </c>
      <c r="G970" s="1">
        <v>699.0</v>
      </c>
      <c r="H970" s="6">
        <f t="shared" si="3"/>
        <v>0.6237482117</v>
      </c>
      <c r="I970" s="3">
        <f>IFERROR(__xludf.DUMMYFUNCTION("GOOGLEFINANCE(""CURRENCY:INRBRL"")*F970"),16.01706428393)</f>
        <v>16.01706428</v>
      </c>
      <c r="J970" s="1">
        <v>4.49</v>
      </c>
      <c r="K970" s="1">
        <v>450.0</v>
      </c>
      <c r="L970" s="1" t="s">
        <v>291</v>
      </c>
      <c r="M970" s="7" t="s">
        <v>3654</v>
      </c>
    </row>
    <row r="971">
      <c r="A971" s="1" t="s">
        <v>3655</v>
      </c>
      <c r="B971" s="1" t="s">
        <v>3656</v>
      </c>
      <c r="C971" s="1" t="s">
        <v>3523</v>
      </c>
      <c r="D971" s="1" t="str">
        <f t="shared" si="1"/>
        <v>Computers&amp;Accessories</v>
      </c>
      <c r="E971" s="1" t="str">
        <f t="shared" si="2"/>
        <v>Accessories&amp;Peripherals</v>
      </c>
      <c r="F971" s="5">
        <v>1999.0</v>
      </c>
      <c r="G971" s="5">
        <v>2999.0</v>
      </c>
      <c r="H971" s="6">
        <f t="shared" si="3"/>
        <v>0.3334444815</v>
      </c>
      <c r="I971" s="3">
        <f>IFERROR(__xludf.DUMMYFUNCTION("GOOGLEFINANCE(""CURRENCY:INRBRL"")*F971"),121.74186883489)</f>
        <v>121.7418688</v>
      </c>
      <c r="J971" s="1">
        <v>4.5</v>
      </c>
      <c r="K971" s="1">
        <v>14237.0</v>
      </c>
      <c r="L971" s="1" t="s">
        <v>3657</v>
      </c>
      <c r="M971" s="7" t="s">
        <v>3658</v>
      </c>
    </row>
    <row r="972">
      <c r="A972" s="1" t="s">
        <v>3659</v>
      </c>
      <c r="B972" s="1" t="s">
        <v>3660</v>
      </c>
      <c r="C972" s="1" t="s">
        <v>3661</v>
      </c>
      <c r="D972" s="1" t="str">
        <f t="shared" si="1"/>
        <v>Electronics</v>
      </c>
      <c r="E972" s="1" t="str">
        <f t="shared" si="2"/>
        <v>PowerAccessories</v>
      </c>
      <c r="F972" s="5">
        <v>1289.0</v>
      </c>
      <c r="G972" s="5">
        <v>1499.0</v>
      </c>
      <c r="H972" s="6">
        <f t="shared" si="3"/>
        <v>0.1400933956</v>
      </c>
      <c r="I972" s="3">
        <f>IFERROR(__xludf.DUMMYFUNCTION("GOOGLEFINANCE(""CURRENCY:INRBRL"")*F972"),78.50188540679)</f>
        <v>78.50188541</v>
      </c>
      <c r="J972" s="1">
        <v>4.51</v>
      </c>
      <c r="K972" s="1">
        <v>20668.0</v>
      </c>
      <c r="L972" s="1" t="s">
        <v>3662</v>
      </c>
      <c r="M972" s="7" t="s">
        <v>3663</v>
      </c>
    </row>
    <row r="973">
      <c r="A973" s="1" t="s">
        <v>3664</v>
      </c>
      <c r="B973" s="1" t="s">
        <v>3665</v>
      </c>
      <c r="C973" s="1" t="s">
        <v>2881</v>
      </c>
      <c r="D973" s="1" t="str">
        <f t="shared" si="1"/>
        <v>OfficeProducts</v>
      </c>
      <c r="E973" s="1" t="str">
        <f t="shared" si="2"/>
        <v>OfficePaperProducts</v>
      </c>
      <c r="F973" s="1">
        <v>165.0</v>
      </c>
      <c r="G973" s="1">
        <v>165.0</v>
      </c>
      <c r="H973" s="6">
        <f t="shared" si="3"/>
        <v>0</v>
      </c>
      <c r="I973" s="3">
        <f>IFERROR(__xludf.DUMMYFUNCTION("GOOGLEFINANCE(""CURRENCY:INRBRL"")*F973"),10.04872854315)</f>
        <v>10.04872854</v>
      </c>
      <c r="J973" s="1">
        <v>4.51</v>
      </c>
      <c r="K973" s="1">
        <v>1674.0</v>
      </c>
      <c r="L973" s="1" t="s">
        <v>3666</v>
      </c>
      <c r="M973" s="7" t="s">
        <v>3667</v>
      </c>
    </row>
    <row r="974">
      <c r="A974" s="1" t="s">
        <v>3668</v>
      </c>
      <c r="B974" s="1" t="s">
        <v>3669</v>
      </c>
      <c r="C974" s="1" t="s">
        <v>3147</v>
      </c>
      <c r="D974" s="1" t="str">
        <f t="shared" si="1"/>
        <v>Computers&amp;Accessories</v>
      </c>
      <c r="E974" s="1" t="str">
        <f t="shared" si="2"/>
        <v>Accessories&amp;Peripherals</v>
      </c>
      <c r="F974" s="5">
        <v>1699.0</v>
      </c>
      <c r="G974" s="5">
        <v>3499.0</v>
      </c>
      <c r="H974" s="6">
        <f t="shared" si="3"/>
        <v>0.5144326951</v>
      </c>
      <c r="I974" s="3">
        <f>IFERROR(__xludf.DUMMYFUNCTION("GOOGLEFINANCE(""CURRENCY:INRBRL"")*F974"),103.47145330189)</f>
        <v>103.4714533</v>
      </c>
      <c r="J974" s="1">
        <v>4.51</v>
      </c>
      <c r="K974" s="1">
        <v>7689.0</v>
      </c>
      <c r="L974" s="1" t="s">
        <v>3670</v>
      </c>
      <c r="M974" s="7" t="s">
        <v>3671</v>
      </c>
    </row>
    <row r="975">
      <c r="A975" s="1" t="s">
        <v>3672</v>
      </c>
      <c r="B975" s="1" t="s">
        <v>3673</v>
      </c>
      <c r="C975" s="1" t="s">
        <v>2721</v>
      </c>
      <c r="D975" s="1" t="str">
        <f t="shared" si="1"/>
        <v>Electronics</v>
      </c>
      <c r="E975" s="1" t="str">
        <f t="shared" si="2"/>
        <v>Cameras&amp;Photography</v>
      </c>
      <c r="F975" s="5">
        <v>2299.0</v>
      </c>
      <c r="G975" s="5">
        <v>7499.0</v>
      </c>
      <c r="H975" s="6">
        <f t="shared" si="3"/>
        <v>0.6934257901</v>
      </c>
      <c r="I975" s="3">
        <f>IFERROR(__xludf.DUMMYFUNCTION("GOOGLEFINANCE(""CURRENCY:INRBRL"")*F975"),140.01228436789)</f>
        <v>140.0122844</v>
      </c>
      <c r="J975" s="1">
        <v>4.49</v>
      </c>
      <c r="K975" s="1">
        <v>5554.0</v>
      </c>
      <c r="L975" s="1" t="s">
        <v>3674</v>
      </c>
      <c r="M975" s="7" t="s">
        <v>3675</v>
      </c>
    </row>
    <row r="976">
      <c r="A976" s="1" t="s">
        <v>302</v>
      </c>
      <c r="B976" s="1" t="s">
        <v>303</v>
      </c>
      <c r="C976" s="1" t="s">
        <v>22</v>
      </c>
      <c r="D976" s="1" t="str">
        <f t="shared" si="1"/>
        <v>Computers&amp;Accessories</v>
      </c>
      <c r="E976" s="1" t="str">
        <f t="shared" si="2"/>
        <v>Accessories&amp;Peripherals</v>
      </c>
      <c r="F976" s="1">
        <v>219.0</v>
      </c>
      <c r="G976" s="1">
        <v>700.0</v>
      </c>
      <c r="H976" s="6">
        <f t="shared" si="3"/>
        <v>0.6871428571</v>
      </c>
      <c r="I976" s="3">
        <f>IFERROR(__xludf.DUMMYFUNCTION("GOOGLEFINANCE(""CURRENCY:INRBRL"")*F976"),13.337403339089999)</f>
        <v>13.33740334</v>
      </c>
      <c r="J976" s="1">
        <v>4.5</v>
      </c>
      <c r="K976" s="1">
        <v>20053.0</v>
      </c>
      <c r="L976" s="1" t="s">
        <v>304</v>
      </c>
      <c r="M976" s="7" t="s">
        <v>3676</v>
      </c>
    </row>
    <row r="977">
      <c r="A977" s="1" t="s">
        <v>3677</v>
      </c>
      <c r="B977" s="1" t="s">
        <v>3678</v>
      </c>
      <c r="C977" s="1" t="s">
        <v>2689</v>
      </c>
      <c r="D977" s="1" t="str">
        <f t="shared" si="1"/>
        <v>Computers&amp;Accessories</v>
      </c>
      <c r="E977" s="1" t="str">
        <f t="shared" si="2"/>
        <v>Accessories&amp;Peripherals</v>
      </c>
      <c r="F977" s="1">
        <v>39.0</v>
      </c>
      <c r="G977" s="1">
        <v>39.0</v>
      </c>
      <c r="H977" s="6">
        <f t="shared" si="3"/>
        <v>0</v>
      </c>
      <c r="I977" s="3">
        <f>IFERROR(__xludf.DUMMYFUNCTION("GOOGLEFINANCE(""CURRENCY:INRBRL"")*F977"),2.37515401929)</f>
        <v>2.375154019</v>
      </c>
      <c r="J977" s="1">
        <v>4.51</v>
      </c>
      <c r="K977" s="1">
        <v>3344.0</v>
      </c>
      <c r="L977" s="1" t="s">
        <v>3679</v>
      </c>
      <c r="M977" s="7" t="s">
        <v>3680</v>
      </c>
    </row>
    <row r="978">
      <c r="A978" s="1" t="s">
        <v>3681</v>
      </c>
      <c r="B978" s="1" t="s">
        <v>3682</v>
      </c>
      <c r="C978" s="1" t="s">
        <v>3683</v>
      </c>
      <c r="D978" s="1" t="str">
        <f t="shared" si="1"/>
        <v>Computers&amp;Accessories</v>
      </c>
      <c r="E978" s="1" t="str">
        <f t="shared" si="2"/>
        <v>#VALUE!</v>
      </c>
      <c r="F978" s="1">
        <v>27.0</v>
      </c>
      <c r="G978" s="1">
        <v>38.0</v>
      </c>
      <c r="H978" s="6">
        <f t="shared" si="3"/>
        <v>0.2894736842</v>
      </c>
      <c r="I978" s="3">
        <f>IFERROR(__xludf.DUMMYFUNCTION("GOOGLEFINANCE(""CURRENCY:INRBRL"")*F978"),1.64433739797)</f>
        <v>1.644337398</v>
      </c>
      <c r="J978" s="1">
        <v>4.51</v>
      </c>
      <c r="K978" s="1">
        <v>2886.0</v>
      </c>
      <c r="L978" s="1" t="s">
        <v>3684</v>
      </c>
      <c r="M978" s="7" t="s">
        <v>3685</v>
      </c>
    </row>
    <row r="979">
      <c r="A979" s="1" t="s">
        <v>3686</v>
      </c>
      <c r="B979" s="1" t="s">
        <v>3687</v>
      </c>
      <c r="C979" s="1" t="s">
        <v>1412</v>
      </c>
      <c r="D979" s="1" t="str">
        <f t="shared" si="1"/>
        <v>Electronics</v>
      </c>
      <c r="E979" s="1" t="str">
        <f t="shared" si="2"/>
        <v>Headphones,Earbuds&amp;Accessories</v>
      </c>
      <c r="F979" s="5">
        <v>1499.0</v>
      </c>
      <c r="G979" s="5">
        <v>1999.0</v>
      </c>
      <c r="H979" s="6">
        <f t="shared" si="3"/>
        <v>0.2501250625</v>
      </c>
      <c r="I979" s="3">
        <f>IFERROR(__xludf.DUMMYFUNCTION("GOOGLEFINANCE(""CURRENCY:INRBRL"")*F979"),91.29117627989)</f>
        <v>91.29117628</v>
      </c>
      <c r="J979" s="1">
        <v>4.49</v>
      </c>
      <c r="K979" s="1">
        <v>9825.0</v>
      </c>
      <c r="L979" s="1" t="s">
        <v>3688</v>
      </c>
      <c r="M979" s="7" t="s">
        <v>3689</v>
      </c>
    </row>
    <row r="980">
      <c r="A980" s="1" t="s">
        <v>3690</v>
      </c>
      <c r="B980" s="1" t="s">
        <v>3691</v>
      </c>
      <c r="C980" s="1" t="s">
        <v>2284</v>
      </c>
      <c r="D980" s="1" t="str">
        <f t="shared" si="1"/>
        <v>Computers&amp;Accessories</v>
      </c>
      <c r="E980" s="1" t="str">
        <f t="shared" si="2"/>
        <v>Accessories&amp;Peripherals</v>
      </c>
      <c r="F980" s="1">
        <v>398.0</v>
      </c>
      <c r="G980" s="5">
        <v>1949.0</v>
      </c>
      <c r="H980" s="6">
        <f t="shared" si="3"/>
        <v>0.7957927142</v>
      </c>
      <c r="I980" s="3">
        <f>IFERROR(__xludf.DUMMYFUNCTION("GOOGLEFINANCE(""CURRENCY:INRBRL"")*F980"),24.23875127378)</f>
        <v>24.23875127</v>
      </c>
      <c r="J980" s="1">
        <v>4.0</v>
      </c>
      <c r="K980" s="1">
        <v>75.0</v>
      </c>
      <c r="L980" s="1" t="s">
        <v>3692</v>
      </c>
      <c r="M980" s="7" t="s">
        <v>3693</v>
      </c>
    </row>
    <row r="981">
      <c r="A981" s="1" t="s">
        <v>306</v>
      </c>
      <c r="B981" s="1" t="s">
        <v>307</v>
      </c>
      <c r="C981" s="1" t="s">
        <v>22</v>
      </c>
      <c r="D981" s="1" t="str">
        <f t="shared" si="1"/>
        <v>Computers&amp;Accessories</v>
      </c>
      <c r="E981" s="1" t="str">
        <f t="shared" si="2"/>
        <v>Accessories&amp;Peripherals</v>
      </c>
      <c r="F981" s="1">
        <v>349.0</v>
      </c>
      <c r="G981" s="1">
        <v>899.0</v>
      </c>
      <c r="H981" s="6">
        <f t="shared" si="3"/>
        <v>0.6117908788</v>
      </c>
      <c r="I981" s="3">
        <f>IFERROR(__xludf.DUMMYFUNCTION("GOOGLEFINANCE(""CURRENCY:INRBRL"")*F981"),21.25458340339)</f>
        <v>21.2545834</v>
      </c>
      <c r="J981" s="1">
        <v>4.51</v>
      </c>
      <c r="K981" s="1">
        <v>149.0</v>
      </c>
      <c r="L981" s="1" t="s">
        <v>308</v>
      </c>
      <c r="M981" s="7" t="s">
        <v>3694</v>
      </c>
    </row>
    <row r="982">
      <c r="A982" s="1" t="s">
        <v>3695</v>
      </c>
      <c r="B982" s="1" t="s">
        <v>3696</v>
      </c>
      <c r="C982" s="1" t="s">
        <v>3147</v>
      </c>
      <c r="D982" s="1" t="str">
        <f t="shared" si="1"/>
        <v>Computers&amp;Accessories</v>
      </c>
      <c r="E982" s="1" t="str">
        <f t="shared" si="2"/>
        <v>Accessories&amp;Peripherals</v>
      </c>
      <c r="F982" s="1">
        <v>770.0</v>
      </c>
      <c r="G982" s="5">
        <v>1547.0</v>
      </c>
      <c r="H982" s="6">
        <f t="shared" si="3"/>
        <v>0.5022624434</v>
      </c>
      <c r="I982" s="3">
        <f>IFERROR(__xludf.DUMMYFUNCTION("GOOGLEFINANCE(""CURRENCY:INRBRL"")*F982"),46.894066534699995)</f>
        <v>46.89406653</v>
      </c>
      <c r="J982" s="1">
        <v>4.5</v>
      </c>
      <c r="K982" s="1">
        <v>2585.0</v>
      </c>
      <c r="L982" s="1" t="s">
        <v>3697</v>
      </c>
      <c r="M982" s="7" t="s">
        <v>3698</v>
      </c>
    </row>
    <row r="983">
      <c r="A983" s="1" t="s">
        <v>3699</v>
      </c>
      <c r="B983" s="1" t="s">
        <v>3700</v>
      </c>
      <c r="C983" s="1" t="s">
        <v>1618</v>
      </c>
      <c r="D983" s="1" t="str">
        <f t="shared" si="1"/>
        <v>Electronics</v>
      </c>
      <c r="E983" s="1" t="str">
        <f t="shared" si="2"/>
        <v>Mobiles&amp;Accessories</v>
      </c>
      <c r="F983" s="1">
        <v>279.0</v>
      </c>
      <c r="G983" s="5">
        <v>1299.0</v>
      </c>
      <c r="H983" s="6">
        <f t="shared" si="3"/>
        <v>0.7852193995</v>
      </c>
      <c r="I983" s="3">
        <f>IFERROR(__xludf.DUMMYFUNCTION("GOOGLEFINANCE(""CURRENCY:INRBRL"")*F983"),16.99148644569)</f>
        <v>16.99148645</v>
      </c>
      <c r="J983" s="1">
        <v>4.0</v>
      </c>
      <c r="K983" s="1">
        <v>5072.0</v>
      </c>
      <c r="L983" s="1" t="s">
        <v>3701</v>
      </c>
      <c r="M983" s="7" t="s">
        <v>3702</v>
      </c>
    </row>
    <row r="984">
      <c r="A984" s="1" t="s">
        <v>3703</v>
      </c>
      <c r="B984" s="1" t="s">
        <v>3704</v>
      </c>
      <c r="C984" s="1" t="s">
        <v>3705</v>
      </c>
      <c r="D984" s="1" t="str">
        <f t="shared" si="1"/>
        <v>HomeImprovement</v>
      </c>
      <c r="E984" s="1" t="str">
        <f t="shared" si="2"/>
        <v>Electrical</v>
      </c>
      <c r="F984" s="1">
        <v>249.0</v>
      </c>
      <c r="G984" s="1">
        <v>599.0</v>
      </c>
      <c r="H984" s="6">
        <f t="shared" si="3"/>
        <v>0.5843071786</v>
      </c>
      <c r="I984" s="3">
        <f>IFERROR(__xludf.DUMMYFUNCTION("GOOGLEFINANCE(""CURRENCY:INRBRL"")*F984"),15.16444489239)</f>
        <v>15.16444489</v>
      </c>
      <c r="J984" s="1">
        <v>4.51</v>
      </c>
      <c r="K984" s="1">
        <v>5985.0</v>
      </c>
      <c r="L984" s="1" t="s">
        <v>3706</v>
      </c>
      <c r="M984" s="7" t="s">
        <v>3707</v>
      </c>
    </row>
    <row r="985">
      <c r="A985" s="1" t="s">
        <v>318</v>
      </c>
      <c r="B985" s="1" t="s">
        <v>319</v>
      </c>
      <c r="C985" s="1" t="s">
        <v>22</v>
      </c>
      <c r="D985" s="1" t="str">
        <f t="shared" si="1"/>
        <v>Computers&amp;Accessories</v>
      </c>
      <c r="E985" s="1" t="str">
        <f t="shared" si="2"/>
        <v>Accessories&amp;Peripherals</v>
      </c>
      <c r="F985" s="1">
        <v>115.0</v>
      </c>
      <c r="G985" s="1">
        <v>499.0</v>
      </c>
      <c r="H985" s="6">
        <f t="shared" si="3"/>
        <v>0.7695390782</v>
      </c>
      <c r="I985" s="3">
        <f>IFERROR(__xludf.DUMMYFUNCTION("GOOGLEFINANCE(""CURRENCY:INRBRL"")*F985"),7.00365928765)</f>
        <v>7.003659288</v>
      </c>
      <c r="J985" s="1">
        <v>4.0</v>
      </c>
      <c r="K985" s="1">
        <v>7732.0</v>
      </c>
      <c r="L985" s="1" t="s">
        <v>320</v>
      </c>
      <c r="M985" s="7" t="s">
        <v>3708</v>
      </c>
    </row>
    <row r="986">
      <c r="A986" s="1" t="s">
        <v>3709</v>
      </c>
      <c r="B986" s="1" t="s">
        <v>3710</v>
      </c>
      <c r="C986" s="1" t="s">
        <v>3711</v>
      </c>
      <c r="D986" s="1" t="str">
        <f t="shared" si="1"/>
        <v>Home&amp;Kitchen</v>
      </c>
      <c r="E986" s="1" t="str">
        <f t="shared" si="2"/>
        <v>CraftMaterials</v>
      </c>
      <c r="F986" s="1">
        <v>230.0</v>
      </c>
      <c r="G986" s="1">
        <v>230.0</v>
      </c>
      <c r="H986" s="6">
        <f t="shared" si="3"/>
        <v>0</v>
      </c>
      <c r="I986" s="3">
        <f>IFERROR(__xludf.DUMMYFUNCTION("GOOGLEFINANCE(""CURRENCY:INRBRL"")*F986"),14.0073185753)</f>
        <v>14.00731858</v>
      </c>
      <c r="J986" s="1">
        <v>4.51</v>
      </c>
      <c r="K986" s="1">
        <v>9427.0</v>
      </c>
      <c r="L986" s="1" t="s">
        <v>3712</v>
      </c>
      <c r="M986" s="7" t="s">
        <v>3713</v>
      </c>
    </row>
    <row r="987">
      <c r="A987" s="1" t="s">
        <v>322</v>
      </c>
      <c r="B987" s="1" t="s">
        <v>323</v>
      </c>
      <c r="C987" s="1" t="s">
        <v>22</v>
      </c>
      <c r="D987" s="1" t="str">
        <f t="shared" si="1"/>
        <v>Computers&amp;Accessories</v>
      </c>
      <c r="E987" s="1" t="str">
        <f t="shared" si="2"/>
        <v>Accessories&amp;Peripherals</v>
      </c>
      <c r="F987" s="1">
        <v>399.0</v>
      </c>
      <c r="G987" s="1">
        <v>999.0</v>
      </c>
      <c r="H987" s="6">
        <f t="shared" si="3"/>
        <v>0.6006006006</v>
      </c>
      <c r="I987" s="3">
        <f>IFERROR(__xludf.DUMMYFUNCTION("GOOGLEFINANCE(""CURRENCY:INRBRL"")*F987"),24.29965265889)</f>
        <v>24.29965266</v>
      </c>
      <c r="J987" s="1">
        <v>4.49</v>
      </c>
      <c r="K987" s="1">
        <v>178.0</v>
      </c>
      <c r="L987" s="1" t="s">
        <v>324</v>
      </c>
      <c r="M987" s="7" t="s">
        <v>3714</v>
      </c>
    </row>
    <row r="988">
      <c r="A988" s="1" t="s">
        <v>3715</v>
      </c>
      <c r="B988" s="1" t="s">
        <v>3716</v>
      </c>
      <c r="C988" s="1" t="s">
        <v>2475</v>
      </c>
      <c r="D988" s="1" t="str">
        <f t="shared" si="1"/>
        <v>Computers&amp;Accessories</v>
      </c>
      <c r="E988" s="1" t="str">
        <f t="shared" si="2"/>
        <v>Accessories&amp;Peripherals</v>
      </c>
      <c r="F988" s="1">
        <v>599.0</v>
      </c>
      <c r="G988" s="1">
        <v>700.0</v>
      </c>
      <c r="H988" s="6">
        <f t="shared" si="3"/>
        <v>0.1442857143</v>
      </c>
      <c r="I988" s="3">
        <f>IFERROR(__xludf.DUMMYFUNCTION("GOOGLEFINANCE(""CURRENCY:INRBRL"")*F988"),36.479929680889995)</f>
        <v>36.47992968</v>
      </c>
      <c r="J988" s="1">
        <v>4.5</v>
      </c>
      <c r="K988" s="1">
        <v>2301.0</v>
      </c>
      <c r="L988" s="1" t="s">
        <v>3717</v>
      </c>
      <c r="M988" s="7" t="s">
        <v>3718</v>
      </c>
    </row>
    <row r="989">
      <c r="A989" s="1" t="s">
        <v>3719</v>
      </c>
      <c r="B989" s="1" t="s">
        <v>3720</v>
      </c>
      <c r="C989" s="1" t="s">
        <v>3721</v>
      </c>
      <c r="D989" s="1" t="str">
        <f t="shared" si="1"/>
        <v>Computers&amp;Accessories</v>
      </c>
      <c r="E989" s="1" t="str">
        <f t="shared" si="2"/>
        <v>Printers,Inks&amp;Accessories</v>
      </c>
      <c r="F989" s="1">
        <v>598.0</v>
      </c>
      <c r="G989" s="5">
        <v>1159.0</v>
      </c>
      <c r="H989" s="6">
        <f t="shared" si="3"/>
        <v>0.4840379638</v>
      </c>
      <c r="I989" s="3">
        <f>IFERROR(__xludf.DUMMYFUNCTION("GOOGLEFINANCE(""CURRENCY:INRBRL"")*F989"),36.419028295779995)</f>
        <v>36.4190283</v>
      </c>
      <c r="J989" s="1">
        <v>4.49</v>
      </c>
      <c r="K989" s="1">
        <v>2535.0</v>
      </c>
      <c r="L989" s="1" t="s">
        <v>3722</v>
      </c>
      <c r="M989" s="7" t="s">
        <v>3723</v>
      </c>
    </row>
    <row r="990">
      <c r="A990" s="1" t="s">
        <v>3724</v>
      </c>
      <c r="B990" s="1" t="s">
        <v>3725</v>
      </c>
      <c r="C990" s="1" t="s">
        <v>2762</v>
      </c>
      <c r="D990" s="1" t="str">
        <f t="shared" si="1"/>
        <v>Computers&amp;Accessories</v>
      </c>
      <c r="E990" s="1" t="str">
        <f t="shared" si="2"/>
        <v>Accessories&amp;Peripherals</v>
      </c>
      <c r="F990" s="1">
        <v>399.0</v>
      </c>
      <c r="G990" s="5">
        <v>1499.0</v>
      </c>
      <c r="H990" s="6">
        <f t="shared" si="3"/>
        <v>0.7338225484</v>
      </c>
      <c r="I990" s="3">
        <f>IFERROR(__xludf.DUMMYFUNCTION("GOOGLEFINANCE(""CURRENCY:INRBRL"")*F990"),24.29965265889)</f>
        <v>24.29965266</v>
      </c>
      <c r="J990" s="1">
        <v>4.0</v>
      </c>
      <c r="K990" s="1">
        <v>691.0</v>
      </c>
      <c r="L990" s="1" t="s">
        <v>3726</v>
      </c>
      <c r="M990" s="7" t="s">
        <v>3727</v>
      </c>
    </row>
    <row r="991">
      <c r="A991" s="1" t="s">
        <v>3728</v>
      </c>
      <c r="B991" s="1" t="s">
        <v>3729</v>
      </c>
      <c r="C991" s="1" t="s">
        <v>2284</v>
      </c>
      <c r="D991" s="1" t="str">
        <f t="shared" si="1"/>
        <v>Computers&amp;Accessories</v>
      </c>
      <c r="E991" s="1" t="str">
        <f t="shared" si="2"/>
        <v>Accessories&amp;Peripherals</v>
      </c>
      <c r="F991" s="1">
        <v>499.0</v>
      </c>
      <c r="G991" s="5">
        <v>1299.0</v>
      </c>
      <c r="H991" s="6">
        <f t="shared" si="3"/>
        <v>0.6158583526</v>
      </c>
      <c r="I991" s="3">
        <f>IFERROR(__xludf.DUMMYFUNCTION("GOOGLEFINANCE(""CURRENCY:INRBRL"")*F991"),30.38979116989)</f>
        <v>30.38979117</v>
      </c>
      <c r="J991" s="1">
        <v>4.49</v>
      </c>
      <c r="K991" s="1">
        <v>274.0</v>
      </c>
      <c r="L991" s="1" t="s">
        <v>3730</v>
      </c>
      <c r="M991" s="7" t="s">
        <v>3731</v>
      </c>
    </row>
    <row r="992">
      <c r="A992" s="1" t="s">
        <v>326</v>
      </c>
      <c r="B992" s="1" t="s">
        <v>327</v>
      </c>
      <c r="C992" s="1" t="s">
        <v>22</v>
      </c>
      <c r="D992" s="1" t="str">
        <f t="shared" si="1"/>
        <v>Computers&amp;Accessories</v>
      </c>
      <c r="E992" s="1" t="str">
        <f t="shared" si="2"/>
        <v>Accessories&amp;Peripherals</v>
      </c>
      <c r="F992" s="1">
        <v>199.0</v>
      </c>
      <c r="G992" s="1">
        <v>499.0</v>
      </c>
      <c r="H992" s="6">
        <f t="shared" si="3"/>
        <v>0.6012024048</v>
      </c>
      <c r="I992" s="3">
        <f>IFERROR(__xludf.DUMMYFUNCTION("GOOGLEFINANCE(""CURRENCY:INRBRL"")*F992"),12.11937563689)</f>
        <v>12.11937564</v>
      </c>
      <c r="J992" s="1">
        <v>4.49</v>
      </c>
      <c r="K992" s="1">
        <v>602.0</v>
      </c>
      <c r="L992" s="1" t="s">
        <v>328</v>
      </c>
      <c r="M992" s="7" t="s">
        <v>3732</v>
      </c>
    </row>
    <row r="993">
      <c r="A993" s="1" t="s">
        <v>3733</v>
      </c>
      <c r="B993" s="1" t="s">
        <v>3734</v>
      </c>
      <c r="C993" s="1" t="s">
        <v>2270</v>
      </c>
      <c r="D993" s="1" t="str">
        <f t="shared" si="1"/>
        <v>Computers&amp;Accessories</v>
      </c>
      <c r="E993" s="1" t="str">
        <f t="shared" si="2"/>
        <v>Accessories&amp;Peripherals</v>
      </c>
      <c r="F993" s="1">
        <v>579.0</v>
      </c>
      <c r="G993" s="5">
        <v>1099.0</v>
      </c>
      <c r="H993" s="6">
        <f t="shared" si="3"/>
        <v>0.4731574158</v>
      </c>
      <c r="I993" s="3">
        <f>IFERROR(__xludf.DUMMYFUNCTION("GOOGLEFINANCE(""CURRENCY:INRBRL"")*F993"),35.26190197869)</f>
        <v>35.26190198</v>
      </c>
      <c r="J993" s="1">
        <v>4.5</v>
      </c>
      <c r="K993" s="1">
        <v>3482.0</v>
      </c>
      <c r="L993" s="1" t="s">
        <v>3735</v>
      </c>
      <c r="M993" s="7" t="s">
        <v>3736</v>
      </c>
    </row>
    <row r="994">
      <c r="A994" s="1" t="s">
        <v>330</v>
      </c>
      <c r="B994" s="1" t="s">
        <v>331</v>
      </c>
      <c r="C994" s="1" t="s">
        <v>22</v>
      </c>
      <c r="D994" s="1" t="str">
        <f t="shared" si="1"/>
        <v>Computers&amp;Accessories</v>
      </c>
      <c r="E994" s="1" t="str">
        <f t="shared" si="2"/>
        <v>Accessories&amp;Peripherals</v>
      </c>
      <c r="F994" s="1">
        <v>179.0</v>
      </c>
      <c r="G994" s="1">
        <v>399.0</v>
      </c>
      <c r="H994" s="6">
        <f t="shared" si="3"/>
        <v>0.5513784461</v>
      </c>
      <c r="I994" s="3">
        <f>IFERROR(__xludf.DUMMYFUNCTION("GOOGLEFINANCE(""CURRENCY:INRBRL"")*F994"),10.90134793469)</f>
        <v>10.90134793</v>
      </c>
      <c r="J994" s="1">
        <v>4.0</v>
      </c>
      <c r="K994" s="1">
        <v>1423.0</v>
      </c>
      <c r="L994" s="1" t="s">
        <v>332</v>
      </c>
      <c r="M994" s="7" t="s">
        <v>3737</v>
      </c>
    </row>
    <row r="995">
      <c r="A995" s="1" t="s">
        <v>3738</v>
      </c>
      <c r="B995" s="1" t="s">
        <v>3739</v>
      </c>
      <c r="C995" s="1" t="s">
        <v>3740</v>
      </c>
      <c r="D995" s="1" t="str">
        <f t="shared" si="1"/>
        <v>OfficeProducts</v>
      </c>
      <c r="E995" s="1" t="str">
        <f t="shared" si="2"/>
        <v>OfficePaperProducts</v>
      </c>
      <c r="F995" s="1">
        <v>90.0</v>
      </c>
      <c r="G995" s="1">
        <v>100.0</v>
      </c>
      <c r="H995" s="6">
        <f t="shared" si="3"/>
        <v>0.1</v>
      </c>
      <c r="I995" s="3">
        <f>IFERROR(__xludf.DUMMYFUNCTION("GOOGLEFINANCE(""CURRENCY:INRBRL"")*F995"),5.4811246599)</f>
        <v>5.48112466</v>
      </c>
      <c r="J995" s="1">
        <v>4.49</v>
      </c>
      <c r="K995" s="1">
        <v>6199.0</v>
      </c>
      <c r="L995" s="1" t="s">
        <v>3741</v>
      </c>
      <c r="M995" s="7" t="s">
        <v>3742</v>
      </c>
    </row>
    <row r="996">
      <c r="A996" s="1" t="s">
        <v>3743</v>
      </c>
      <c r="B996" s="1" t="s">
        <v>3744</v>
      </c>
      <c r="C996" s="1" t="s">
        <v>2284</v>
      </c>
      <c r="D996" s="1" t="str">
        <f t="shared" si="1"/>
        <v>Computers&amp;Accessories</v>
      </c>
      <c r="E996" s="1" t="str">
        <f t="shared" si="2"/>
        <v>Accessories&amp;Peripherals</v>
      </c>
      <c r="F996" s="1">
        <v>899.0</v>
      </c>
      <c r="G996" s="5">
        <v>1999.0</v>
      </c>
      <c r="H996" s="6">
        <f t="shared" si="3"/>
        <v>0.5502751376</v>
      </c>
      <c r="I996" s="3">
        <f>IFERROR(__xludf.DUMMYFUNCTION("GOOGLEFINANCE(""CURRENCY:INRBRL"")*F996"),54.75034521389)</f>
        <v>54.75034521</v>
      </c>
      <c r="J996" s="1">
        <v>4.5</v>
      </c>
      <c r="K996" s="1">
        <v>1667.0</v>
      </c>
      <c r="L996" s="1" t="s">
        <v>3745</v>
      </c>
      <c r="M996" s="7" t="s">
        <v>3746</v>
      </c>
    </row>
    <row r="997">
      <c r="A997" s="1" t="s">
        <v>3747</v>
      </c>
      <c r="B997" s="1" t="s">
        <v>3748</v>
      </c>
      <c r="C997" s="1" t="s">
        <v>3430</v>
      </c>
      <c r="D997" s="1" t="str">
        <f t="shared" si="1"/>
        <v>Computers&amp;Accessories</v>
      </c>
      <c r="E997" s="1" t="str">
        <f t="shared" si="2"/>
        <v>Accessories&amp;Peripherals</v>
      </c>
      <c r="F997" s="5">
        <v>1149.0</v>
      </c>
      <c r="G997" s="5">
        <v>1799.0</v>
      </c>
      <c r="H997" s="6">
        <f t="shared" si="3"/>
        <v>0.3613118399</v>
      </c>
      <c r="I997" s="3">
        <f>IFERROR(__xludf.DUMMYFUNCTION("GOOGLEFINANCE(""CURRENCY:INRBRL"")*F997"),69.97569149139)</f>
        <v>69.97569149</v>
      </c>
      <c r="J997" s="1">
        <v>4.5</v>
      </c>
      <c r="K997" s="1">
        <v>4723.0</v>
      </c>
      <c r="L997" s="1" t="s">
        <v>3749</v>
      </c>
      <c r="M997" s="7" t="s">
        <v>3750</v>
      </c>
    </row>
    <row r="998">
      <c r="A998" s="1" t="s">
        <v>3751</v>
      </c>
      <c r="B998" s="1" t="s">
        <v>3752</v>
      </c>
      <c r="C998" s="1" t="s">
        <v>2850</v>
      </c>
      <c r="D998" s="1" t="str">
        <f t="shared" si="1"/>
        <v>Computers&amp;Accessories</v>
      </c>
      <c r="E998" s="1" t="str">
        <f t="shared" si="2"/>
        <v>Accessories&amp;Peripherals</v>
      </c>
      <c r="F998" s="1">
        <v>249.0</v>
      </c>
      <c r="G998" s="1">
        <v>499.0</v>
      </c>
      <c r="H998" s="6">
        <f t="shared" si="3"/>
        <v>0.501002004</v>
      </c>
      <c r="I998" s="3">
        <f>IFERROR(__xludf.DUMMYFUNCTION("GOOGLEFINANCE(""CURRENCY:INRBRL"")*F998"),15.16444489239)</f>
        <v>15.16444489</v>
      </c>
      <c r="J998" s="1">
        <v>4.5</v>
      </c>
      <c r="K998" s="1">
        <v>2286.0</v>
      </c>
      <c r="L998" s="1" t="s">
        <v>3753</v>
      </c>
      <c r="M998" s="7" t="s">
        <v>3754</v>
      </c>
    </row>
    <row r="999">
      <c r="A999" s="1" t="s">
        <v>3755</v>
      </c>
      <c r="B999" s="1" t="s">
        <v>3756</v>
      </c>
      <c r="C999" s="1" t="s">
        <v>2689</v>
      </c>
      <c r="D999" s="1" t="str">
        <f t="shared" si="1"/>
        <v>Computers&amp;Accessories</v>
      </c>
      <c r="E999" s="1" t="str">
        <f t="shared" si="2"/>
        <v>Accessories&amp;Peripherals</v>
      </c>
      <c r="F999" s="1">
        <v>39.0</v>
      </c>
      <c r="G999" s="1">
        <v>39.0</v>
      </c>
      <c r="H999" s="6">
        <f t="shared" si="3"/>
        <v>0</v>
      </c>
      <c r="I999" s="3">
        <f>IFERROR(__xludf.DUMMYFUNCTION("GOOGLEFINANCE(""CURRENCY:INRBRL"")*F999"),2.37515401929)</f>
        <v>2.375154019</v>
      </c>
      <c r="J999" s="1">
        <v>4.51</v>
      </c>
      <c r="K999" s="1">
        <v>13572.0</v>
      </c>
      <c r="L999" s="1" t="s">
        <v>3679</v>
      </c>
      <c r="M999" s="7" t="s">
        <v>3757</v>
      </c>
    </row>
    <row r="1000">
      <c r="A1000" s="1" t="s">
        <v>3758</v>
      </c>
      <c r="B1000" s="1" t="s">
        <v>3759</v>
      </c>
      <c r="C1000" s="1" t="s">
        <v>2428</v>
      </c>
      <c r="D1000" s="1" t="str">
        <f t="shared" si="1"/>
        <v>Computers&amp;Accessories</v>
      </c>
      <c r="E1000" s="1" t="str">
        <f t="shared" si="2"/>
        <v>NetworkingDevices</v>
      </c>
      <c r="F1000" s="5">
        <v>1599.0</v>
      </c>
      <c r="G1000" s="5">
        <v>3599.0</v>
      </c>
      <c r="H1000" s="6">
        <f t="shared" si="3"/>
        <v>0.5557099194</v>
      </c>
      <c r="I1000" s="3">
        <f>IFERROR(__xludf.DUMMYFUNCTION("GOOGLEFINANCE(""CURRENCY:INRBRL"")*F1000"),97.38131479089)</f>
        <v>97.38131479</v>
      </c>
      <c r="J1000" s="1">
        <v>4.5</v>
      </c>
      <c r="K1000" s="1">
        <v>16182.0</v>
      </c>
      <c r="L1000" s="1" t="s">
        <v>3760</v>
      </c>
      <c r="M1000" s="7" t="s">
        <v>3761</v>
      </c>
    </row>
    <row r="1001">
      <c r="A1001" s="1" t="s">
        <v>3762</v>
      </c>
      <c r="B1001" s="1" t="s">
        <v>3763</v>
      </c>
      <c r="C1001" s="1" t="s">
        <v>2554</v>
      </c>
      <c r="D1001" s="1" t="str">
        <f t="shared" si="1"/>
        <v>Electronics</v>
      </c>
      <c r="E1001" s="1" t="str">
        <f t="shared" si="2"/>
        <v>HomeAudio</v>
      </c>
      <c r="F1001" s="5">
        <v>1199.0</v>
      </c>
      <c r="G1001" s="5">
        <v>3999.0</v>
      </c>
      <c r="H1001" s="6">
        <f t="shared" si="3"/>
        <v>0.7001750438</v>
      </c>
      <c r="I1001" s="3">
        <f>IFERROR(__xludf.DUMMYFUNCTION("GOOGLEFINANCE(""CURRENCY:INRBRL"")*F1001"),73.02076074688999)</f>
        <v>73.02076075</v>
      </c>
      <c r="J1001" s="1">
        <v>4.5</v>
      </c>
      <c r="K1001" s="1">
        <v>2908.0</v>
      </c>
      <c r="L1001" s="1" t="s">
        <v>3764</v>
      </c>
      <c r="M1001" s="7" t="s">
        <v>3765</v>
      </c>
    </row>
    <row r="1002">
      <c r="A1002" s="1" t="s">
        <v>338</v>
      </c>
      <c r="B1002" s="1" t="s">
        <v>339</v>
      </c>
      <c r="C1002" s="1" t="s">
        <v>22</v>
      </c>
      <c r="D1002" s="1" t="str">
        <f t="shared" si="1"/>
        <v>Computers&amp;Accessories</v>
      </c>
      <c r="E1002" s="1" t="str">
        <f t="shared" si="2"/>
        <v>Accessories&amp;Peripherals</v>
      </c>
      <c r="F1002" s="1">
        <v>209.0</v>
      </c>
      <c r="G1002" s="1">
        <v>499.0</v>
      </c>
      <c r="H1002" s="6">
        <f t="shared" si="3"/>
        <v>0.5811623246</v>
      </c>
      <c r="I1002" s="3">
        <f>IFERROR(__xludf.DUMMYFUNCTION("GOOGLEFINANCE(""CURRENCY:INRBRL"")*F1002"),12.72838948799)</f>
        <v>12.72838949</v>
      </c>
      <c r="J1002" s="1">
        <v>4.52</v>
      </c>
      <c r="K1002" s="1">
        <v>536.0</v>
      </c>
      <c r="L1002" s="1" t="s">
        <v>340</v>
      </c>
      <c r="M1002" s="7" t="s">
        <v>3766</v>
      </c>
    </row>
    <row r="1003">
      <c r="A1003" s="1" t="s">
        <v>3767</v>
      </c>
      <c r="B1003" s="1" t="s">
        <v>3768</v>
      </c>
      <c r="C1003" s="1" t="s">
        <v>2270</v>
      </c>
      <c r="D1003" s="1" t="str">
        <f t="shared" si="1"/>
        <v>Computers&amp;Accessories</v>
      </c>
      <c r="E1003" s="1" t="str">
        <f t="shared" si="2"/>
        <v>Accessories&amp;Peripherals</v>
      </c>
      <c r="F1003" s="5">
        <v>1099.0</v>
      </c>
      <c r="G1003" s="5">
        <v>1499.0</v>
      </c>
      <c r="H1003" s="6">
        <f t="shared" si="3"/>
        <v>0.266844563</v>
      </c>
      <c r="I1003" s="3">
        <f>IFERROR(__xludf.DUMMYFUNCTION("GOOGLEFINANCE(""CURRENCY:INRBRL"")*F1003"),66.93062223589)</f>
        <v>66.93062224</v>
      </c>
      <c r="J1003" s="1">
        <v>4.5</v>
      </c>
      <c r="K1003" s="1">
        <v>2375.0</v>
      </c>
      <c r="L1003" s="1" t="s">
        <v>3769</v>
      </c>
      <c r="M1003" s="7" t="s">
        <v>3770</v>
      </c>
    </row>
    <row r="1004">
      <c r="A1004" s="1" t="s">
        <v>3771</v>
      </c>
      <c r="B1004" s="1" t="s">
        <v>3772</v>
      </c>
      <c r="C1004" s="1" t="s">
        <v>2881</v>
      </c>
      <c r="D1004" s="1" t="str">
        <f t="shared" si="1"/>
        <v>OfficeProducts</v>
      </c>
      <c r="E1004" s="1" t="str">
        <f t="shared" si="2"/>
        <v>OfficePaperProducts</v>
      </c>
      <c r="F1004" s="1">
        <v>120.0</v>
      </c>
      <c r="G1004" s="1">
        <v>120.0</v>
      </c>
      <c r="H1004" s="6">
        <f t="shared" si="3"/>
        <v>0</v>
      </c>
      <c r="I1004" s="3">
        <f>IFERROR(__xludf.DUMMYFUNCTION("GOOGLEFINANCE(""CURRENCY:INRBRL"")*F1004"),7.3081662132)</f>
        <v>7.308166213</v>
      </c>
      <c r="J1004" s="1">
        <v>4.51</v>
      </c>
      <c r="K1004" s="1">
        <v>4951.0</v>
      </c>
      <c r="L1004" s="1" t="s">
        <v>3773</v>
      </c>
      <c r="M1004" s="7" t="s">
        <v>3774</v>
      </c>
    </row>
    <row r="1005">
      <c r="A1005" s="1" t="s">
        <v>3775</v>
      </c>
      <c r="B1005" s="1" t="s">
        <v>3776</v>
      </c>
      <c r="C1005" s="1" t="s">
        <v>3430</v>
      </c>
      <c r="D1005" s="1" t="str">
        <f t="shared" si="1"/>
        <v>Computers&amp;Accessories</v>
      </c>
      <c r="E1005" s="1" t="str">
        <f t="shared" si="2"/>
        <v>Accessories&amp;Peripherals</v>
      </c>
      <c r="F1005" s="5">
        <v>1519.0</v>
      </c>
      <c r="G1005" s="5">
        <v>3499.0</v>
      </c>
      <c r="H1005" s="6">
        <f t="shared" si="3"/>
        <v>0.5658759646</v>
      </c>
      <c r="I1005" s="3">
        <f>IFERROR(__xludf.DUMMYFUNCTION("GOOGLEFINANCE(""CURRENCY:INRBRL"")*F1005"),92.50920398209)</f>
        <v>92.50920398</v>
      </c>
      <c r="J1005" s="1">
        <v>4.5</v>
      </c>
      <c r="K1005" s="1">
        <v>408.0</v>
      </c>
      <c r="L1005" s="1" t="s">
        <v>3777</v>
      </c>
      <c r="M1005" s="7" t="s">
        <v>3778</v>
      </c>
    </row>
    <row r="1006">
      <c r="A1006" s="1" t="s">
        <v>3779</v>
      </c>
      <c r="B1006" s="1" t="s">
        <v>3780</v>
      </c>
      <c r="C1006" s="1" t="s">
        <v>3740</v>
      </c>
      <c r="D1006" s="1" t="str">
        <f t="shared" si="1"/>
        <v>OfficeProducts</v>
      </c>
      <c r="E1006" s="1" t="str">
        <f t="shared" si="2"/>
        <v>OfficePaperProducts</v>
      </c>
      <c r="F1006" s="1">
        <v>420.0</v>
      </c>
      <c r="G1006" s="1">
        <v>420.0</v>
      </c>
      <c r="H1006" s="6">
        <f t="shared" si="3"/>
        <v>0</v>
      </c>
      <c r="I1006" s="3">
        <f>IFERROR(__xludf.DUMMYFUNCTION("GOOGLEFINANCE(""CURRENCY:INRBRL"")*F1006"),25.578581746199998)</f>
        <v>25.57858175</v>
      </c>
      <c r="J1006" s="1">
        <v>4.5</v>
      </c>
      <c r="K1006" s="1">
        <v>1926.0</v>
      </c>
      <c r="L1006" s="1" t="s">
        <v>3781</v>
      </c>
      <c r="M1006" s="7" t="s">
        <v>3782</v>
      </c>
    </row>
    <row r="1007">
      <c r="A1007" s="1" t="s">
        <v>3783</v>
      </c>
      <c r="B1007" s="1" t="s">
        <v>3784</v>
      </c>
      <c r="C1007" s="1" t="s">
        <v>3785</v>
      </c>
      <c r="D1007" s="1" t="str">
        <f t="shared" si="1"/>
        <v>OfficeProducts</v>
      </c>
      <c r="E1007" s="1" t="str">
        <f t="shared" si="2"/>
        <v>OfficePaperProducts</v>
      </c>
      <c r="F1007" s="1">
        <v>225.0</v>
      </c>
      <c r="G1007" s="1">
        <v>225.0</v>
      </c>
      <c r="H1007" s="6">
        <f t="shared" si="3"/>
        <v>0</v>
      </c>
      <c r="I1007" s="3">
        <f>IFERROR(__xludf.DUMMYFUNCTION("GOOGLEFINANCE(""CURRENCY:INRBRL"")*F1007"),13.70281164975)</f>
        <v>13.70281165</v>
      </c>
      <c r="J1007" s="1">
        <v>4.49</v>
      </c>
      <c r="K1007" s="1">
        <v>4798.0</v>
      </c>
      <c r="L1007" s="1" t="s">
        <v>3786</v>
      </c>
      <c r="M1007" s="7" t="s">
        <v>3787</v>
      </c>
    </row>
    <row r="1008">
      <c r="A1008" s="1" t="s">
        <v>3788</v>
      </c>
      <c r="B1008" s="1" t="s">
        <v>3789</v>
      </c>
      <c r="C1008" s="1" t="s">
        <v>3790</v>
      </c>
      <c r="D1008" s="1" t="str">
        <f t="shared" si="1"/>
        <v>Computers&amp;Accessories</v>
      </c>
      <c r="E1008" s="1" t="str">
        <f t="shared" si="2"/>
        <v>Accessories&amp;Peripherals</v>
      </c>
      <c r="F1008" s="1">
        <v>199.0</v>
      </c>
      <c r="G1008" s="1">
        <v>799.0</v>
      </c>
      <c r="H1008" s="6">
        <f t="shared" si="3"/>
        <v>0.7509386733</v>
      </c>
      <c r="I1008" s="3">
        <f>IFERROR(__xludf.DUMMYFUNCTION("GOOGLEFINANCE(""CURRENCY:INRBRL"")*F1008"),12.11937563689)</f>
        <v>12.11937564</v>
      </c>
      <c r="J1008" s="1">
        <v>4.49</v>
      </c>
      <c r="K1008" s="1">
        <v>7333.0</v>
      </c>
      <c r="L1008" s="1" t="s">
        <v>3791</v>
      </c>
      <c r="M1008" s="7" t="s">
        <v>3792</v>
      </c>
    </row>
    <row r="1009">
      <c r="A1009" s="1" t="s">
        <v>2203</v>
      </c>
      <c r="B1009" s="1" t="s">
        <v>2204</v>
      </c>
      <c r="C1009" s="1" t="s">
        <v>1588</v>
      </c>
      <c r="D1009" s="1" t="str">
        <f t="shared" si="1"/>
        <v>Electronics</v>
      </c>
      <c r="E1009" s="1" t="str">
        <f t="shared" si="2"/>
        <v>Mobiles&amp;Accessories</v>
      </c>
      <c r="F1009" s="5">
        <v>1799.0</v>
      </c>
      <c r="G1009" s="5">
        <v>3999.0</v>
      </c>
      <c r="H1009" s="6">
        <f t="shared" si="3"/>
        <v>0.5501375344</v>
      </c>
      <c r="I1009" s="3">
        <f>IFERROR(__xludf.DUMMYFUNCTION("GOOGLEFINANCE(""CURRENCY:INRBRL"")*F1009"),109.56159181289)</f>
        <v>109.5615918</v>
      </c>
      <c r="J1009" s="1">
        <v>4.51</v>
      </c>
      <c r="K1009" s="1">
        <v>245.0</v>
      </c>
      <c r="L1009" s="1" t="s">
        <v>2205</v>
      </c>
      <c r="M1009" s="7" t="s">
        <v>3793</v>
      </c>
    </row>
    <row r="1010">
      <c r="A1010" s="1" t="s">
        <v>3794</v>
      </c>
      <c r="B1010" s="1" t="s">
        <v>3795</v>
      </c>
      <c r="C1010" s="1" t="s">
        <v>3483</v>
      </c>
      <c r="D1010" s="1" t="str">
        <f t="shared" si="1"/>
        <v>Computers&amp;Accessories</v>
      </c>
      <c r="E1010" s="1" t="str">
        <f t="shared" si="2"/>
        <v>Printers,Inks&amp;Accessories</v>
      </c>
      <c r="F1010" s="5">
        <v>8349.0</v>
      </c>
      <c r="G1010" s="5">
        <v>9625.0</v>
      </c>
      <c r="H1010" s="6">
        <f t="shared" si="3"/>
        <v>0.1325714286</v>
      </c>
      <c r="I1010" s="3">
        <f>IFERROR(__xludf.DUMMYFUNCTION("GOOGLEFINANCE(""CURRENCY:INRBRL"")*F1010"),508.46566428338997)</f>
        <v>508.4656643</v>
      </c>
      <c r="J1010" s="1">
        <v>4.51</v>
      </c>
      <c r="K1010" s="1">
        <v>3652.0</v>
      </c>
      <c r="L1010" s="1" t="s">
        <v>3796</v>
      </c>
      <c r="M1010" s="7" t="s">
        <v>3797</v>
      </c>
    </row>
    <row r="1011">
      <c r="A1011" s="1" t="s">
        <v>3798</v>
      </c>
      <c r="B1011" s="1" t="s">
        <v>3799</v>
      </c>
      <c r="C1011" s="1" t="s">
        <v>3074</v>
      </c>
      <c r="D1011" s="1" t="str">
        <f t="shared" si="1"/>
        <v>Computers&amp;Accessories</v>
      </c>
      <c r="E1011" s="1" t="str">
        <f t="shared" si="2"/>
        <v>Components</v>
      </c>
      <c r="F1011" s="5">
        <v>3307.0</v>
      </c>
      <c r="G1011" s="5">
        <v>6099.0</v>
      </c>
      <c r="H1011" s="6">
        <f t="shared" si="3"/>
        <v>0.4577799639</v>
      </c>
      <c r="I1011" s="3">
        <f>IFERROR(__xludf.DUMMYFUNCTION("GOOGLEFINANCE(""CURRENCY:INRBRL"")*F1011"),201.40088055876998)</f>
        <v>201.4008806</v>
      </c>
      <c r="J1011" s="1">
        <v>4.5</v>
      </c>
      <c r="K1011" s="1">
        <v>2515.0</v>
      </c>
      <c r="L1011" s="1" t="s">
        <v>3800</v>
      </c>
      <c r="M1011" s="7" t="s">
        <v>3801</v>
      </c>
    </row>
    <row r="1012">
      <c r="A1012" s="1" t="s">
        <v>362</v>
      </c>
      <c r="B1012" s="1" t="s">
        <v>363</v>
      </c>
      <c r="C1012" s="1" t="s">
        <v>22</v>
      </c>
      <c r="D1012" s="1" t="str">
        <f t="shared" si="1"/>
        <v>Computers&amp;Accessories</v>
      </c>
      <c r="E1012" s="1" t="str">
        <f t="shared" si="2"/>
        <v>Accessories&amp;Peripherals</v>
      </c>
      <c r="F1012" s="1">
        <v>325.0</v>
      </c>
      <c r="G1012" s="5">
        <v>1299.0</v>
      </c>
      <c r="H1012" s="6">
        <f t="shared" si="3"/>
        <v>0.7498075443</v>
      </c>
      <c r="I1012" s="3">
        <f>IFERROR(__xludf.DUMMYFUNCTION("GOOGLEFINANCE(""CURRENCY:INRBRL"")*F1012"),19.79295016075)</f>
        <v>19.79295016</v>
      </c>
      <c r="J1012" s="1">
        <v>4.5</v>
      </c>
      <c r="K1012" s="1">
        <v>10576.0</v>
      </c>
      <c r="L1012" s="1" t="s">
        <v>364</v>
      </c>
      <c r="M1012" s="7" t="s">
        <v>3802</v>
      </c>
    </row>
    <row r="1013">
      <c r="A1013" s="1" t="s">
        <v>3803</v>
      </c>
      <c r="B1013" s="1" t="s">
        <v>3804</v>
      </c>
      <c r="C1013" s="1" t="s">
        <v>2265</v>
      </c>
      <c r="D1013" s="1" t="str">
        <f t="shared" si="1"/>
        <v>Computers&amp;Accessories</v>
      </c>
      <c r="E1013" s="1" t="str">
        <f t="shared" si="2"/>
        <v>ExternalDevices&amp;DataStorage</v>
      </c>
      <c r="F1013" s="1">
        <v>449.0</v>
      </c>
      <c r="G1013" s="5">
        <v>1299.0</v>
      </c>
      <c r="H1013" s="6">
        <f t="shared" si="3"/>
        <v>0.6543494996</v>
      </c>
      <c r="I1013" s="3">
        <f>IFERROR(__xludf.DUMMYFUNCTION("GOOGLEFINANCE(""CURRENCY:INRBRL"")*F1013"),27.34472191439)</f>
        <v>27.34472191</v>
      </c>
      <c r="J1013" s="1">
        <v>4.5</v>
      </c>
      <c r="K1013" s="1">
        <v>4959.0</v>
      </c>
      <c r="L1013" s="1" t="s">
        <v>3805</v>
      </c>
      <c r="M1013" s="7" t="s">
        <v>3806</v>
      </c>
    </row>
    <row r="1014">
      <c r="A1014" s="1" t="s">
        <v>3807</v>
      </c>
      <c r="B1014" s="1" t="s">
        <v>3808</v>
      </c>
      <c r="C1014" s="1" t="s">
        <v>2352</v>
      </c>
      <c r="D1014" s="1" t="str">
        <f t="shared" si="1"/>
        <v>Electronics</v>
      </c>
      <c r="E1014" s="1" t="str">
        <f t="shared" si="2"/>
        <v>GeneralPurposeBatteries&amp;BatteryChargers</v>
      </c>
      <c r="F1014" s="1">
        <v>380.0</v>
      </c>
      <c r="G1014" s="1">
        <v>400.0</v>
      </c>
      <c r="H1014" s="6">
        <f t="shared" si="3"/>
        <v>0.05</v>
      </c>
      <c r="I1014" s="3">
        <f>IFERROR(__xludf.DUMMYFUNCTION("GOOGLEFINANCE(""CURRENCY:INRBRL"")*F1014"),23.1425263418)</f>
        <v>23.14252634</v>
      </c>
      <c r="J1014" s="1">
        <v>4.5</v>
      </c>
      <c r="K1014" s="1">
        <v>2111.0</v>
      </c>
      <c r="L1014" s="1" t="s">
        <v>3809</v>
      </c>
      <c r="M1014" s="7" t="s">
        <v>3810</v>
      </c>
    </row>
    <row r="1015">
      <c r="A1015" s="1" t="s">
        <v>3811</v>
      </c>
      <c r="B1015" s="1" t="s">
        <v>3812</v>
      </c>
      <c r="C1015" s="1" t="s">
        <v>2275</v>
      </c>
      <c r="D1015" s="1" t="str">
        <f t="shared" si="1"/>
        <v>Computers&amp;Accessories</v>
      </c>
      <c r="E1015" s="1" t="str">
        <f t="shared" si="2"/>
        <v>Accessories&amp;Peripherals</v>
      </c>
      <c r="F1015" s="1">
        <v>499.0</v>
      </c>
      <c r="G1015" s="5">
        <v>1399.0</v>
      </c>
      <c r="H1015" s="6">
        <f t="shared" si="3"/>
        <v>0.6433166548</v>
      </c>
      <c r="I1015" s="3">
        <f>IFERROR(__xludf.DUMMYFUNCTION("GOOGLEFINANCE(""CURRENCY:INRBRL"")*F1015"),30.38979116989)</f>
        <v>30.38979117</v>
      </c>
      <c r="J1015" s="1">
        <v>4.52</v>
      </c>
      <c r="K1015" s="1">
        <v>1462.0</v>
      </c>
      <c r="L1015" s="1" t="s">
        <v>3813</v>
      </c>
      <c r="M1015" s="7" t="s">
        <v>3814</v>
      </c>
    </row>
    <row r="1016">
      <c r="A1016" s="1" t="s">
        <v>3815</v>
      </c>
      <c r="B1016" s="1" t="s">
        <v>3816</v>
      </c>
      <c r="C1016" s="1" t="s">
        <v>3817</v>
      </c>
      <c r="D1016" s="1" t="str">
        <f t="shared" si="1"/>
        <v>Computers&amp;Accessories</v>
      </c>
      <c r="E1016" s="1" t="str">
        <f t="shared" si="2"/>
        <v>Laptops</v>
      </c>
      <c r="F1016" s="1">
        <v>37.25</v>
      </c>
      <c r="G1016" s="1">
        <v>59.89</v>
      </c>
      <c r="H1016" s="6">
        <f t="shared" si="3"/>
        <v>0.3780263817</v>
      </c>
      <c r="I1016" s="3">
        <f>IFERROR(__xludf.DUMMYFUNCTION("GOOGLEFINANCE(""CURRENCY:INRBRL"")*F1016"),2.2685765953475)</f>
        <v>2.268576595</v>
      </c>
      <c r="J1016" s="1">
        <v>4.0</v>
      </c>
      <c r="K1016" s="1">
        <v>323.0</v>
      </c>
      <c r="L1016" s="1" t="s">
        <v>3818</v>
      </c>
      <c r="M1016" s="7" t="s">
        <v>3819</v>
      </c>
    </row>
    <row r="1017">
      <c r="A1017" s="1" t="s">
        <v>3820</v>
      </c>
      <c r="B1017" s="1" t="s">
        <v>3821</v>
      </c>
      <c r="C1017" s="1" t="s">
        <v>2078</v>
      </c>
      <c r="D1017" s="1" t="str">
        <f t="shared" si="1"/>
        <v>Electronics</v>
      </c>
      <c r="E1017" s="1" t="str">
        <f t="shared" si="2"/>
        <v>Headphones,Earbuds&amp;Accessories</v>
      </c>
      <c r="F1017" s="1">
        <v>849.0</v>
      </c>
      <c r="G1017" s="5">
        <v>2499.0</v>
      </c>
      <c r="H1017" s="6">
        <f t="shared" si="3"/>
        <v>0.6602641056</v>
      </c>
      <c r="I1017" s="3">
        <f>IFERROR(__xludf.DUMMYFUNCTION("GOOGLEFINANCE(""CURRENCY:INRBRL"")*F1017"),51.70527595839)</f>
        <v>51.70527596</v>
      </c>
      <c r="J1017" s="1">
        <v>4.5</v>
      </c>
      <c r="K1017" s="1">
        <v>91188.0</v>
      </c>
      <c r="L1017" s="1" t="s">
        <v>3822</v>
      </c>
      <c r="M1017" s="7" t="s">
        <v>3823</v>
      </c>
    </row>
    <row r="1018">
      <c r="A1018" s="1" t="s">
        <v>3824</v>
      </c>
      <c r="B1018" s="1" t="s">
        <v>3825</v>
      </c>
      <c r="C1018" s="1" t="s">
        <v>2845</v>
      </c>
      <c r="D1018" s="1" t="str">
        <f t="shared" si="1"/>
        <v>Electronics</v>
      </c>
      <c r="E1018" s="1" t="str">
        <f t="shared" si="2"/>
        <v>HomeAudio</v>
      </c>
      <c r="F1018" s="1">
        <v>799.0</v>
      </c>
      <c r="G1018" s="5">
        <v>1999.0</v>
      </c>
      <c r="H1018" s="6">
        <f t="shared" si="3"/>
        <v>0.6003001501</v>
      </c>
      <c r="I1018" s="3">
        <f>IFERROR(__xludf.DUMMYFUNCTION("GOOGLEFINANCE(""CURRENCY:INRBRL"")*F1018"),48.66020670289)</f>
        <v>48.6602067</v>
      </c>
      <c r="J1018" s="1">
        <v>4.51</v>
      </c>
      <c r="K1018" s="1">
        <v>418.0</v>
      </c>
      <c r="L1018" s="1" t="s">
        <v>3826</v>
      </c>
      <c r="M1018" s="7" t="s">
        <v>3827</v>
      </c>
    </row>
    <row r="1019">
      <c r="A1019" s="1" t="s">
        <v>2250</v>
      </c>
      <c r="B1019" s="1" t="s">
        <v>2251</v>
      </c>
      <c r="C1019" s="1" t="s">
        <v>1810</v>
      </c>
      <c r="D1019" s="1" t="str">
        <f t="shared" si="1"/>
        <v>Electronics</v>
      </c>
      <c r="E1019" s="1" t="str">
        <f t="shared" si="2"/>
        <v>Mobiles&amp;Accessories</v>
      </c>
      <c r="F1019" s="5">
        <v>2599.0</v>
      </c>
      <c r="G1019" s="5">
        <v>6999.0</v>
      </c>
      <c r="H1019" s="6">
        <f t="shared" si="3"/>
        <v>0.6286612373</v>
      </c>
      <c r="I1019" s="3">
        <f>IFERROR(__xludf.DUMMYFUNCTION("GOOGLEFINANCE(""CURRENCY:INRBRL"")*F1019"),158.28269990088998)</f>
        <v>158.2826999</v>
      </c>
      <c r="J1019" s="1">
        <v>4.51</v>
      </c>
      <c r="K1019" s="1">
        <v>1526.0</v>
      </c>
      <c r="L1019" s="1" t="s">
        <v>2252</v>
      </c>
      <c r="M1019" s="7" t="s">
        <v>3828</v>
      </c>
    </row>
    <row r="1020">
      <c r="A1020" s="1" t="s">
        <v>378</v>
      </c>
      <c r="B1020" s="1" t="s">
        <v>379</v>
      </c>
      <c r="C1020" s="1" t="s">
        <v>22</v>
      </c>
      <c r="D1020" s="1" t="str">
        <f t="shared" si="1"/>
        <v>Computers&amp;Accessories</v>
      </c>
      <c r="E1020" s="1" t="str">
        <f t="shared" si="2"/>
        <v>Accessories&amp;Peripherals</v>
      </c>
      <c r="F1020" s="1">
        <v>199.0</v>
      </c>
      <c r="G1020" s="1">
        <v>999.0</v>
      </c>
      <c r="H1020" s="6">
        <f t="shared" si="3"/>
        <v>0.8008008008</v>
      </c>
      <c r="I1020" s="3">
        <f>IFERROR(__xludf.DUMMYFUNCTION("GOOGLEFINANCE(""CURRENCY:INRBRL"")*F1020"),12.11937563689)</f>
        <v>12.11937564</v>
      </c>
      <c r="J1020" s="1">
        <v>4.51</v>
      </c>
      <c r="K1020" s="1">
        <v>127.0</v>
      </c>
      <c r="L1020" s="1" t="s">
        <v>380</v>
      </c>
      <c r="M1020" s="7" t="s">
        <v>3829</v>
      </c>
    </row>
    <row r="1021">
      <c r="A1021" s="1" t="s">
        <v>385</v>
      </c>
      <c r="B1021" s="1" t="s">
        <v>386</v>
      </c>
      <c r="C1021" s="1" t="s">
        <v>55</v>
      </c>
      <c r="D1021" s="1" t="str">
        <f t="shared" si="1"/>
        <v>Computers&amp;Accessories</v>
      </c>
      <c r="E1021" s="1" t="str">
        <f t="shared" si="2"/>
        <v>NetworkingDevices</v>
      </c>
      <c r="F1021" s="1">
        <v>269.0</v>
      </c>
      <c r="G1021" s="1">
        <v>800.0</v>
      </c>
      <c r="H1021" s="6">
        <f t="shared" si="3"/>
        <v>0.66375</v>
      </c>
      <c r="I1021" s="3">
        <f>IFERROR(__xludf.DUMMYFUNCTION("GOOGLEFINANCE(""CURRENCY:INRBRL"")*F1021"),16.38247259459)</f>
        <v>16.38247259</v>
      </c>
      <c r="J1021" s="1">
        <v>4.51</v>
      </c>
      <c r="K1021" s="1">
        <v>10134.0</v>
      </c>
      <c r="L1021" s="1" t="s">
        <v>387</v>
      </c>
      <c r="M1021" s="7" t="s">
        <v>3830</v>
      </c>
    </row>
    <row r="1022">
      <c r="A1022" s="1" t="s">
        <v>3831</v>
      </c>
      <c r="B1022" s="1" t="s">
        <v>3832</v>
      </c>
      <c r="C1022" s="1" t="s">
        <v>2689</v>
      </c>
      <c r="D1022" s="1" t="str">
        <f t="shared" si="1"/>
        <v>Computers&amp;Accessories</v>
      </c>
      <c r="E1022" s="1" t="str">
        <f t="shared" si="2"/>
        <v>Accessories&amp;Peripherals</v>
      </c>
      <c r="F1022" s="1">
        <v>298.0</v>
      </c>
      <c r="G1022" s="1">
        <v>999.0</v>
      </c>
      <c r="H1022" s="6">
        <f t="shared" si="3"/>
        <v>0.7017017017</v>
      </c>
      <c r="I1022" s="3">
        <f>IFERROR(__xludf.DUMMYFUNCTION("GOOGLEFINANCE(""CURRENCY:INRBRL"")*F1022"),18.14861276278)</f>
        <v>18.14861276</v>
      </c>
      <c r="J1022" s="1">
        <v>4.5</v>
      </c>
      <c r="K1022" s="1">
        <v>1552.0</v>
      </c>
      <c r="L1022" s="1" t="s">
        <v>3833</v>
      </c>
      <c r="M1022" s="7" t="s">
        <v>3834</v>
      </c>
    </row>
    <row r="1023">
      <c r="A1023" s="1" t="s">
        <v>3835</v>
      </c>
      <c r="B1023" s="1" t="s">
        <v>3836</v>
      </c>
      <c r="C1023" s="1" t="s">
        <v>2845</v>
      </c>
      <c r="D1023" s="1" t="str">
        <f t="shared" si="1"/>
        <v>Electronics</v>
      </c>
      <c r="E1023" s="1" t="str">
        <f t="shared" si="2"/>
        <v>HomeAudio</v>
      </c>
      <c r="F1023" s="5">
        <v>1499.0</v>
      </c>
      <c r="G1023" s="5">
        <v>2999.0</v>
      </c>
      <c r="H1023" s="6">
        <f t="shared" si="3"/>
        <v>0.5001667222</v>
      </c>
      <c r="I1023" s="3">
        <f>IFERROR(__xludf.DUMMYFUNCTION("GOOGLEFINANCE(""CURRENCY:INRBRL"")*F1023"),91.29117627989)</f>
        <v>91.29117628</v>
      </c>
      <c r="J1023" s="1">
        <v>4.49</v>
      </c>
      <c r="K1023" s="1">
        <v>25262.0</v>
      </c>
      <c r="L1023" s="1" t="s">
        <v>3837</v>
      </c>
      <c r="M1023" s="7" t="s">
        <v>3838</v>
      </c>
    </row>
    <row r="1024">
      <c r="A1024" s="1" t="s">
        <v>3839</v>
      </c>
      <c r="B1024" s="1" t="s">
        <v>3840</v>
      </c>
      <c r="C1024" s="1" t="s">
        <v>3841</v>
      </c>
      <c r="D1024" s="1" t="str">
        <f t="shared" si="1"/>
        <v>Home&amp;Kitchen</v>
      </c>
      <c r="E1024" s="1" t="str">
        <f t="shared" si="2"/>
        <v>Kitchen&amp;HomeAppliances</v>
      </c>
      <c r="F1024" s="1">
        <v>649.0</v>
      </c>
      <c r="G1024" s="5">
        <v>1245.0</v>
      </c>
      <c r="H1024" s="6">
        <f t="shared" si="3"/>
        <v>0.4787148594</v>
      </c>
      <c r="I1024" s="3">
        <f>IFERROR(__xludf.DUMMYFUNCTION("GOOGLEFINANCE(""CURRENCY:INRBRL"")*F1024"),39.52499893639)</f>
        <v>39.52499894</v>
      </c>
      <c r="J1024" s="1">
        <v>4.52</v>
      </c>
      <c r="K1024" s="1">
        <v>123365.0</v>
      </c>
      <c r="L1024" s="1" t="s">
        <v>3842</v>
      </c>
      <c r="M1024" s="7" t="s">
        <v>3843</v>
      </c>
    </row>
    <row r="1025">
      <c r="A1025" s="1" t="s">
        <v>3844</v>
      </c>
      <c r="B1025" s="1" t="s">
        <v>3845</v>
      </c>
      <c r="C1025" s="1" t="s">
        <v>3846</v>
      </c>
      <c r="D1025" s="1" t="str">
        <f t="shared" si="1"/>
        <v>Home&amp;Kitchen</v>
      </c>
      <c r="E1025" s="1" t="str">
        <f t="shared" si="2"/>
        <v>Heating,Cooling&amp;AirQuality</v>
      </c>
      <c r="F1025" s="5">
        <v>1199.0</v>
      </c>
      <c r="G1025" s="5">
        <v>1695.0</v>
      </c>
      <c r="H1025" s="6">
        <f t="shared" si="3"/>
        <v>0.2926253687</v>
      </c>
      <c r="I1025" s="3">
        <f>IFERROR(__xludf.DUMMYFUNCTION("GOOGLEFINANCE(""CURRENCY:INRBRL"")*F1025"),73.02076074688999)</f>
        <v>73.02076075</v>
      </c>
      <c r="J1025" s="1">
        <v>4.51</v>
      </c>
      <c r="K1025" s="1">
        <v>133.0</v>
      </c>
      <c r="L1025" s="1" t="s">
        <v>3847</v>
      </c>
      <c r="M1025" s="7" t="s">
        <v>3848</v>
      </c>
    </row>
    <row r="1026">
      <c r="A1026" s="1" t="s">
        <v>3849</v>
      </c>
      <c r="B1026" s="1" t="s">
        <v>3850</v>
      </c>
      <c r="C1026" s="1" t="s">
        <v>3851</v>
      </c>
      <c r="D1026" s="1" t="str">
        <f t="shared" si="1"/>
        <v>Home&amp;Kitchen</v>
      </c>
      <c r="E1026" s="1" t="str">
        <f t="shared" si="2"/>
        <v>Heating,Cooling&amp;AirQuality</v>
      </c>
      <c r="F1026" s="5">
        <v>1199.0</v>
      </c>
      <c r="G1026" s="5">
        <v>1999.0</v>
      </c>
      <c r="H1026" s="6">
        <f t="shared" si="3"/>
        <v>0.4002001001</v>
      </c>
      <c r="I1026" s="3">
        <f>IFERROR(__xludf.DUMMYFUNCTION("GOOGLEFINANCE(""CURRENCY:INRBRL"")*F1026"),73.02076074688999)</f>
        <v>73.02076075</v>
      </c>
      <c r="J1026" s="1">
        <v>4.0</v>
      </c>
      <c r="K1026" s="1">
        <v>18543.0</v>
      </c>
      <c r="L1026" s="1" t="s">
        <v>3852</v>
      </c>
      <c r="M1026" s="7" t="s">
        <v>3853</v>
      </c>
    </row>
    <row r="1027">
      <c r="A1027" s="1" t="s">
        <v>3854</v>
      </c>
      <c r="B1027" s="1" t="s">
        <v>3855</v>
      </c>
      <c r="C1027" s="1" t="s">
        <v>3856</v>
      </c>
      <c r="D1027" s="1" t="str">
        <f t="shared" si="1"/>
        <v>Home&amp;Kitchen</v>
      </c>
      <c r="E1027" s="1" t="str">
        <f t="shared" si="2"/>
        <v>Kitchen&amp;HomeAppliances</v>
      </c>
      <c r="F1027" s="1">
        <v>455.0</v>
      </c>
      <c r="G1027" s="1">
        <v>999.0</v>
      </c>
      <c r="H1027" s="6">
        <f t="shared" si="3"/>
        <v>0.5445445445</v>
      </c>
      <c r="I1027" s="3">
        <f>IFERROR(__xludf.DUMMYFUNCTION("GOOGLEFINANCE(""CURRENCY:INRBRL"")*F1027"),27.710130225049998)</f>
        <v>27.71013023</v>
      </c>
      <c r="J1027" s="1">
        <v>4.49</v>
      </c>
      <c r="K1027" s="1">
        <v>3578.0</v>
      </c>
      <c r="L1027" s="1" t="s">
        <v>3857</v>
      </c>
      <c r="M1027" s="7" t="s">
        <v>3858</v>
      </c>
    </row>
    <row r="1028">
      <c r="A1028" s="1" t="s">
        <v>3859</v>
      </c>
      <c r="B1028" s="1" t="s">
        <v>3860</v>
      </c>
      <c r="C1028" s="1" t="s">
        <v>3861</v>
      </c>
      <c r="D1028" s="1" t="str">
        <f t="shared" si="1"/>
        <v>Home&amp;Kitchen</v>
      </c>
      <c r="E1028" s="1" t="str">
        <f t="shared" si="2"/>
        <v>Kitchen&amp;HomeAppliances</v>
      </c>
      <c r="F1028" s="1">
        <v>199.0</v>
      </c>
      <c r="G1028" s="5">
        <v>1999.0</v>
      </c>
      <c r="H1028" s="6">
        <f t="shared" si="3"/>
        <v>0.9004502251</v>
      </c>
      <c r="I1028" s="3">
        <f>IFERROR(__xludf.DUMMYFUNCTION("GOOGLEFINANCE(""CURRENCY:INRBRL"")*F1028"),12.11937563689)</f>
        <v>12.11937564</v>
      </c>
      <c r="J1028" s="1">
        <v>4.51</v>
      </c>
      <c r="K1028" s="1">
        <v>2031.0</v>
      </c>
      <c r="L1028" s="1" t="s">
        <v>3862</v>
      </c>
      <c r="M1028" s="7" t="s">
        <v>3863</v>
      </c>
    </row>
    <row r="1029">
      <c r="A1029" s="1" t="s">
        <v>3864</v>
      </c>
      <c r="B1029" s="1" t="s">
        <v>3865</v>
      </c>
      <c r="C1029" s="1" t="s">
        <v>3861</v>
      </c>
      <c r="D1029" s="1" t="str">
        <f t="shared" si="1"/>
        <v>Home&amp;Kitchen</v>
      </c>
      <c r="E1029" s="1" t="str">
        <f t="shared" si="2"/>
        <v>Kitchen&amp;HomeAppliances</v>
      </c>
      <c r="F1029" s="1">
        <v>293.0</v>
      </c>
      <c r="G1029" s="1">
        <v>499.0</v>
      </c>
      <c r="H1029" s="6">
        <f t="shared" si="3"/>
        <v>0.4128256513</v>
      </c>
      <c r="I1029" s="3">
        <f>IFERROR(__xludf.DUMMYFUNCTION("GOOGLEFINANCE(""CURRENCY:INRBRL"")*F1029"),17.84410583723)</f>
        <v>17.84410584</v>
      </c>
      <c r="J1029" s="1">
        <v>4.52</v>
      </c>
      <c r="K1029" s="1">
        <v>44994.0</v>
      </c>
      <c r="L1029" s="1" t="s">
        <v>3866</v>
      </c>
      <c r="M1029" s="7" t="s">
        <v>3867</v>
      </c>
    </row>
    <row r="1030">
      <c r="A1030" s="1" t="s">
        <v>3868</v>
      </c>
      <c r="B1030" s="1" t="s">
        <v>3869</v>
      </c>
      <c r="C1030" s="1" t="s">
        <v>3870</v>
      </c>
      <c r="D1030" s="1" t="str">
        <f t="shared" si="1"/>
        <v>Home&amp;Kitchen</v>
      </c>
      <c r="E1030" s="1" t="str">
        <f t="shared" si="2"/>
        <v>Kitchen&amp;Dining</v>
      </c>
      <c r="F1030" s="1">
        <v>199.0</v>
      </c>
      <c r="G1030" s="1">
        <v>495.0</v>
      </c>
      <c r="H1030" s="6">
        <f t="shared" si="3"/>
        <v>0.597979798</v>
      </c>
      <c r="I1030" s="3">
        <f>IFERROR(__xludf.DUMMYFUNCTION("GOOGLEFINANCE(""CURRENCY:INRBRL"")*F1030"),12.11937563689)</f>
        <v>12.11937564</v>
      </c>
      <c r="J1030" s="1">
        <v>4.49</v>
      </c>
      <c r="K1030" s="1">
        <v>270563.0</v>
      </c>
      <c r="L1030" s="1" t="s">
        <v>3871</v>
      </c>
      <c r="M1030" s="7" t="s">
        <v>3872</v>
      </c>
    </row>
    <row r="1031">
      <c r="A1031" s="1" t="s">
        <v>3873</v>
      </c>
      <c r="B1031" s="1" t="s">
        <v>3874</v>
      </c>
      <c r="C1031" s="1" t="s">
        <v>3841</v>
      </c>
      <c r="D1031" s="1" t="str">
        <f t="shared" si="1"/>
        <v>Home&amp;Kitchen</v>
      </c>
      <c r="E1031" s="1" t="str">
        <f t="shared" si="2"/>
        <v>Kitchen&amp;HomeAppliances</v>
      </c>
      <c r="F1031" s="1">
        <v>749.0</v>
      </c>
      <c r="G1031" s="5">
        <v>1245.0</v>
      </c>
      <c r="H1031" s="6">
        <f t="shared" si="3"/>
        <v>0.3983935743</v>
      </c>
      <c r="I1031" s="3">
        <f>IFERROR(__xludf.DUMMYFUNCTION("GOOGLEFINANCE(""CURRENCY:INRBRL"")*F1031"),45.61513744739)</f>
        <v>45.61513745</v>
      </c>
      <c r="J1031" s="1">
        <v>4.52</v>
      </c>
      <c r="K1031" s="1">
        <v>31783.0</v>
      </c>
      <c r="L1031" s="1" t="s">
        <v>3875</v>
      </c>
      <c r="M1031" s="7" t="s">
        <v>3876</v>
      </c>
    </row>
    <row r="1032">
      <c r="A1032" s="1" t="s">
        <v>3877</v>
      </c>
      <c r="B1032" s="1" t="s">
        <v>3878</v>
      </c>
      <c r="C1032" s="1" t="s">
        <v>3846</v>
      </c>
      <c r="D1032" s="1" t="str">
        <f t="shared" si="1"/>
        <v>Home&amp;Kitchen</v>
      </c>
      <c r="E1032" s="1" t="str">
        <f t="shared" si="2"/>
        <v>Heating,Cooling&amp;AirQuality</v>
      </c>
      <c r="F1032" s="5">
        <v>1399.0</v>
      </c>
      <c r="G1032" s="5">
        <v>1549.0</v>
      </c>
      <c r="H1032" s="6">
        <f t="shared" si="3"/>
        <v>0.09683666882</v>
      </c>
      <c r="I1032" s="3">
        <f>IFERROR(__xludf.DUMMYFUNCTION("GOOGLEFINANCE(""CURRENCY:INRBRL"")*F1032"),85.20103776889)</f>
        <v>85.20103777</v>
      </c>
      <c r="J1032" s="1">
        <v>4.52</v>
      </c>
      <c r="K1032" s="1">
        <v>2602.0</v>
      </c>
      <c r="L1032" s="1" t="s">
        <v>3879</v>
      </c>
      <c r="M1032" s="7" t="s">
        <v>3880</v>
      </c>
    </row>
    <row r="1033">
      <c r="A1033" s="1" t="s">
        <v>3881</v>
      </c>
      <c r="B1033" s="1" t="s">
        <v>3882</v>
      </c>
      <c r="C1033" s="1" t="s">
        <v>3841</v>
      </c>
      <c r="D1033" s="1" t="str">
        <f t="shared" si="1"/>
        <v>Home&amp;Kitchen</v>
      </c>
      <c r="E1033" s="1" t="str">
        <f t="shared" si="2"/>
        <v>Kitchen&amp;HomeAppliances</v>
      </c>
      <c r="F1033" s="1">
        <v>749.0</v>
      </c>
      <c r="G1033" s="5">
        <v>1445.0</v>
      </c>
      <c r="H1033" s="6">
        <f t="shared" si="3"/>
        <v>0.4816608997</v>
      </c>
      <c r="I1033" s="3">
        <f>IFERROR(__xludf.DUMMYFUNCTION("GOOGLEFINANCE(""CURRENCY:INRBRL"")*F1033"),45.61513744739)</f>
        <v>45.61513745</v>
      </c>
      <c r="J1033" s="1">
        <v>4.52</v>
      </c>
      <c r="K1033" s="1">
        <v>6335.0</v>
      </c>
      <c r="L1033" s="1" t="s">
        <v>3883</v>
      </c>
      <c r="M1033" s="7" t="s">
        <v>3884</v>
      </c>
    </row>
    <row r="1034">
      <c r="A1034" s="1" t="s">
        <v>3885</v>
      </c>
      <c r="B1034" s="1" t="s">
        <v>3886</v>
      </c>
      <c r="C1034" s="1" t="s">
        <v>3887</v>
      </c>
      <c r="D1034" s="1" t="str">
        <f t="shared" si="1"/>
        <v>Home&amp;Kitchen</v>
      </c>
      <c r="E1034" s="1" t="str">
        <f t="shared" si="2"/>
        <v>Kitchen&amp;HomeAppliances</v>
      </c>
      <c r="F1034" s="5">
        <v>1699.0</v>
      </c>
      <c r="G1034" s="5">
        <v>3193.0</v>
      </c>
      <c r="H1034" s="6">
        <f t="shared" si="3"/>
        <v>0.467898528</v>
      </c>
      <c r="I1034" s="3">
        <f>IFERROR(__xludf.DUMMYFUNCTION("GOOGLEFINANCE(""CURRENCY:INRBRL"")*F1034"),103.47145330189)</f>
        <v>103.4714533</v>
      </c>
      <c r="J1034" s="1">
        <v>4.51</v>
      </c>
      <c r="K1034" s="1">
        <v>54032.0</v>
      </c>
      <c r="L1034" s="1" t="s">
        <v>3888</v>
      </c>
      <c r="M1034" s="7" t="s">
        <v>3889</v>
      </c>
    </row>
    <row r="1035">
      <c r="A1035" s="1" t="s">
        <v>3890</v>
      </c>
      <c r="B1035" s="1" t="s">
        <v>3891</v>
      </c>
      <c r="C1035" s="1" t="s">
        <v>3841</v>
      </c>
      <c r="D1035" s="1" t="str">
        <f t="shared" si="1"/>
        <v>Home&amp;Kitchen</v>
      </c>
      <c r="E1035" s="1" t="str">
        <f t="shared" si="2"/>
        <v>Kitchen&amp;HomeAppliances</v>
      </c>
      <c r="F1035" s="5">
        <v>1043.0</v>
      </c>
      <c r="G1035" s="5">
        <v>1345.0</v>
      </c>
      <c r="H1035" s="6">
        <f t="shared" si="3"/>
        <v>0.224535316</v>
      </c>
      <c r="I1035" s="3">
        <f>IFERROR(__xludf.DUMMYFUNCTION("GOOGLEFINANCE(""CURRENCY:INRBRL"")*F1035"),63.520144669729994)</f>
        <v>63.52014467</v>
      </c>
      <c r="J1035" s="1">
        <v>4.51</v>
      </c>
      <c r="K1035" s="1">
        <v>15592.0</v>
      </c>
      <c r="L1035" s="1" t="s">
        <v>3892</v>
      </c>
      <c r="M1035" s="7" t="s">
        <v>3893</v>
      </c>
    </row>
    <row r="1036">
      <c r="A1036" s="1" t="s">
        <v>3894</v>
      </c>
      <c r="B1036" s="1" t="s">
        <v>3895</v>
      </c>
      <c r="C1036" s="1" t="s">
        <v>3856</v>
      </c>
      <c r="D1036" s="1" t="str">
        <f t="shared" si="1"/>
        <v>Home&amp;Kitchen</v>
      </c>
      <c r="E1036" s="1" t="str">
        <f t="shared" si="2"/>
        <v>Kitchen&amp;HomeAppliances</v>
      </c>
      <c r="F1036" s="1">
        <v>499.0</v>
      </c>
      <c r="G1036" s="1">
        <v>999.0</v>
      </c>
      <c r="H1036" s="6">
        <f t="shared" si="3"/>
        <v>0.5005005005</v>
      </c>
      <c r="I1036" s="3">
        <f>IFERROR(__xludf.DUMMYFUNCTION("GOOGLEFINANCE(""CURRENCY:INRBRL"")*F1036"),30.38979116989)</f>
        <v>30.38979117</v>
      </c>
      <c r="J1036" s="1">
        <v>4.49</v>
      </c>
      <c r="K1036" s="1">
        <v>4859.0</v>
      </c>
      <c r="L1036" s="1" t="s">
        <v>3896</v>
      </c>
      <c r="M1036" s="7" t="s">
        <v>3897</v>
      </c>
    </row>
    <row r="1037">
      <c r="A1037" s="1" t="s">
        <v>3898</v>
      </c>
      <c r="B1037" s="1" t="s">
        <v>3899</v>
      </c>
      <c r="C1037" s="1" t="s">
        <v>3851</v>
      </c>
      <c r="D1037" s="1" t="str">
        <f t="shared" si="1"/>
        <v>Home&amp;Kitchen</v>
      </c>
      <c r="E1037" s="1" t="str">
        <f t="shared" si="2"/>
        <v>Heating,Cooling&amp;AirQuality</v>
      </c>
      <c r="F1037" s="5">
        <v>1464.0</v>
      </c>
      <c r="G1037" s="5">
        <v>1649.0</v>
      </c>
      <c r="H1037" s="6">
        <f t="shared" si="3"/>
        <v>0.1121892056</v>
      </c>
      <c r="I1037" s="3">
        <f>IFERROR(__xludf.DUMMYFUNCTION("GOOGLEFINANCE(""CURRENCY:INRBRL"")*F1037"),89.15962780104)</f>
        <v>89.1596278</v>
      </c>
      <c r="J1037" s="1">
        <v>4.49</v>
      </c>
      <c r="K1037" s="1">
        <v>1412.0</v>
      </c>
      <c r="L1037" s="1" t="s">
        <v>3900</v>
      </c>
      <c r="M1037" s="7" t="s">
        <v>3901</v>
      </c>
    </row>
    <row r="1038">
      <c r="A1038" s="1" t="s">
        <v>3902</v>
      </c>
      <c r="B1038" s="1" t="s">
        <v>3903</v>
      </c>
      <c r="C1038" s="1" t="s">
        <v>3904</v>
      </c>
      <c r="D1038" s="1" t="str">
        <f t="shared" si="1"/>
        <v>Home&amp;Kitchen</v>
      </c>
      <c r="E1038" s="1" t="str">
        <f t="shared" si="2"/>
        <v>Kitchen&amp;HomeAppliances</v>
      </c>
      <c r="F1038" s="1">
        <v>249.0</v>
      </c>
      <c r="G1038" s="1">
        <v>499.0</v>
      </c>
      <c r="H1038" s="6">
        <f t="shared" si="3"/>
        <v>0.501002004</v>
      </c>
      <c r="I1038" s="3">
        <f>IFERROR(__xludf.DUMMYFUNCTION("GOOGLEFINANCE(""CURRENCY:INRBRL"")*F1038"),15.16444489239)</f>
        <v>15.16444489</v>
      </c>
      <c r="J1038" s="1">
        <v>4.5</v>
      </c>
      <c r="K1038" s="1">
        <v>8427.0</v>
      </c>
      <c r="L1038" s="1" t="s">
        <v>3905</v>
      </c>
      <c r="M1038" s="7" t="s">
        <v>3906</v>
      </c>
    </row>
    <row r="1039">
      <c r="A1039" s="1" t="s">
        <v>3907</v>
      </c>
      <c r="B1039" s="1" t="s">
        <v>3908</v>
      </c>
      <c r="C1039" s="1" t="s">
        <v>3909</v>
      </c>
      <c r="D1039" s="1" t="str">
        <f t="shared" si="1"/>
        <v>Home&amp;Kitchen</v>
      </c>
      <c r="E1039" s="1" t="str">
        <f t="shared" si="2"/>
        <v>Kitchen&amp;HomeAppliances</v>
      </c>
      <c r="F1039" s="1">
        <v>625.0</v>
      </c>
      <c r="G1039" s="5">
        <v>1399.0</v>
      </c>
      <c r="H1039" s="6">
        <f t="shared" si="3"/>
        <v>0.5532523231</v>
      </c>
      <c r="I1039" s="3">
        <f>IFERROR(__xludf.DUMMYFUNCTION("GOOGLEFINANCE(""CURRENCY:INRBRL"")*F1039"),38.06336569375)</f>
        <v>38.06336569</v>
      </c>
      <c r="J1039" s="1">
        <v>4.5</v>
      </c>
      <c r="K1039" s="1">
        <v>23316.0</v>
      </c>
      <c r="L1039" s="1" t="s">
        <v>3910</v>
      </c>
      <c r="M1039" s="7" t="s">
        <v>3911</v>
      </c>
    </row>
    <row r="1040">
      <c r="A1040" s="1" t="s">
        <v>3912</v>
      </c>
      <c r="B1040" s="1" t="s">
        <v>3913</v>
      </c>
      <c r="C1040" s="1" t="s">
        <v>3914</v>
      </c>
      <c r="D1040" s="1" t="str">
        <f t="shared" si="1"/>
        <v>Home&amp;Kitchen</v>
      </c>
      <c r="E1040" s="1" t="str">
        <f t="shared" si="2"/>
        <v>Kitchen&amp;HomeAppliances</v>
      </c>
      <c r="F1040" s="5">
        <v>1299.0</v>
      </c>
      <c r="G1040" s="5">
        <v>2499.0</v>
      </c>
      <c r="H1040" s="6">
        <f t="shared" si="3"/>
        <v>0.4801920768</v>
      </c>
      <c r="I1040" s="3">
        <f>IFERROR(__xludf.DUMMYFUNCTION("GOOGLEFINANCE(""CURRENCY:INRBRL"")*F1040"),79.11089925789)</f>
        <v>79.11089926</v>
      </c>
      <c r="J1040" s="1">
        <v>4.0</v>
      </c>
      <c r="K1040" s="1">
        <v>653.0</v>
      </c>
      <c r="L1040" s="1" t="s">
        <v>3915</v>
      </c>
      <c r="M1040" s="7" t="s">
        <v>3916</v>
      </c>
    </row>
    <row r="1041">
      <c r="A1041" s="1" t="s">
        <v>3917</v>
      </c>
      <c r="B1041" s="1" t="s">
        <v>3918</v>
      </c>
      <c r="C1041" s="1" t="s">
        <v>3919</v>
      </c>
      <c r="D1041" s="1" t="str">
        <f t="shared" si="1"/>
        <v>Home&amp;Kitchen</v>
      </c>
      <c r="E1041" s="1" t="str">
        <f t="shared" si="2"/>
        <v>Heating,Cooling&amp;AirQuality</v>
      </c>
      <c r="F1041" s="5">
        <v>3599.0</v>
      </c>
      <c r="G1041" s="5">
        <v>6199.0</v>
      </c>
      <c r="H1041" s="6">
        <f t="shared" si="3"/>
        <v>0.4194224875</v>
      </c>
      <c r="I1041" s="3">
        <f>IFERROR(__xludf.DUMMYFUNCTION("GOOGLEFINANCE(""CURRENCY:INRBRL"")*F1041"),219.18408501089)</f>
        <v>219.184085</v>
      </c>
      <c r="J1041" s="1">
        <v>4.5</v>
      </c>
      <c r="K1041" s="1">
        <v>11924.0</v>
      </c>
      <c r="L1041" s="1" t="s">
        <v>3920</v>
      </c>
      <c r="M1041" s="7" t="s">
        <v>3921</v>
      </c>
    </row>
    <row r="1042">
      <c r="A1042" s="1" t="s">
        <v>3922</v>
      </c>
      <c r="B1042" s="1" t="s">
        <v>3923</v>
      </c>
      <c r="C1042" s="1" t="s">
        <v>3924</v>
      </c>
      <c r="D1042" s="1" t="str">
        <f t="shared" si="1"/>
        <v>Home&amp;Kitchen</v>
      </c>
      <c r="E1042" s="1" t="str">
        <f t="shared" si="2"/>
        <v>Heating,Cooling&amp;AirQuality</v>
      </c>
      <c r="F1042" s="5">
        <v>6549.0</v>
      </c>
      <c r="G1042" s="5">
        <v>13999.0</v>
      </c>
      <c r="H1042" s="6">
        <f t="shared" si="3"/>
        <v>0.5321808701</v>
      </c>
      <c r="I1042" s="3">
        <f>IFERROR(__xludf.DUMMYFUNCTION("GOOGLEFINANCE(""CURRENCY:INRBRL"")*F1042"),398.84317108539)</f>
        <v>398.8431711</v>
      </c>
      <c r="J1042" s="1">
        <v>4.0</v>
      </c>
      <c r="K1042" s="1">
        <v>2961.0</v>
      </c>
      <c r="L1042" s="1" t="s">
        <v>3925</v>
      </c>
      <c r="M1042" s="7" t="s">
        <v>3926</v>
      </c>
    </row>
    <row r="1043">
      <c r="A1043" s="1" t="s">
        <v>3927</v>
      </c>
      <c r="B1043" s="1" t="s">
        <v>3928</v>
      </c>
      <c r="C1043" s="1" t="s">
        <v>3841</v>
      </c>
      <c r="D1043" s="1" t="str">
        <f t="shared" si="1"/>
        <v>Home&amp;Kitchen</v>
      </c>
      <c r="E1043" s="1" t="str">
        <f t="shared" si="2"/>
        <v>Kitchen&amp;HomeAppliances</v>
      </c>
      <c r="F1043" s="5">
        <v>1625.0</v>
      </c>
      <c r="G1043" s="5">
        <v>2995.0</v>
      </c>
      <c r="H1043" s="6">
        <f t="shared" si="3"/>
        <v>0.4574290484</v>
      </c>
      <c r="I1043" s="3">
        <f>IFERROR(__xludf.DUMMYFUNCTION("GOOGLEFINANCE(""CURRENCY:INRBRL"")*F1043"),98.96475080375)</f>
        <v>98.9647508</v>
      </c>
      <c r="J1043" s="1">
        <v>4.51</v>
      </c>
      <c r="K1043" s="1">
        <v>23484.0</v>
      </c>
      <c r="L1043" s="1" t="s">
        <v>3929</v>
      </c>
      <c r="M1043" s="7" t="s">
        <v>3930</v>
      </c>
    </row>
    <row r="1044">
      <c r="A1044" s="1" t="s">
        <v>3931</v>
      </c>
      <c r="B1044" s="1" t="s">
        <v>3932</v>
      </c>
      <c r="C1044" s="1" t="s">
        <v>3919</v>
      </c>
      <c r="D1044" s="1" t="str">
        <f t="shared" si="1"/>
        <v>Home&amp;Kitchen</v>
      </c>
      <c r="E1044" s="1" t="str">
        <f t="shared" si="2"/>
        <v>Heating,Cooling&amp;AirQuality</v>
      </c>
      <c r="F1044" s="5">
        <v>2599.0</v>
      </c>
      <c r="G1044" s="5">
        <v>5899.0</v>
      </c>
      <c r="H1044" s="6">
        <f t="shared" si="3"/>
        <v>0.5594168503</v>
      </c>
      <c r="I1044" s="3">
        <f>IFERROR(__xludf.DUMMYFUNCTION("GOOGLEFINANCE(""CURRENCY:INRBRL"")*F1044"),158.28269990088998)</f>
        <v>158.2826999</v>
      </c>
      <c r="J1044" s="1">
        <v>4.49</v>
      </c>
      <c r="K1044" s="1">
        <v>21783.0</v>
      </c>
      <c r="L1044" s="1" t="s">
        <v>3933</v>
      </c>
      <c r="M1044" s="7" t="s">
        <v>3934</v>
      </c>
    </row>
    <row r="1045">
      <c r="A1045" s="1" t="s">
        <v>3935</v>
      </c>
      <c r="B1045" s="1" t="s">
        <v>3936</v>
      </c>
      <c r="C1045" s="1" t="s">
        <v>3937</v>
      </c>
      <c r="D1045" s="1" t="str">
        <f t="shared" si="1"/>
        <v>Home&amp;Kitchen</v>
      </c>
      <c r="E1045" s="1" t="str">
        <f t="shared" si="2"/>
        <v>Kitchen&amp;HomeAppliances</v>
      </c>
      <c r="F1045" s="5">
        <v>1199.0</v>
      </c>
      <c r="G1045" s="5">
        <v>1999.0</v>
      </c>
      <c r="H1045" s="6">
        <f t="shared" si="3"/>
        <v>0.4002001001</v>
      </c>
      <c r="I1045" s="3">
        <f>IFERROR(__xludf.DUMMYFUNCTION("GOOGLEFINANCE(""CURRENCY:INRBRL"")*F1045"),73.02076074688999)</f>
        <v>73.02076075</v>
      </c>
      <c r="J1045" s="1">
        <v>4.0</v>
      </c>
      <c r="K1045" s="1">
        <v>1403.0</v>
      </c>
      <c r="L1045" s="1" t="s">
        <v>3938</v>
      </c>
      <c r="M1045" s="7" t="s">
        <v>3939</v>
      </c>
    </row>
    <row r="1046">
      <c r="A1046" s="1" t="s">
        <v>3940</v>
      </c>
      <c r="B1046" s="1" t="s">
        <v>3941</v>
      </c>
      <c r="C1046" s="1" t="s">
        <v>3942</v>
      </c>
      <c r="D1046" s="1" t="str">
        <f t="shared" si="1"/>
        <v>Home&amp;Kitchen</v>
      </c>
      <c r="E1046" s="1" t="str">
        <f t="shared" si="2"/>
        <v>Heating,Cooling&amp;AirQuality</v>
      </c>
      <c r="F1046" s="5">
        <v>5499.0</v>
      </c>
      <c r="G1046" s="5">
        <v>13149.0</v>
      </c>
      <c r="H1046" s="6">
        <f t="shared" si="3"/>
        <v>0.5817932923</v>
      </c>
      <c r="I1046" s="3">
        <f>IFERROR(__xludf.DUMMYFUNCTION("GOOGLEFINANCE(""CURRENCY:INRBRL"")*F1046"),334.89671671989)</f>
        <v>334.8967167</v>
      </c>
      <c r="J1046" s="1">
        <v>4.5</v>
      </c>
      <c r="K1046" s="1">
        <v>6398.0</v>
      </c>
      <c r="L1046" s="1" t="s">
        <v>3943</v>
      </c>
      <c r="M1046" s="7" t="s">
        <v>3944</v>
      </c>
    </row>
    <row r="1047">
      <c r="A1047" s="1" t="s">
        <v>3945</v>
      </c>
      <c r="B1047" s="1" t="s">
        <v>3946</v>
      </c>
      <c r="C1047" s="1" t="s">
        <v>3914</v>
      </c>
      <c r="D1047" s="1" t="str">
        <f t="shared" si="1"/>
        <v>Home&amp;Kitchen</v>
      </c>
      <c r="E1047" s="1" t="str">
        <f t="shared" si="2"/>
        <v>Kitchen&amp;HomeAppliances</v>
      </c>
      <c r="F1047" s="5">
        <v>1299.0</v>
      </c>
      <c r="G1047" s="5">
        <v>3499.0</v>
      </c>
      <c r="H1047" s="6">
        <f t="shared" si="3"/>
        <v>0.6287510717</v>
      </c>
      <c r="I1047" s="3">
        <f>IFERROR(__xludf.DUMMYFUNCTION("GOOGLEFINANCE(""CURRENCY:INRBRL"")*F1047"),79.11089925789)</f>
        <v>79.11089926</v>
      </c>
      <c r="J1047" s="1">
        <v>4.51</v>
      </c>
      <c r="K1047" s="1">
        <v>4405.0</v>
      </c>
      <c r="L1047" s="1" t="s">
        <v>3947</v>
      </c>
      <c r="M1047" s="7" t="s">
        <v>3948</v>
      </c>
    </row>
    <row r="1048">
      <c r="A1048" s="1" t="s">
        <v>3949</v>
      </c>
      <c r="B1048" s="1" t="s">
        <v>3950</v>
      </c>
      <c r="C1048" s="1" t="s">
        <v>3909</v>
      </c>
      <c r="D1048" s="1" t="str">
        <f t="shared" si="1"/>
        <v>Home&amp;Kitchen</v>
      </c>
      <c r="E1048" s="1" t="str">
        <f t="shared" si="2"/>
        <v>Kitchen&amp;HomeAppliances</v>
      </c>
      <c r="F1048" s="1">
        <v>599.0</v>
      </c>
      <c r="G1048" s="1">
        <v>785.0</v>
      </c>
      <c r="H1048" s="6">
        <f t="shared" si="3"/>
        <v>0.2369426752</v>
      </c>
      <c r="I1048" s="3">
        <f>IFERROR(__xludf.DUMMYFUNCTION("GOOGLEFINANCE(""CURRENCY:INRBRL"")*F1048"),36.479929680889995)</f>
        <v>36.47992968</v>
      </c>
      <c r="J1048" s="1">
        <v>4.5</v>
      </c>
      <c r="K1048" s="1">
        <v>24247.0</v>
      </c>
      <c r="L1048" s="1" t="s">
        <v>3951</v>
      </c>
      <c r="M1048" s="7" t="s">
        <v>3952</v>
      </c>
    </row>
    <row r="1049">
      <c r="A1049" s="1" t="s">
        <v>3953</v>
      </c>
      <c r="B1049" s="1" t="s">
        <v>3954</v>
      </c>
      <c r="C1049" s="1" t="s">
        <v>3914</v>
      </c>
      <c r="D1049" s="1" t="str">
        <f t="shared" si="1"/>
        <v>Home&amp;Kitchen</v>
      </c>
      <c r="E1049" s="1" t="str">
        <f t="shared" si="2"/>
        <v>Kitchen&amp;HomeAppliances</v>
      </c>
      <c r="F1049" s="5">
        <v>1999.0</v>
      </c>
      <c r="G1049" s="5">
        <v>3209.0</v>
      </c>
      <c r="H1049" s="6">
        <f t="shared" si="3"/>
        <v>0.3770645061</v>
      </c>
      <c r="I1049" s="3">
        <f>IFERROR(__xludf.DUMMYFUNCTION("GOOGLEFINANCE(""CURRENCY:INRBRL"")*F1049"),121.74186883489)</f>
        <v>121.7418688</v>
      </c>
      <c r="J1049" s="1">
        <v>4.5</v>
      </c>
      <c r="K1049" s="1">
        <v>41349.0</v>
      </c>
      <c r="L1049" s="1" t="s">
        <v>3955</v>
      </c>
      <c r="M1049" s="7" t="s">
        <v>3956</v>
      </c>
    </row>
    <row r="1050">
      <c r="A1050" s="1" t="s">
        <v>3957</v>
      </c>
      <c r="B1050" s="1" t="s">
        <v>3958</v>
      </c>
      <c r="C1050" s="1" t="s">
        <v>3937</v>
      </c>
      <c r="D1050" s="1" t="str">
        <f t="shared" si="1"/>
        <v>Home&amp;Kitchen</v>
      </c>
      <c r="E1050" s="1" t="str">
        <f t="shared" si="2"/>
        <v>Kitchen&amp;HomeAppliances</v>
      </c>
      <c r="F1050" s="1">
        <v>549.0</v>
      </c>
      <c r="G1050" s="1">
        <v>999.0</v>
      </c>
      <c r="H1050" s="6">
        <f t="shared" si="3"/>
        <v>0.4504504505</v>
      </c>
      <c r="I1050" s="3">
        <f>IFERROR(__xludf.DUMMYFUNCTION("GOOGLEFINANCE(""CURRENCY:INRBRL"")*F1050"),33.43486042539)</f>
        <v>33.43486043</v>
      </c>
      <c r="J1050" s="1">
        <v>4.51</v>
      </c>
      <c r="K1050" s="1">
        <v>1074.0</v>
      </c>
      <c r="L1050" s="1" t="s">
        <v>3959</v>
      </c>
      <c r="M1050" s="7" t="s">
        <v>3960</v>
      </c>
    </row>
    <row r="1051">
      <c r="A1051" s="1" t="s">
        <v>3961</v>
      </c>
      <c r="B1051" s="1" t="s">
        <v>3962</v>
      </c>
      <c r="C1051" s="1" t="s">
        <v>3846</v>
      </c>
      <c r="D1051" s="1" t="str">
        <f t="shared" si="1"/>
        <v>Home&amp;Kitchen</v>
      </c>
      <c r="E1051" s="1" t="str">
        <f t="shared" si="2"/>
        <v>Heating,Cooling&amp;AirQuality</v>
      </c>
      <c r="F1051" s="1">
        <v>999.0</v>
      </c>
      <c r="G1051" s="5">
        <v>1999.0</v>
      </c>
      <c r="H1051" s="6">
        <f t="shared" si="3"/>
        <v>0.5002501251</v>
      </c>
      <c r="I1051" s="3">
        <f>IFERROR(__xludf.DUMMYFUNCTION("GOOGLEFINANCE(""CURRENCY:INRBRL"")*F1051"),60.84048372489)</f>
        <v>60.84048372</v>
      </c>
      <c r="J1051" s="1">
        <v>4.51</v>
      </c>
      <c r="K1051" s="1">
        <v>1163.0</v>
      </c>
      <c r="L1051" s="1" t="s">
        <v>3963</v>
      </c>
      <c r="M1051" s="7" t="s">
        <v>3964</v>
      </c>
    </row>
    <row r="1052">
      <c r="A1052" s="1" t="s">
        <v>3965</v>
      </c>
      <c r="B1052" s="1" t="s">
        <v>3966</v>
      </c>
      <c r="C1052" s="1" t="s">
        <v>3856</v>
      </c>
      <c r="D1052" s="1" t="str">
        <f t="shared" si="1"/>
        <v>Home&amp;Kitchen</v>
      </c>
      <c r="E1052" s="1" t="str">
        <f t="shared" si="2"/>
        <v>Kitchen&amp;HomeAppliances</v>
      </c>
      <c r="F1052" s="1">
        <v>398.0</v>
      </c>
      <c r="G1052" s="5">
        <v>1999.0</v>
      </c>
      <c r="H1052" s="6">
        <f t="shared" si="3"/>
        <v>0.8009004502</v>
      </c>
      <c r="I1052" s="3">
        <f>IFERROR(__xludf.DUMMYFUNCTION("GOOGLEFINANCE(""CURRENCY:INRBRL"")*F1052"),24.23875127378)</f>
        <v>24.23875127</v>
      </c>
      <c r="J1052" s="1">
        <v>4.49</v>
      </c>
      <c r="K1052" s="1">
        <v>257.0</v>
      </c>
      <c r="L1052" s="1" t="s">
        <v>3967</v>
      </c>
      <c r="M1052" s="7" t="s">
        <v>3968</v>
      </c>
    </row>
    <row r="1053">
      <c r="A1053" s="1" t="s">
        <v>3969</v>
      </c>
      <c r="B1053" s="1" t="s">
        <v>3970</v>
      </c>
      <c r="C1053" s="1" t="s">
        <v>3971</v>
      </c>
      <c r="D1053" s="1" t="str">
        <f t="shared" si="1"/>
        <v>Home&amp;Kitchen</v>
      </c>
      <c r="E1053" s="1" t="str">
        <f t="shared" si="2"/>
        <v>Heating,Cooling&amp;AirQuality</v>
      </c>
      <c r="F1053" s="1">
        <v>539.0</v>
      </c>
      <c r="G1053" s="1">
        <v>720.0</v>
      </c>
      <c r="H1053" s="6">
        <f t="shared" si="3"/>
        <v>0.2513888889</v>
      </c>
      <c r="I1053" s="3">
        <f>IFERROR(__xludf.DUMMYFUNCTION("GOOGLEFINANCE(""CURRENCY:INRBRL"")*F1053"),32.82584657429)</f>
        <v>32.82584657</v>
      </c>
      <c r="J1053" s="1">
        <v>4.49</v>
      </c>
      <c r="K1053" s="1">
        <v>36017.0</v>
      </c>
      <c r="L1053" s="1" t="s">
        <v>3972</v>
      </c>
      <c r="M1053" s="7" t="s">
        <v>3973</v>
      </c>
    </row>
    <row r="1054">
      <c r="A1054" s="1" t="s">
        <v>3974</v>
      </c>
      <c r="B1054" s="1" t="s">
        <v>3975</v>
      </c>
      <c r="C1054" s="1" t="s">
        <v>3841</v>
      </c>
      <c r="D1054" s="1" t="str">
        <f t="shared" si="1"/>
        <v>Home&amp;Kitchen</v>
      </c>
      <c r="E1054" s="1" t="str">
        <f t="shared" si="2"/>
        <v>Kitchen&amp;HomeAppliances</v>
      </c>
      <c r="F1054" s="1">
        <v>699.0</v>
      </c>
      <c r="G1054" s="5">
        <v>1595.0</v>
      </c>
      <c r="H1054" s="6">
        <f t="shared" si="3"/>
        <v>0.5617554859</v>
      </c>
      <c r="I1054" s="3">
        <f>IFERROR(__xludf.DUMMYFUNCTION("GOOGLEFINANCE(""CURRENCY:INRBRL"")*F1054"),42.57006819189)</f>
        <v>42.57006819</v>
      </c>
      <c r="J1054" s="1">
        <v>4.49</v>
      </c>
      <c r="K1054" s="1">
        <v>809.0</v>
      </c>
      <c r="L1054" s="1" t="s">
        <v>3976</v>
      </c>
      <c r="M1054" s="7" t="s">
        <v>3977</v>
      </c>
    </row>
    <row r="1055">
      <c r="A1055" s="1" t="s">
        <v>3978</v>
      </c>
      <c r="B1055" s="1" t="s">
        <v>3979</v>
      </c>
      <c r="C1055" s="1" t="s">
        <v>3887</v>
      </c>
      <c r="D1055" s="1" t="str">
        <f t="shared" si="1"/>
        <v>Home&amp;Kitchen</v>
      </c>
      <c r="E1055" s="1" t="str">
        <f t="shared" si="2"/>
        <v>Kitchen&amp;HomeAppliances</v>
      </c>
      <c r="F1055" s="5">
        <v>2148.0</v>
      </c>
      <c r="G1055" s="5">
        <v>3645.0</v>
      </c>
      <c r="H1055" s="6">
        <f t="shared" si="3"/>
        <v>0.4106995885</v>
      </c>
      <c r="I1055" s="3">
        <f>IFERROR(__xludf.DUMMYFUNCTION("GOOGLEFINANCE(""CURRENCY:INRBRL"")*F1055"),130.81617521628)</f>
        <v>130.8161752</v>
      </c>
      <c r="J1055" s="1">
        <v>4.49</v>
      </c>
      <c r="K1055" s="1">
        <v>31388.0</v>
      </c>
      <c r="L1055" s="1" t="s">
        <v>3980</v>
      </c>
      <c r="M1055" s="7" t="s">
        <v>3981</v>
      </c>
    </row>
    <row r="1056">
      <c r="A1056" s="1" t="s">
        <v>3982</v>
      </c>
      <c r="B1056" s="1" t="s">
        <v>3983</v>
      </c>
      <c r="C1056" s="1" t="s">
        <v>3984</v>
      </c>
      <c r="D1056" s="1" t="str">
        <f t="shared" si="1"/>
        <v>Home&amp;Kitchen</v>
      </c>
      <c r="E1056" s="1" t="str">
        <f t="shared" si="2"/>
        <v>Kitchen&amp;HomeAppliances</v>
      </c>
      <c r="F1056" s="5">
        <v>3599.0</v>
      </c>
      <c r="G1056" s="5">
        <v>7949.0</v>
      </c>
      <c r="H1056" s="6">
        <f t="shared" si="3"/>
        <v>0.5472386464</v>
      </c>
      <c r="I1056" s="3">
        <f>IFERROR(__xludf.DUMMYFUNCTION("GOOGLEFINANCE(""CURRENCY:INRBRL"")*F1056"),219.18408501089)</f>
        <v>219.184085</v>
      </c>
      <c r="J1056" s="1">
        <v>4.5</v>
      </c>
      <c r="K1056" s="1">
        <v>136.0</v>
      </c>
      <c r="L1056" s="1" t="s">
        <v>3985</v>
      </c>
      <c r="M1056" s="7" t="s">
        <v>3986</v>
      </c>
    </row>
    <row r="1057">
      <c r="A1057" s="1" t="s">
        <v>3987</v>
      </c>
      <c r="B1057" s="1" t="s">
        <v>3988</v>
      </c>
      <c r="C1057" s="1" t="s">
        <v>3989</v>
      </c>
      <c r="D1057" s="1" t="str">
        <f t="shared" si="1"/>
        <v>Home&amp;Kitchen</v>
      </c>
      <c r="E1057" s="1" t="str">
        <f t="shared" si="2"/>
        <v>HomeStorage&amp;Organization</v>
      </c>
      <c r="F1057" s="1">
        <v>351.0</v>
      </c>
      <c r="G1057" s="1">
        <v>999.0</v>
      </c>
      <c r="H1057" s="6">
        <f t="shared" si="3"/>
        <v>0.6486486486</v>
      </c>
      <c r="I1057" s="3">
        <f>IFERROR(__xludf.DUMMYFUNCTION("GOOGLEFINANCE(""CURRENCY:INRBRL"")*F1057"),21.376386173609998)</f>
        <v>21.37638617</v>
      </c>
      <c r="J1057" s="1">
        <v>4.0</v>
      </c>
      <c r="K1057" s="1">
        <v>538.0</v>
      </c>
      <c r="L1057" s="1" t="s">
        <v>3990</v>
      </c>
      <c r="M1057" s="7" t="s">
        <v>3991</v>
      </c>
    </row>
    <row r="1058">
      <c r="A1058" s="1" t="s">
        <v>3992</v>
      </c>
      <c r="B1058" s="1" t="s">
        <v>3993</v>
      </c>
      <c r="C1058" s="1" t="s">
        <v>3994</v>
      </c>
      <c r="D1058" s="1" t="str">
        <f t="shared" si="1"/>
        <v>Home&amp;Kitchen</v>
      </c>
      <c r="E1058" s="1" t="str">
        <f t="shared" si="2"/>
        <v>Kitchen&amp;HomeAppliances</v>
      </c>
      <c r="F1058" s="5">
        <v>1614.0</v>
      </c>
      <c r="G1058" s="5">
        <v>1745.0</v>
      </c>
      <c r="H1058" s="6">
        <f t="shared" si="3"/>
        <v>0.07507163324</v>
      </c>
      <c r="I1058" s="3">
        <f>IFERROR(__xludf.DUMMYFUNCTION("GOOGLEFINANCE(""CURRENCY:INRBRL"")*F1058"),98.29483556753999)</f>
        <v>98.29483557</v>
      </c>
      <c r="J1058" s="1">
        <v>4.5</v>
      </c>
      <c r="K1058" s="1">
        <v>37974.0</v>
      </c>
      <c r="L1058" s="1" t="s">
        <v>3995</v>
      </c>
      <c r="M1058" s="7" t="s">
        <v>3996</v>
      </c>
    </row>
    <row r="1059">
      <c r="A1059" s="1" t="s">
        <v>3997</v>
      </c>
      <c r="B1059" s="1" t="s">
        <v>3998</v>
      </c>
      <c r="C1059" s="1" t="s">
        <v>3971</v>
      </c>
      <c r="D1059" s="1" t="str">
        <f t="shared" si="1"/>
        <v>Home&amp;Kitchen</v>
      </c>
      <c r="E1059" s="1" t="str">
        <f t="shared" si="2"/>
        <v>Heating,Cooling&amp;AirQuality</v>
      </c>
      <c r="F1059" s="1">
        <v>719.0</v>
      </c>
      <c r="G1059" s="5">
        <v>1295.0</v>
      </c>
      <c r="H1059" s="6">
        <f t="shared" si="3"/>
        <v>0.4447876448</v>
      </c>
      <c r="I1059" s="3">
        <f>IFERROR(__xludf.DUMMYFUNCTION("GOOGLEFINANCE(""CURRENCY:INRBRL"")*F1059"),43.78809589409)</f>
        <v>43.78809589</v>
      </c>
      <c r="J1059" s="1">
        <v>4.5</v>
      </c>
      <c r="K1059" s="1">
        <v>17218.0</v>
      </c>
      <c r="L1059" s="1" t="s">
        <v>3999</v>
      </c>
      <c r="M1059" s="7" t="s">
        <v>4000</v>
      </c>
    </row>
    <row r="1060">
      <c r="A1060" s="1" t="s">
        <v>4001</v>
      </c>
      <c r="B1060" s="1" t="s">
        <v>4002</v>
      </c>
      <c r="C1060" s="1" t="s">
        <v>3856</v>
      </c>
      <c r="D1060" s="1" t="str">
        <f t="shared" si="1"/>
        <v>Home&amp;Kitchen</v>
      </c>
      <c r="E1060" s="1" t="str">
        <f t="shared" si="2"/>
        <v>Kitchen&amp;HomeAppliances</v>
      </c>
      <c r="F1060" s="1">
        <v>678.0</v>
      </c>
      <c r="G1060" s="5">
        <v>1499.0</v>
      </c>
      <c r="H1060" s="6">
        <f t="shared" si="3"/>
        <v>0.5476984656</v>
      </c>
      <c r="I1060" s="3">
        <f>IFERROR(__xludf.DUMMYFUNCTION("GOOGLEFINANCE(""CURRENCY:INRBRL"")*F1060"),41.29113910458)</f>
        <v>41.2911391</v>
      </c>
      <c r="J1060" s="1">
        <v>4.5</v>
      </c>
      <c r="K1060" s="1">
        <v>900.0</v>
      </c>
      <c r="L1060" s="1" t="s">
        <v>4003</v>
      </c>
      <c r="M1060" s="7" t="s">
        <v>4004</v>
      </c>
    </row>
    <row r="1061">
      <c r="A1061" s="1" t="s">
        <v>4005</v>
      </c>
      <c r="B1061" s="1" t="s">
        <v>4006</v>
      </c>
      <c r="C1061" s="1" t="s">
        <v>3937</v>
      </c>
      <c r="D1061" s="1" t="str">
        <f t="shared" si="1"/>
        <v>Home&amp;Kitchen</v>
      </c>
      <c r="E1061" s="1" t="str">
        <f t="shared" si="2"/>
        <v>Kitchen&amp;HomeAppliances</v>
      </c>
      <c r="F1061" s="1">
        <v>809.0</v>
      </c>
      <c r="G1061" s="5">
        <v>1545.0</v>
      </c>
      <c r="H1061" s="6">
        <f t="shared" si="3"/>
        <v>0.4763754045</v>
      </c>
      <c r="I1061" s="3">
        <f>IFERROR(__xludf.DUMMYFUNCTION("GOOGLEFINANCE(""CURRENCY:INRBRL"")*F1061"),49.269220553989996)</f>
        <v>49.26922055</v>
      </c>
      <c r="J1061" s="1">
        <v>4.51</v>
      </c>
      <c r="K1061" s="1">
        <v>976.0</v>
      </c>
      <c r="L1061" s="1" t="s">
        <v>4007</v>
      </c>
      <c r="M1061" s="7" t="s">
        <v>4008</v>
      </c>
    </row>
    <row r="1062">
      <c r="A1062" s="1" t="s">
        <v>4009</v>
      </c>
      <c r="B1062" s="1" t="s">
        <v>4010</v>
      </c>
      <c r="C1062" s="1" t="s">
        <v>4011</v>
      </c>
      <c r="D1062" s="1" t="str">
        <f t="shared" si="1"/>
        <v>Home&amp;Kitchen</v>
      </c>
      <c r="E1062" s="1" t="str">
        <f t="shared" si="2"/>
        <v>Kitchen&amp;HomeAppliances</v>
      </c>
      <c r="F1062" s="5">
        <v>1969.0</v>
      </c>
      <c r="G1062" s="5">
        <v>4999.0</v>
      </c>
      <c r="H1062" s="6">
        <f t="shared" si="3"/>
        <v>0.6061212242</v>
      </c>
      <c r="I1062" s="3">
        <f>IFERROR(__xludf.DUMMYFUNCTION("GOOGLEFINANCE(""CURRENCY:INRBRL"")*F1062"),119.91482728159)</f>
        <v>119.9148273</v>
      </c>
      <c r="J1062" s="1">
        <v>4.49</v>
      </c>
      <c r="K1062" s="1">
        <v>4927.0</v>
      </c>
      <c r="L1062" s="1" t="s">
        <v>4012</v>
      </c>
      <c r="M1062" s="7" t="s">
        <v>4013</v>
      </c>
    </row>
    <row r="1063">
      <c r="A1063" s="1" t="s">
        <v>4014</v>
      </c>
      <c r="B1063" s="1" t="s">
        <v>4015</v>
      </c>
      <c r="C1063" s="1" t="s">
        <v>3856</v>
      </c>
      <c r="D1063" s="1" t="str">
        <f t="shared" si="1"/>
        <v>Home&amp;Kitchen</v>
      </c>
      <c r="E1063" s="1" t="str">
        <f t="shared" si="2"/>
        <v>Kitchen&amp;HomeAppliances</v>
      </c>
      <c r="F1063" s="5">
        <v>1499.0</v>
      </c>
      <c r="G1063" s="5">
        <v>1695.0</v>
      </c>
      <c r="H1063" s="6">
        <f t="shared" si="3"/>
        <v>0.1156342183</v>
      </c>
      <c r="I1063" s="3">
        <f>IFERROR(__xludf.DUMMYFUNCTION("GOOGLEFINANCE(""CURRENCY:INRBRL"")*F1063"),91.29117627989)</f>
        <v>91.29117628</v>
      </c>
      <c r="J1063" s="1">
        <v>4.5</v>
      </c>
      <c r="K1063" s="1">
        <v>3543.0</v>
      </c>
      <c r="L1063" s="1" t="s">
        <v>4016</v>
      </c>
      <c r="M1063" s="7" t="s">
        <v>4017</v>
      </c>
    </row>
    <row r="1064">
      <c r="A1064" s="1" t="s">
        <v>4018</v>
      </c>
      <c r="B1064" s="1" t="s">
        <v>4019</v>
      </c>
      <c r="C1064" s="1" t="s">
        <v>3846</v>
      </c>
      <c r="D1064" s="1" t="str">
        <f t="shared" si="1"/>
        <v>Home&amp;Kitchen</v>
      </c>
      <c r="E1064" s="1" t="str">
        <f t="shared" si="2"/>
        <v>Heating,Cooling&amp;AirQuality</v>
      </c>
      <c r="F1064" s="5">
        <v>2499.0</v>
      </c>
      <c r="G1064" s="5">
        <v>3945.0</v>
      </c>
      <c r="H1064" s="6">
        <f t="shared" si="3"/>
        <v>0.366539924</v>
      </c>
      <c r="I1064" s="3">
        <f>IFERROR(__xludf.DUMMYFUNCTION("GOOGLEFINANCE(""CURRENCY:INRBRL"")*F1064"),152.19256138989)</f>
        <v>152.1925614</v>
      </c>
      <c r="J1064" s="1">
        <v>4.51</v>
      </c>
      <c r="K1064" s="1">
        <v>2732.0</v>
      </c>
      <c r="L1064" s="1" t="s">
        <v>4020</v>
      </c>
      <c r="M1064" s="7" t="s">
        <v>4021</v>
      </c>
    </row>
    <row r="1065">
      <c r="A1065" s="1" t="s">
        <v>4022</v>
      </c>
      <c r="B1065" s="1" t="s">
        <v>4023</v>
      </c>
      <c r="C1065" s="1" t="s">
        <v>4024</v>
      </c>
      <c r="D1065" s="1" t="str">
        <f t="shared" si="1"/>
        <v>Home&amp;Kitchen</v>
      </c>
      <c r="E1065" s="1" t="str">
        <f t="shared" si="2"/>
        <v>Kitchen&amp;HomeAppliances</v>
      </c>
      <c r="F1065" s="5">
        <v>1665.0</v>
      </c>
      <c r="G1065" s="5">
        <v>2099.0</v>
      </c>
      <c r="H1065" s="6">
        <f t="shared" si="3"/>
        <v>0.2067651263</v>
      </c>
      <c r="I1065" s="3">
        <f>IFERROR(__xludf.DUMMYFUNCTION("GOOGLEFINANCE(""CURRENCY:INRBRL"")*F1065"),101.40080620815)</f>
        <v>101.4008062</v>
      </c>
      <c r="J1065" s="1">
        <v>4.0</v>
      </c>
      <c r="K1065" s="1">
        <v>14368.0</v>
      </c>
      <c r="L1065" s="1" t="s">
        <v>4025</v>
      </c>
      <c r="M1065" s="7" t="s">
        <v>4026</v>
      </c>
    </row>
    <row r="1066">
      <c r="A1066" s="1" t="s">
        <v>4027</v>
      </c>
      <c r="B1066" s="1" t="s">
        <v>4028</v>
      </c>
      <c r="C1066" s="1" t="s">
        <v>3887</v>
      </c>
      <c r="D1066" s="1" t="str">
        <f t="shared" si="1"/>
        <v>Home&amp;Kitchen</v>
      </c>
      <c r="E1066" s="1" t="str">
        <f t="shared" si="2"/>
        <v>Kitchen&amp;HomeAppliances</v>
      </c>
      <c r="F1066" s="5">
        <v>3229.0</v>
      </c>
      <c r="G1066" s="5">
        <v>5295.0</v>
      </c>
      <c r="H1066" s="6">
        <f t="shared" si="3"/>
        <v>0.3901794145</v>
      </c>
      <c r="I1066" s="3">
        <f>IFERROR(__xludf.DUMMYFUNCTION("GOOGLEFINANCE(""CURRENCY:INRBRL"")*F1066"),196.65057252019)</f>
        <v>196.6505725</v>
      </c>
      <c r="J1066" s="1">
        <v>4.5</v>
      </c>
      <c r="K1066" s="1">
        <v>39724.0</v>
      </c>
      <c r="L1066" s="1" t="s">
        <v>4029</v>
      </c>
      <c r="M1066" s="7" t="s">
        <v>4030</v>
      </c>
    </row>
    <row r="1067">
      <c r="A1067" s="1" t="s">
        <v>4031</v>
      </c>
      <c r="B1067" s="1" t="s">
        <v>4032</v>
      </c>
      <c r="C1067" s="1" t="s">
        <v>3887</v>
      </c>
      <c r="D1067" s="1" t="str">
        <f t="shared" si="1"/>
        <v>Home&amp;Kitchen</v>
      </c>
      <c r="E1067" s="1" t="str">
        <f t="shared" si="2"/>
        <v>Kitchen&amp;HomeAppliances</v>
      </c>
      <c r="F1067" s="5">
        <v>1799.0</v>
      </c>
      <c r="G1067" s="5">
        <v>3595.0</v>
      </c>
      <c r="H1067" s="6">
        <f t="shared" si="3"/>
        <v>0.4995827538</v>
      </c>
      <c r="I1067" s="3">
        <f>IFERROR(__xludf.DUMMYFUNCTION("GOOGLEFINANCE(""CURRENCY:INRBRL"")*F1067"),109.56159181289)</f>
        <v>109.5615918</v>
      </c>
      <c r="J1067" s="1">
        <v>4.51</v>
      </c>
      <c r="K1067" s="1">
        <v>9791.0</v>
      </c>
      <c r="L1067" s="1" t="s">
        <v>4033</v>
      </c>
      <c r="M1067" s="7" t="s">
        <v>4034</v>
      </c>
    </row>
    <row r="1068">
      <c r="A1068" s="1" t="s">
        <v>4035</v>
      </c>
      <c r="B1068" s="1" t="s">
        <v>4036</v>
      </c>
      <c r="C1068" s="1" t="s">
        <v>3841</v>
      </c>
      <c r="D1068" s="1" t="str">
        <f t="shared" si="1"/>
        <v>Home&amp;Kitchen</v>
      </c>
      <c r="E1068" s="1" t="str">
        <f t="shared" si="2"/>
        <v>Kitchen&amp;HomeAppliances</v>
      </c>
      <c r="F1068" s="5">
        <v>1269.0</v>
      </c>
      <c r="G1068" s="5">
        <v>1699.0</v>
      </c>
      <c r="H1068" s="6">
        <f t="shared" si="3"/>
        <v>0.253090053</v>
      </c>
      <c r="I1068" s="3">
        <f>IFERROR(__xludf.DUMMYFUNCTION("GOOGLEFINANCE(""CURRENCY:INRBRL"")*F1068"),77.28385770458999)</f>
        <v>77.2838577</v>
      </c>
      <c r="J1068" s="1">
        <v>4.5</v>
      </c>
      <c r="K1068" s="1">
        <v>2891.0</v>
      </c>
      <c r="L1068" s="1" t="s">
        <v>4037</v>
      </c>
      <c r="M1068" s="7" t="s">
        <v>4038</v>
      </c>
    </row>
    <row r="1069">
      <c r="A1069" s="1" t="s">
        <v>4039</v>
      </c>
      <c r="B1069" s="1" t="s">
        <v>4040</v>
      </c>
      <c r="C1069" s="1" t="s">
        <v>3846</v>
      </c>
      <c r="D1069" s="1" t="str">
        <f t="shared" si="1"/>
        <v>Home&amp;Kitchen</v>
      </c>
      <c r="E1069" s="1" t="str">
        <f t="shared" si="2"/>
        <v>Heating,Cooling&amp;AirQuality</v>
      </c>
      <c r="F1069" s="1">
        <v>749.0</v>
      </c>
      <c r="G1069" s="5">
        <v>1129.0</v>
      </c>
      <c r="H1069" s="6">
        <f t="shared" si="3"/>
        <v>0.3365810452</v>
      </c>
      <c r="I1069" s="3">
        <f>IFERROR(__xludf.DUMMYFUNCTION("GOOGLEFINANCE(""CURRENCY:INRBRL"")*F1069"),45.61513744739)</f>
        <v>45.61513745</v>
      </c>
      <c r="J1069" s="1">
        <v>4.0</v>
      </c>
      <c r="K1069" s="1">
        <v>2446.0</v>
      </c>
      <c r="L1069" s="1" t="s">
        <v>4041</v>
      </c>
      <c r="M1069" s="7" t="s">
        <v>4042</v>
      </c>
    </row>
    <row r="1070">
      <c r="A1070" s="1" t="s">
        <v>4043</v>
      </c>
      <c r="B1070" s="1" t="s">
        <v>4044</v>
      </c>
      <c r="C1070" s="1" t="s">
        <v>3914</v>
      </c>
      <c r="D1070" s="1" t="str">
        <f t="shared" si="1"/>
        <v>Home&amp;Kitchen</v>
      </c>
      <c r="E1070" s="1" t="str">
        <f t="shared" si="2"/>
        <v>Kitchen&amp;HomeAppliances</v>
      </c>
      <c r="F1070" s="5">
        <v>3499.0</v>
      </c>
      <c r="G1070" s="5">
        <v>5795.0</v>
      </c>
      <c r="H1070" s="6">
        <f t="shared" si="3"/>
        <v>0.3962036238</v>
      </c>
      <c r="I1070" s="3">
        <f>IFERROR(__xludf.DUMMYFUNCTION("GOOGLEFINANCE(""CURRENCY:INRBRL"")*F1070"),213.09394649989)</f>
        <v>213.0939465</v>
      </c>
      <c r="J1070" s="1">
        <v>4.52</v>
      </c>
      <c r="K1070" s="1">
        <v>2534.0</v>
      </c>
      <c r="L1070" s="1" t="s">
        <v>4045</v>
      </c>
      <c r="M1070" s="7" t="s">
        <v>4046</v>
      </c>
    </row>
    <row r="1071">
      <c r="A1071" s="1" t="s">
        <v>4047</v>
      </c>
      <c r="B1071" s="1" t="s">
        <v>4048</v>
      </c>
      <c r="C1071" s="1" t="s">
        <v>4049</v>
      </c>
      <c r="D1071" s="1" t="str">
        <f t="shared" si="1"/>
        <v>Home&amp;Kitchen</v>
      </c>
      <c r="E1071" s="1" t="str">
        <f t="shared" si="2"/>
        <v>Kitchen&amp;HomeAppliances</v>
      </c>
      <c r="F1071" s="1">
        <v>379.0</v>
      </c>
      <c r="G1071" s="1">
        <v>999.0</v>
      </c>
      <c r="H1071" s="6">
        <f t="shared" si="3"/>
        <v>0.6206206206</v>
      </c>
      <c r="I1071" s="3">
        <f>IFERROR(__xludf.DUMMYFUNCTION("GOOGLEFINANCE(""CURRENCY:INRBRL"")*F1071"),23.08162495669)</f>
        <v>23.08162496</v>
      </c>
      <c r="J1071" s="1">
        <v>4.5</v>
      </c>
      <c r="K1071" s="1">
        <v>3096.0</v>
      </c>
      <c r="L1071" s="1" t="s">
        <v>4050</v>
      </c>
      <c r="M1071" s="7" t="s">
        <v>4051</v>
      </c>
    </row>
    <row r="1072">
      <c r="A1072" s="1" t="s">
        <v>4052</v>
      </c>
      <c r="B1072" s="1" t="s">
        <v>4053</v>
      </c>
      <c r="C1072" s="1" t="s">
        <v>3846</v>
      </c>
      <c r="D1072" s="1" t="str">
        <f t="shared" si="1"/>
        <v>Home&amp;Kitchen</v>
      </c>
      <c r="E1072" s="1" t="str">
        <f t="shared" si="2"/>
        <v>Heating,Cooling&amp;AirQuality</v>
      </c>
      <c r="F1072" s="5">
        <v>1099.0</v>
      </c>
      <c r="G1072" s="5">
        <v>2399.0</v>
      </c>
      <c r="H1072" s="6">
        <f t="shared" si="3"/>
        <v>0.5418924552</v>
      </c>
      <c r="I1072" s="3">
        <f>IFERROR(__xludf.DUMMYFUNCTION("GOOGLEFINANCE(""CURRENCY:INRBRL"")*F1072"),66.93062223589)</f>
        <v>66.93062224</v>
      </c>
      <c r="J1072" s="1">
        <v>4.51</v>
      </c>
      <c r="K1072" s="1">
        <v>4.0</v>
      </c>
      <c r="L1072" s="1" t="s">
        <v>4054</v>
      </c>
      <c r="M1072" s="7" t="s">
        <v>4055</v>
      </c>
    </row>
    <row r="1073">
      <c r="A1073" s="1" t="s">
        <v>4056</v>
      </c>
      <c r="B1073" s="1" t="s">
        <v>4057</v>
      </c>
      <c r="C1073" s="1" t="s">
        <v>3937</v>
      </c>
      <c r="D1073" s="1" t="str">
        <f t="shared" si="1"/>
        <v>Home&amp;Kitchen</v>
      </c>
      <c r="E1073" s="1" t="str">
        <f t="shared" si="2"/>
        <v>Kitchen&amp;HomeAppliances</v>
      </c>
      <c r="F1073" s="1">
        <v>749.0</v>
      </c>
      <c r="G1073" s="5">
        <v>1299.0</v>
      </c>
      <c r="H1073" s="6">
        <f t="shared" si="3"/>
        <v>0.4234026174</v>
      </c>
      <c r="I1073" s="3">
        <f>IFERROR(__xludf.DUMMYFUNCTION("GOOGLEFINANCE(""CURRENCY:INRBRL"")*F1073"),45.61513744739)</f>
        <v>45.61513745</v>
      </c>
      <c r="J1073" s="1">
        <v>4.0</v>
      </c>
      <c r="K1073" s="1">
        <v>119.0</v>
      </c>
      <c r="L1073" s="1" t="s">
        <v>4058</v>
      </c>
      <c r="M1073" s="7" t="s">
        <v>4059</v>
      </c>
    </row>
    <row r="1074">
      <c r="A1074" s="1" t="s">
        <v>4060</v>
      </c>
      <c r="B1074" s="1" t="s">
        <v>4061</v>
      </c>
      <c r="C1074" s="1" t="s">
        <v>4062</v>
      </c>
      <c r="D1074" s="1" t="str">
        <f t="shared" si="1"/>
        <v>Home&amp;Kitchen</v>
      </c>
      <c r="E1074" s="1" t="str">
        <f t="shared" si="2"/>
        <v>Kitchen&amp;HomeAppliances</v>
      </c>
      <c r="F1074" s="5">
        <v>1299.0</v>
      </c>
      <c r="G1074" s="5">
        <v>1299.0</v>
      </c>
      <c r="H1074" s="6">
        <f t="shared" si="3"/>
        <v>0</v>
      </c>
      <c r="I1074" s="3">
        <f>IFERROR(__xludf.DUMMYFUNCTION("GOOGLEFINANCE(""CURRENCY:INRBRL"")*F1074"),79.11089925789)</f>
        <v>79.11089926</v>
      </c>
      <c r="J1074" s="1">
        <v>4.5</v>
      </c>
      <c r="K1074" s="1">
        <v>40106.0</v>
      </c>
      <c r="L1074" s="1" t="s">
        <v>4063</v>
      </c>
      <c r="M1074" s="7" t="s">
        <v>4064</v>
      </c>
    </row>
    <row r="1075">
      <c r="A1075" s="1" t="s">
        <v>4065</v>
      </c>
      <c r="B1075" s="1" t="s">
        <v>4066</v>
      </c>
      <c r="C1075" s="1" t="s">
        <v>3909</v>
      </c>
      <c r="D1075" s="1" t="str">
        <f t="shared" si="1"/>
        <v>Home&amp;Kitchen</v>
      </c>
      <c r="E1075" s="1" t="str">
        <f t="shared" si="2"/>
        <v>Kitchen&amp;HomeAppliances</v>
      </c>
      <c r="F1075" s="1">
        <v>549.0</v>
      </c>
      <c r="G1075" s="5">
        <v>1099.0</v>
      </c>
      <c r="H1075" s="6">
        <f t="shared" si="3"/>
        <v>0.5004549591</v>
      </c>
      <c r="I1075" s="3">
        <f>IFERROR(__xludf.DUMMYFUNCTION("GOOGLEFINANCE(""CURRENCY:INRBRL"")*F1075"),33.43486042539)</f>
        <v>33.43486043</v>
      </c>
      <c r="J1075" s="1">
        <v>4.5</v>
      </c>
      <c r="K1075" s="1">
        <v>13029.0</v>
      </c>
      <c r="L1075" s="1" t="s">
        <v>4067</v>
      </c>
      <c r="M1075" s="7" t="s">
        <v>4068</v>
      </c>
    </row>
    <row r="1076">
      <c r="A1076" s="1" t="s">
        <v>4069</v>
      </c>
      <c r="B1076" s="1" t="s">
        <v>4070</v>
      </c>
      <c r="C1076" s="1" t="s">
        <v>3851</v>
      </c>
      <c r="D1076" s="1" t="str">
        <f t="shared" si="1"/>
        <v>Home&amp;Kitchen</v>
      </c>
      <c r="E1076" s="1" t="str">
        <f t="shared" si="2"/>
        <v>Heating,Cooling&amp;AirQuality</v>
      </c>
      <c r="F1076" s="1">
        <v>899.0</v>
      </c>
      <c r="G1076" s="5">
        <v>1999.0</v>
      </c>
      <c r="H1076" s="6">
        <f t="shared" si="3"/>
        <v>0.5502751376</v>
      </c>
      <c r="I1076" s="3">
        <f>IFERROR(__xludf.DUMMYFUNCTION("GOOGLEFINANCE(""CURRENCY:INRBRL"")*F1076"),54.75034521389)</f>
        <v>54.75034521</v>
      </c>
      <c r="J1076" s="1">
        <v>4.51</v>
      </c>
      <c r="K1076" s="1">
        <v>291.0</v>
      </c>
      <c r="L1076" s="1" t="s">
        <v>4071</v>
      </c>
      <c r="M1076" s="7" t="s">
        <v>4072</v>
      </c>
    </row>
    <row r="1077">
      <c r="A1077" s="1" t="s">
        <v>4073</v>
      </c>
      <c r="B1077" s="1" t="s">
        <v>4074</v>
      </c>
      <c r="C1077" s="1" t="s">
        <v>3909</v>
      </c>
      <c r="D1077" s="1" t="str">
        <f t="shared" si="1"/>
        <v>Home&amp;Kitchen</v>
      </c>
      <c r="E1077" s="1" t="str">
        <f t="shared" si="2"/>
        <v>Kitchen&amp;HomeAppliances</v>
      </c>
      <c r="F1077" s="5">
        <v>1321.0</v>
      </c>
      <c r="G1077" s="5">
        <v>1545.0</v>
      </c>
      <c r="H1077" s="6">
        <f t="shared" si="3"/>
        <v>0.1449838188</v>
      </c>
      <c r="I1077" s="3">
        <f>IFERROR(__xludf.DUMMYFUNCTION("GOOGLEFINANCE(""CURRENCY:INRBRL"")*F1077"),80.45072973031)</f>
        <v>80.45072973</v>
      </c>
      <c r="J1077" s="1">
        <v>4.5</v>
      </c>
      <c r="K1077" s="1">
        <v>15453.0</v>
      </c>
      <c r="L1077" s="1" t="s">
        <v>4075</v>
      </c>
      <c r="M1077" s="7" t="s">
        <v>4076</v>
      </c>
    </row>
    <row r="1078">
      <c r="A1078" s="1" t="s">
        <v>4077</v>
      </c>
      <c r="B1078" s="1" t="s">
        <v>4078</v>
      </c>
      <c r="C1078" s="1" t="s">
        <v>3856</v>
      </c>
      <c r="D1078" s="1" t="str">
        <f t="shared" si="1"/>
        <v>Home&amp;Kitchen</v>
      </c>
      <c r="E1078" s="1" t="str">
        <f t="shared" si="2"/>
        <v>Kitchen&amp;HomeAppliances</v>
      </c>
      <c r="F1078" s="5">
        <v>1099.0</v>
      </c>
      <c r="G1078" s="5">
        <v>1999.0</v>
      </c>
      <c r="H1078" s="6">
        <f t="shared" si="3"/>
        <v>0.4502251126</v>
      </c>
      <c r="I1078" s="3">
        <f>IFERROR(__xludf.DUMMYFUNCTION("GOOGLEFINANCE(""CURRENCY:INRBRL"")*F1078"),66.93062223589)</f>
        <v>66.93062224</v>
      </c>
      <c r="J1078" s="1">
        <v>4.0</v>
      </c>
      <c r="K1078" s="1">
        <v>604.0</v>
      </c>
      <c r="L1078" s="1" t="s">
        <v>4079</v>
      </c>
      <c r="M1078" s="7" t="s">
        <v>4080</v>
      </c>
    </row>
    <row r="1079">
      <c r="A1079" s="1" t="s">
        <v>4081</v>
      </c>
      <c r="B1079" s="1" t="s">
        <v>4082</v>
      </c>
      <c r="C1079" s="1" t="s">
        <v>3909</v>
      </c>
      <c r="D1079" s="1" t="str">
        <f t="shared" si="1"/>
        <v>Home&amp;Kitchen</v>
      </c>
      <c r="E1079" s="1" t="str">
        <f t="shared" si="2"/>
        <v>Kitchen&amp;HomeAppliances</v>
      </c>
      <c r="F1079" s="1">
        <v>775.0</v>
      </c>
      <c r="G1079" s="1">
        <v>875.0</v>
      </c>
      <c r="H1079" s="6">
        <f t="shared" si="3"/>
        <v>0.1142857143</v>
      </c>
      <c r="I1079" s="3">
        <f>IFERROR(__xludf.DUMMYFUNCTION("GOOGLEFINANCE(""CURRENCY:INRBRL"")*F1079"),47.198573460249996)</f>
        <v>47.19857346</v>
      </c>
      <c r="J1079" s="1">
        <v>4.5</v>
      </c>
      <c r="K1079" s="1">
        <v>46647.0</v>
      </c>
      <c r="L1079" s="1" t="s">
        <v>4083</v>
      </c>
      <c r="M1079" s="7" t="s">
        <v>4084</v>
      </c>
    </row>
    <row r="1080">
      <c r="A1080" s="1" t="s">
        <v>4085</v>
      </c>
      <c r="B1080" s="1" t="s">
        <v>4086</v>
      </c>
      <c r="C1080" s="1" t="s">
        <v>3942</v>
      </c>
      <c r="D1080" s="1" t="str">
        <f t="shared" si="1"/>
        <v>Home&amp;Kitchen</v>
      </c>
      <c r="E1080" s="1" t="str">
        <f t="shared" si="2"/>
        <v>Heating,Cooling&amp;AirQuality</v>
      </c>
      <c r="F1080" s="5">
        <v>6299.0</v>
      </c>
      <c r="G1080" s="5">
        <v>15279.0</v>
      </c>
      <c r="H1080" s="6">
        <f t="shared" si="3"/>
        <v>0.5877347994</v>
      </c>
      <c r="I1080" s="3">
        <f>IFERROR(__xludf.DUMMYFUNCTION("GOOGLEFINANCE(""CURRENCY:INRBRL"")*F1080"),383.61782480789)</f>
        <v>383.6178248</v>
      </c>
      <c r="J1080" s="1">
        <v>4.49</v>
      </c>
      <c r="K1080" s="1">
        <v>3233.0</v>
      </c>
      <c r="L1080" s="1" t="s">
        <v>4087</v>
      </c>
      <c r="M1080" s="7" t="s">
        <v>4088</v>
      </c>
    </row>
    <row r="1081">
      <c r="A1081" s="1" t="s">
        <v>4089</v>
      </c>
      <c r="B1081" s="1" t="s">
        <v>4090</v>
      </c>
      <c r="C1081" s="1" t="s">
        <v>3994</v>
      </c>
      <c r="D1081" s="1" t="str">
        <f t="shared" si="1"/>
        <v>Home&amp;Kitchen</v>
      </c>
      <c r="E1081" s="1" t="str">
        <f t="shared" si="2"/>
        <v>Kitchen&amp;HomeAppliances</v>
      </c>
      <c r="F1081" s="5">
        <v>3199.0</v>
      </c>
      <c r="G1081" s="5">
        <v>4195.0</v>
      </c>
      <c r="H1081" s="6">
        <f t="shared" si="3"/>
        <v>0.2374255066</v>
      </c>
      <c r="I1081" s="3">
        <f>IFERROR(__xludf.DUMMYFUNCTION("GOOGLEFINANCE(""CURRENCY:INRBRL"")*F1081"),194.82353096689)</f>
        <v>194.823531</v>
      </c>
      <c r="J1081" s="1">
        <v>4.0</v>
      </c>
      <c r="K1081" s="1">
        <v>1282.0</v>
      </c>
      <c r="L1081" s="1" t="s">
        <v>4091</v>
      </c>
      <c r="M1081" s="7" t="s">
        <v>4092</v>
      </c>
    </row>
    <row r="1082">
      <c r="A1082" s="1" t="s">
        <v>4093</v>
      </c>
      <c r="B1082" s="1" t="s">
        <v>4094</v>
      </c>
      <c r="C1082" s="1" t="s">
        <v>3846</v>
      </c>
      <c r="D1082" s="1" t="str">
        <f t="shared" si="1"/>
        <v>Home&amp;Kitchen</v>
      </c>
      <c r="E1082" s="1" t="str">
        <f t="shared" si="2"/>
        <v>Heating,Cooling&amp;AirQuality</v>
      </c>
      <c r="F1082" s="1">
        <v>799.0</v>
      </c>
      <c r="G1082" s="5">
        <v>1989.0</v>
      </c>
      <c r="H1082" s="6">
        <f t="shared" si="3"/>
        <v>0.5982905983</v>
      </c>
      <c r="I1082" s="3">
        <f>IFERROR(__xludf.DUMMYFUNCTION("GOOGLEFINANCE(""CURRENCY:INRBRL"")*F1082"),48.66020670289)</f>
        <v>48.6602067</v>
      </c>
      <c r="J1082" s="1">
        <v>4.5</v>
      </c>
      <c r="K1082" s="1">
        <v>70.0</v>
      </c>
      <c r="L1082" s="1" t="s">
        <v>4095</v>
      </c>
      <c r="M1082" s="7" t="s">
        <v>4096</v>
      </c>
    </row>
    <row r="1083">
      <c r="A1083" s="1" t="s">
        <v>4097</v>
      </c>
      <c r="B1083" s="1" t="s">
        <v>4098</v>
      </c>
      <c r="C1083" s="1" t="s">
        <v>4011</v>
      </c>
      <c r="D1083" s="1" t="str">
        <f t="shared" si="1"/>
        <v>Home&amp;Kitchen</v>
      </c>
      <c r="E1083" s="1" t="str">
        <f t="shared" si="2"/>
        <v>Kitchen&amp;HomeAppliances</v>
      </c>
      <c r="F1083" s="5">
        <v>2699.0</v>
      </c>
      <c r="G1083" s="5">
        <v>4999.0</v>
      </c>
      <c r="H1083" s="6">
        <f t="shared" si="3"/>
        <v>0.4600920184</v>
      </c>
      <c r="I1083" s="3">
        <f>IFERROR(__xludf.DUMMYFUNCTION("GOOGLEFINANCE(""CURRENCY:INRBRL"")*F1083"),164.37283841189)</f>
        <v>164.3728384</v>
      </c>
      <c r="J1083" s="1">
        <v>4.0</v>
      </c>
      <c r="K1083" s="1">
        <v>26164.0</v>
      </c>
      <c r="L1083" s="1" t="s">
        <v>4099</v>
      </c>
      <c r="M1083" s="7" t="s">
        <v>4100</v>
      </c>
    </row>
    <row r="1084">
      <c r="A1084" s="1" t="s">
        <v>4101</v>
      </c>
      <c r="B1084" s="1" t="s">
        <v>4102</v>
      </c>
      <c r="C1084" s="1" t="s">
        <v>3909</v>
      </c>
      <c r="D1084" s="1" t="str">
        <f t="shared" si="1"/>
        <v>Home&amp;Kitchen</v>
      </c>
      <c r="E1084" s="1" t="str">
        <f t="shared" si="2"/>
        <v>Kitchen&amp;HomeAppliances</v>
      </c>
      <c r="F1084" s="1">
        <v>599.0</v>
      </c>
      <c r="G1084" s="1">
        <v>990.0</v>
      </c>
      <c r="H1084" s="6">
        <f t="shared" si="3"/>
        <v>0.3949494949</v>
      </c>
      <c r="I1084" s="3">
        <f>IFERROR(__xludf.DUMMYFUNCTION("GOOGLEFINANCE(""CURRENCY:INRBRL"")*F1084"),36.479929680889995)</f>
        <v>36.47992968</v>
      </c>
      <c r="J1084" s="1">
        <v>4.52</v>
      </c>
      <c r="K1084" s="1">
        <v>16166.0</v>
      </c>
      <c r="L1084" s="1" t="s">
        <v>4103</v>
      </c>
      <c r="M1084" s="7" t="s">
        <v>4104</v>
      </c>
    </row>
    <row r="1085">
      <c r="A1085" s="1" t="s">
        <v>4105</v>
      </c>
      <c r="B1085" s="1" t="s">
        <v>4106</v>
      </c>
      <c r="C1085" s="1" t="s">
        <v>3937</v>
      </c>
      <c r="D1085" s="1" t="str">
        <f t="shared" si="1"/>
        <v>Home&amp;Kitchen</v>
      </c>
      <c r="E1085" s="1" t="str">
        <f t="shared" si="2"/>
        <v>Kitchen&amp;HomeAppliances</v>
      </c>
      <c r="F1085" s="1">
        <v>749.0</v>
      </c>
      <c r="G1085" s="5">
        <v>1111.0</v>
      </c>
      <c r="H1085" s="6">
        <f t="shared" si="3"/>
        <v>0.3258325833</v>
      </c>
      <c r="I1085" s="3">
        <f>IFERROR(__xludf.DUMMYFUNCTION("GOOGLEFINANCE(""CURRENCY:INRBRL"")*F1085"),45.61513744739)</f>
        <v>45.61513745</v>
      </c>
      <c r="J1085" s="1">
        <v>4.5</v>
      </c>
      <c r="K1085" s="1">
        <v>35693.0</v>
      </c>
      <c r="L1085" s="1" t="s">
        <v>4107</v>
      </c>
      <c r="M1085" s="7" t="s">
        <v>4108</v>
      </c>
    </row>
    <row r="1086">
      <c r="A1086" s="1" t="s">
        <v>4109</v>
      </c>
      <c r="B1086" s="1" t="s">
        <v>4110</v>
      </c>
      <c r="C1086" s="1" t="s">
        <v>3942</v>
      </c>
      <c r="D1086" s="1" t="str">
        <f t="shared" si="1"/>
        <v>Home&amp;Kitchen</v>
      </c>
      <c r="E1086" s="1" t="str">
        <f t="shared" si="2"/>
        <v>Heating,Cooling&amp;AirQuality</v>
      </c>
      <c r="F1086" s="5">
        <v>6199.0</v>
      </c>
      <c r="G1086" s="5">
        <v>10399.0</v>
      </c>
      <c r="H1086" s="6">
        <f t="shared" si="3"/>
        <v>0.4038849889</v>
      </c>
      <c r="I1086" s="3">
        <f>IFERROR(__xludf.DUMMYFUNCTION("GOOGLEFINANCE(""CURRENCY:INRBRL"")*F1086"),377.52768629689)</f>
        <v>377.5276863</v>
      </c>
      <c r="J1086" s="1">
        <v>4.49</v>
      </c>
      <c r="K1086" s="1">
        <v>14391.0</v>
      </c>
      <c r="L1086" s="1" t="s">
        <v>4111</v>
      </c>
      <c r="M1086" s="7" t="s">
        <v>4112</v>
      </c>
    </row>
    <row r="1087">
      <c r="A1087" s="1" t="s">
        <v>4113</v>
      </c>
      <c r="B1087" s="1" t="s">
        <v>4114</v>
      </c>
      <c r="C1087" s="1" t="s">
        <v>4115</v>
      </c>
      <c r="D1087" s="1" t="str">
        <f t="shared" si="1"/>
        <v>Home&amp;Kitchen</v>
      </c>
      <c r="E1087" s="1" t="str">
        <f t="shared" si="2"/>
        <v>Kitchen&amp;HomeAppliances</v>
      </c>
      <c r="F1087" s="5">
        <v>1819.0</v>
      </c>
      <c r="G1087" s="5">
        <v>2499.0</v>
      </c>
      <c r="H1087" s="6">
        <f t="shared" si="3"/>
        <v>0.2721088435</v>
      </c>
      <c r="I1087" s="3">
        <f>IFERROR(__xludf.DUMMYFUNCTION("GOOGLEFINANCE(""CURRENCY:INRBRL"")*F1087"),110.77961951508999)</f>
        <v>110.7796195</v>
      </c>
      <c r="J1087" s="1">
        <v>4.5</v>
      </c>
      <c r="K1087" s="1">
        <v>7946.0</v>
      </c>
      <c r="L1087" s="1" t="s">
        <v>4116</v>
      </c>
      <c r="M1087" s="7" t="s">
        <v>4117</v>
      </c>
    </row>
    <row r="1088">
      <c r="A1088" s="1" t="s">
        <v>4118</v>
      </c>
      <c r="B1088" s="1" t="s">
        <v>4119</v>
      </c>
      <c r="C1088" s="1" t="s">
        <v>3937</v>
      </c>
      <c r="D1088" s="1" t="str">
        <f t="shared" si="1"/>
        <v>Home&amp;Kitchen</v>
      </c>
      <c r="E1088" s="1" t="str">
        <f t="shared" si="2"/>
        <v>Kitchen&amp;HomeAppliances</v>
      </c>
      <c r="F1088" s="5">
        <v>1199.0</v>
      </c>
      <c r="G1088" s="5">
        <v>1899.0</v>
      </c>
      <c r="H1088" s="6">
        <f t="shared" si="3"/>
        <v>0.3686150606</v>
      </c>
      <c r="I1088" s="3">
        <f>IFERROR(__xludf.DUMMYFUNCTION("GOOGLEFINANCE(""CURRENCY:INRBRL"")*F1088"),73.02076074688999)</f>
        <v>73.02076075</v>
      </c>
      <c r="J1088" s="1">
        <v>4.0</v>
      </c>
      <c r="K1088" s="1">
        <v>1765.0</v>
      </c>
      <c r="L1088" s="1" t="s">
        <v>4120</v>
      </c>
      <c r="M1088" s="7" t="s">
        <v>4121</v>
      </c>
    </row>
    <row r="1089">
      <c r="A1089" s="1" t="s">
        <v>4122</v>
      </c>
      <c r="B1089" s="1" t="s">
        <v>4123</v>
      </c>
      <c r="C1089" s="1" t="s">
        <v>3914</v>
      </c>
      <c r="D1089" s="1" t="str">
        <f t="shared" si="1"/>
        <v>Home&amp;Kitchen</v>
      </c>
      <c r="E1089" s="1" t="str">
        <f t="shared" si="2"/>
        <v>Kitchen&amp;HomeAppliances</v>
      </c>
      <c r="F1089" s="5">
        <v>3249.0</v>
      </c>
      <c r="G1089" s="5">
        <v>6295.0</v>
      </c>
      <c r="H1089" s="6">
        <f t="shared" si="3"/>
        <v>0.4838760921</v>
      </c>
      <c r="I1089" s="3">
        <f>IFERROR(__xludf.DUMMYFUNCTION("GOOGLEFINANCE(""CURRENCY:INRBRL"")*F1089"),197.86860022239)</f>
        <v>197.8686002</v>
      </c>
      <c r="J1089" s="1">
        <v>4.51</v>
      </c>
      <c r="K1089" s="1">
        <v>14062.0</v>
      </c>
      <c r="L1089" s="1" t="s">
        <v>4124</v>
      </c>
      <c r="M1089" s="7" t="s">
        <v>4125</v>
      </c>
    </row>
    <row r="1090">
      <c r="A1090" s="1" t="s">
        <v>4126</v>
      </c>
      <c r="B1090" s="1" t="s">
        <v>4127</v>
      </c>
      <c r="C1090" s="1" t="s">
        <v>4049</v>
      </c>
      <c r="D1090" s="1" t="str">
        <f t="shared" si="1"/>
        <v>Home&amp;Kitchen</v>
      </c>
      <c r="E1090" s="1" t="str">
        <f t="shared" si="2"/>
        <v>Kitchen&amp;HomeAppliances</v>
      </c>
      <c r="F1090" s="1">
        <v>349.0</v>
      </c>
      <c r="G1090" s="1">
        <v>999.0</v>
      </c>
      <c r="H1090" s="6">
        <f t="shared" si="3"/>
        <v>0.6506506507</v>
      </c>
      <c r="I1090" s="3">
        <f>IFERROR(__xludf.DUMMYFUNCTION("GOOGLEFINANCE(""CURRENCY:INRBRL"")*F1090"),21.25458340339)</f>
        <v>21.2545834</v>
      </c>
      <c r="J1090" s="1">
        <v>4.0</v>
      </c>
      <c r="K1090" s="1">
        <v>15646.0</v>
      </c>
      <c r="L1090" s="1" t="s">
        <v>4128</v>
      </c>
      <c r="M1090" s="7" t="s">
        <v>4129</v>
      </c>
    </row>
    <row r="1091">
      <c r="A1091" s="1" t="s">
        <v>4130</v>
      </c>
      <c r="B1091" s="1" t="s">
        <v>4131</v>
      </c>
      <c r="C1091" s="1" t="s">
        <v>3851</v>
      </c>
      <c r="D1091" s="1" t="str">
        <f t="shared" si="1"/>
        <v>Home&amp;Kitchen</v>
      </c>
      <c r="E1091" s="1" t="str">
        <f t="shared" si="2"/>
        <v>Heating,Cooling&amp;AirQuality</v>
      </c>
      <c r="F1091" s="5">
        <v>1049.0</v>
      </c>
      <c r="G1091" s="5">
        <v>1699.0</v>
      </c>
      <c r="H1091" s="6">
        <f t="shared" si="3"/>
        <v>0.3825779871</v>
      </c>
      <c r="I1091" s="3">
        <f>IFERROR(__xludf.DUMMYFUNCTION("GOOGLEFINANCE(""CURRENCY:INRBRL"")*F1091"),63.885552980389996)</f>
        <v>63.88555298</v>
      </c>
      <c r="J1091" s="1">
        <v>4.49</v>
      </c>
      <c r="K1091" s="1">
        <v>111.0</v>
      </c>
      <c r="L1091" s="1" t="s">
        <v>4132</v>
      </c>
      <c r="M1091" s="7" t="s">
        <v>4133</v>
      </c>
    </row>
    <row r="1092">
      <c r="A1092" s="1" t="s">
        <v>4134</v>
      </c>
      <c r="B1092" s="1" t="s">
        <v>4135</v>
      </c>
      <c r="C1092" s="1" t="s">
        <v>4136</v>
      </c>
      <c r="D1092" s="1" t="str">
        <f t="shared" si="1"/>
        <v>Home&amp;Kitchen</v>
      </c>
      <c r="E1092" s="1" t="str">
        <f t="shared" si="2"/>
        <v>Kitchen&amp;HomeAppliances</v>
      </c>
      <c r="F1092" s="1">
        <v>799.0</v>
      </c>
      <c r="G1092" s="5">
        <v>1499.0</v>
      </c>
      <c r="H1092" s="6">
        <f t="shared" si="3"/>
        <v>0.4669779853</v>
      </c>
      <c r="I1092" s="3">
        <f>IFERROR(__xludf.DUMMYFUNCTION("GOOGLEFINANCE(""CURRENCY:INRBRL"")*F1092"),48.66020670289)</f>
        <v>48.6602067</v>
      </c>
      <c r="J1092" s="1">
        <v>4.5</v>
      </c>
      <c r="K1092" s="1">
        <v>9695.0</v>
      </c>
      <c r="L1092" s="1" t="s">
        <v>4137</v>
      </c>
      <c r="M1092" s="7" t="s">
        <v>4138</v>
      </c>
    </row>
    <row r="1093">
      <c r="A1093" s="1" t="s">
        <v>4139</v>
      </c>
      <c r="B1093" s="1" t="s">
        <v>4140</v>
      </c>
      <c r="C1093" s="1" t="s">
        <v>3942</v>
      </c>
      <c r="D1093" s="1" t="str">
        <f t="shared" si="1"/>
        <v>Home&amp;Kitchen</v>
      </c>
      <c r="E1093" s="1" t="str">
        <f t="shared" si="2"/>
        <v>Heating,Cooling&amp;AirQuality</v>
      </c>
      <c r="F1093" s="5">
        <v>4999.0</v>
      </c>
      <c r="G1093" s="5">
        <v>9649.0</v>
      </c>
      <c r="H1093" s="6">
        <f t="shared" si="3"/>
        <v>0.4819152244</v>
      </c>
      <c r="I1093" s="3">
        <f>IFERROR(__xludf.DUMMYFUNCTION("GOOGLEFINANCE(""CURRENCY:INRBRL"")*F1093"),304.44602416489)</f>
        <v>304.4460242</v>
      </c>
      <c r="J1093" s="1">
        <v>4.5</v>
      </c>
      <c r="K1093" s="1">
        <v>1772.0</v>
      </c>
      <c r="L1093" s="1" t="s">
        <v>4141</v>
      </c>
      <c r="M1093" s="7" t="s">
        <v>4142</v>
      </c>
    </row>
    <row r="1094">
      <c r="A1094" s="1" t="s">
        <v>4143</v>
      </c>
      <c r="B1094" s="1" t="s">
        <v>4144</v>
      </c>
      <c r="C1094" s="1" t="s">
        <v>3914</v>
      </c>
      <c r="D1094" s="1" t="str">
        <f t="shared" si="1"/>
        <v>Home&amp;Kitchen</v>
      </c>
      <c r="E1094" s="1" t="str">
        <f t="shared" si="2"/>
        <v>Kitchen&amp;HomeAppliances</v>
      </c>
      <c r="F1094" s="5">
        <v>6999.0</v>
      </c>
      <c r="G1094" s="5">
        <v>10599.0</v>
      </c>
      <c r="H1094" s="6">
        <f t="shared" si="3"/>
        <v>0.3396546844</v>
      </c>
      <c r="I1094" s="3">
        <f>IFERROR(__xludf.DUMMYFUNCTION("GOOGLEFINANCE(""CURRENCY:INRBRL"")*F1094"),426.24879438489)</f>
        <v>426.2487944</v>
      </c>
      <c r="J1094" s="1">
        <v>4.5</v>
      </c>
      <c r="K1094" s="1">
        <v>11499.0</v>
      </c>
      <c r="L1094" s="1" t="s">
        <v>4145</v>
      </c>
      <c r="M1094" s="7" t="s">
        <v>4146</v>
      </c>
    </row>
    <row r="1095">
      <c r="A1095" s="1" t="s">
        <v>4147</v>
      </c>
      <c r="B1095" s="1" t="s">
        <v>4148</v>
      </c>
      <c r="C1095" s="1" t="s">
        <v>3861</v>
      </c>
      <c r="D1095" s="1" t="str">
        <f t="shared" si="1"/>
        <v>Home&amp;Kitchen</v>
      </c>
      <c r="E1095" s="1" t="str">
        <f t="shared" si="2"/>
        <v>Kitchen&amp;HomeAppliances</v>
      </c>
      <c r="F1095" s="1">
        <v>799.0</v>
      </c>
      <c r="G1095" s="5">
        <v>1999.0</v>
      </c>
      <c r="H1095" s="6">
        <f t="shared" si="3"/>
        <v>0.6003001501</v>
      </c>
      <c r="I1095" s="3">
        <f>IFERROR(__xludf.DUMMYFUNCTION("GOOGLEFINANCE(""CURRENCY:INRBRL"")*F1095"),48.66020670289)</f>
        <v>48.6602067</v>
      </c>
      <c r="J1095" s="1">
        <v>4.49</v>
      </c>
      <c r="K1095" s="1">
        <v>2162.0</v>
      </c>
      <c r="L1095" s="1" t="s">
        <v>4149</v>
      </c>
      <c r="M1095" s="7" t="s">
        <v>4150</v>
      </c>
    </row>
    <row r="1096">
      <c r="A1096" s="1" t="s">
        <v>4151</v>
      </c>
      <c r="B1096" s="1" t="s">
        <v>4152</v>
      </c>
      <c r="C1096" s="1" t="s">
        <v>4153</v>
      </c>
      <c r="D1096" s="1" t="str">
        <f t="shared" si="1"/>
        <v>Home&amp;Kitchen</v>
      </c>
      <c r="E1096" s="1" t="str">
        <f t="shared" si="2"/>
        <v>Kitchen&amp;HomeAppliances</v>
      </c>
      <c r="F1096" s="1">
        <v>89.0</v>
      </c>
      <c r="G1096" s="1">
        <v>89.0</v>
      </c>
      <c r="H1096" s="6">
        <f t="shared" si="3"/>
        <v>0</v>
      </c>
      <c r="I1096" s="3">
        <f>IFERROR(__xludf.DUMMYFUNCTION("GOOGLEFINANCE(""CURRENCY:INRBRL"")*F1096"),5.42022327479)</f>
        <v>5.420223275</v>
      </c>
      <c r="J1096" s="1">
        <v>4.5</v>
      </c>
      <c r="K1096" s="1">
        <v>19621.0</v>
      </c>
      <c r="L1096" s="1" t="s">
        <v>4154</v>
      </c>
      <c r="M1096" s="7" t="s">
        <v>4155</v>
      </c>
    </row>
    <row r="1097">
      <c r="A1097" s="1" t="s">
        <v>4156</v>
      </c>
      <c r="B1097" s="1" t="s">
        <v>4157</v>
      </c>
      <c r="C1097" s="1" t="s">
        <v>4158</v>
      </c>
      <c r="D1097" s="1" t="str">
        <f t="shared" si="1"/>
        <v>Home&amp;Kitchen</v>
      </c>
      <c r="E1097" s="1" t="str">
        <f t="shared" si="2"/>
        <v>Heating,Cooling&amp;AirQuality</v>
      </c>
      <c r="F1097" s="5">
        <v>1399.0</v>
      </c>
      <c r="G1097" s="5">
        <v>2485.0</v>
      </c>
      <c r="H1097" s="6">
        <f t="shared" si="3"/>
        <v>0.4370221328</v>
      </c>
      <c r="I1097" s="3">
        <f>IFERROR(__xludf.DUMMYFUNCTION("GOOGLEFINANCE(""CURRENCY:INRBRL"")*F1097"),85.20103776889)</f>
        <v>85.20103777</v>
      </c>
      <c r="J1097" s="1">
        <v>4.49</v>
      </c>
      <c r="K1097" s="1">
        <v>19998.0</v>
      </c>
      <c r="L1097" s="1" t="s">
        <v>4159</v>
      </c>
      <c r="M1097" s="7" t="s">
        <v>4160</v>
      </c>
    </row>
    <row r="1098">
      <c r="A1098" s="1" t="s">
        <v>4161</v>
      </c>
      <c r="B1098" s="1" t="s">
        <v>4162</v>
      </c>
      <c r="C1098" s="1" t="s">
        <v>3989</v>
      </c>
      <c r="D1098" s="1" t="str">
        <f t="shared" si="1"/>
        <v>Home&amp;Kitchen</v>
      </c>
      <c r="E1098" s="1" t="str">
        <f t="shared" si="2"/>
        <v>HomeStorage&amp;Organization</v>
      </c>
      <c r="F1098" s="1">
        <v>355.0</v>
      </c>
      <c r="G1098" s="1">
        <v>899.0</v>
      </c>
      <c r="H1098" s="6">
        <f t="shared" si="3"/>
        <v>0.6051167964</v>
      </c>
      <c r="I1098" s="3">
        <f>IFERROR(__xludf.DUMMYFUNCTION("GOOGLEFINANCE(""CURRENCY:INRBRL"")*F1098"),21.61999171405)</f>
        <v>21.61999171</v>
      </c>
      <c r="J1098" s="1">
        <v>4.49</v>
      </c>
      <c r="K1098" s="1">
        <v>1051.0</v>
      </c>
      <c r="L1098" s="1" t="s">
        <v>4163</v>
      </c>
      <c r="M1098" s="7" t="s">
        <v>4164</v>
      </c>
    </row>
    <row r="1099">
      <c r="A1099" s="1" t="s">
        <v>4165</v>
      </c>
      <c r="B1099" s="1" t="s">
        <v>4166</v>
      </c>
      <c r="C1099" s="1" t="s">
        <v>3846</v>
      </c>
      <c r="D1099" s="1" t="str">
        <f t="shared" si="1"/>
        <v>Home&amp;Kitchen</v>
      </c>
      <c r="E1099" s="1" t="str">
        <f t="shared" si="2"/>
        <v>Heating,Cooling&amp;AirQuality</v>
      </c>
      <c r="F1099" s="5">
        <v>2169.0</v>
      </c>
      <c r="G1099" s="5">
        <v>3279.0</v>
      </c>
      <c r="H1099" s="6">
        <f t="shared" si="3"/>
        <v>0.3385178408</v>
      </c>
      <c r="I1099" s="3">
        <f>IFERROR(__xludf.DUMMYFUNCTION("GOOGLEFINANCE(""CURRENCY:INRBRL"")*F1099"),132.09510430359)</f>
        <v>132.0951043</v>
      </c>
      <c r="J1099" s="1">
        <v>4.49</v>
      </c>
      <c r="K1099" s="1">
        <v>1716.0</v>
      </c>
      <c r="L1099" s="1" t="s">
        <v>4167</v>
      </c>
      <c r="M1099" s="7" t="s">
        <v>4168</v>
      </c>
    </row>
    <row r="1100">
      <c r="A1100" s="1" t="s">
        <v>4169</v>
      </c>
      <c r="B1100" s="1" t="s">
        <v>4170</v>
      </c>
      <c r="C1100" s="1" t="s">
        <v>4171</v>
      </c>
      <c r="D1100" s="1" t="str">
        <f t="shared" si="1"/>
        <v>Home&amp;Kitchen</v>
      </c>
      <c r="E1100" s="1" t="str">
        <f t="shared" si="2"/>
        <v>Kitchen&amp;HomeAppliances</v>
      </c>
      <c r="F1100" s="5">
        <v>2799.0</v>
      </c>
      <c r="G1100" s="5">
        <v>3799.0</v>
      </c>
      <c r="H1100" s="6">
        <f t="shared" si="3"/>
        <v>0.263227165</v>
      </c>
      <c r="I1100" s="3">
        <f>IFERROR(__xludf.DUMMYFUNCTION("GOOGLEFINANCE(""CURRENCY:INRBRL"")*F1100"),170.46297692289)</f>
        <v>170.4629769</v>
      </c>
      <c r="J1100" s="1">
        <v>4.52</v>
      </c>
      <c r="K1100" s="1">
        <v>32931.0</v>
      </c>
      <c r="L1100" s="1" t="s">
        <v>4172</v>
      </c>
      <c r="M1100" s="7" t="s">
        <v>4173</v>
      </c>
    </row>
    <row r="1101">
      <c r="A1101" s="1" t="s">
        <v>4174</v>
      </c>
      <c r="B1101" s="1" t="s">
        <v>4175</v>
      </c>
      <c r="C1101" s="1" t="s">
        <v>3841</v>
      </c>
      <c r="D1101" s="1" t="str">
        <f t="shared" si="1"/>
        <v>Home&amp;Kitchen</v>
      </c>
      <c r="E1101" s="1" t="str">
        <f t="shared" si="2"/>
        <v>Kitchen&amp;HomeAppliances</v>
      </c>
      <c r="F1101" s="1">
        <v>899.0</v>
      </c>
      <c r="G1101" s="5">
        <v>1249.0</v>
      </c>
      <c r="H1101" s="6">
        <f t="shared" si="3"/>
        <v>0.2802241793</v>
      </c>
      <c r="I1101" s="3">
        <f>IFERROR(__xludf.DUMMYFUNCTION("GOOGLEFINANCE(""CURRENCY:INRBRL"")*F1101"),54.75034521389)</f>
        <v>54.75034521</v>
      </c>
      <c r="J1101" s="1">
        <v>4.52</v>
      </c>
      <c r="K1101" s="1">
        <v>17424.0</v>
      </c>
      <c r="L1101" s="1" t="s">
        <v>4176</v>
      </c>
      <c r="M1101" s="7" t="s">
        <v>4177</v>
      </c>
    </row>
    <row r="1102">
      <c r="A1102" s="1" t="s">
        <v>4178</v>
      </c>
      <c r="B1102" s="1" t="s">
        <v>4179</v>
      </c>
      <c r="C1102" s="1" t="s">
        <v>3924</v>
      </c>
      <c r="D1102" s="1" t="str">
        <f t="shared" si="1"/>
        <v>Home&amp;Kitchen</v>
      </c>
      <c r="E1102" s="1" t="str">
        <f t="shared" si="2"/>
        <v>Heating,Cooling&amp;AirQuality</v>
      </c>
      <c r="F1102" s="1">
        <v>2.5</v>
      </c>
      <c r="G1102" s="5">
        <v>4999.0</v>
      </c>
      <c r="H1102" s="6">
        <f t="shared" si="3"/>
        <v>0.9994999</v>
      </c>
      <c r="I1102" s="3">
        <f>IFERROR(__xludf.DUMMYFUNCTION("GOOGLEFINANCE(""CURRENCY:INRBRL"")*F1102"),0.152253462775)</f>
        <v>0.1522534628</v>
      </c>
      <c r="J1102" s="1">
        <v>4.51</v>
      </c>
      <c r="K1102" s="1">
        <v>1889.0</v>
      </c>
      <c r="L1102" s="1" t="s">
        <v>4180</v>
      </c>
      <c r="M1102" s="7" t="s">
        <v>4181</v>
      </c>
    </row>
    <row r="1103">
      <c r="A1103" s="1" t="s">
        <v>4182</v>
      </c>
      <c r="B1103" s="1" t="s">
        <v>4183</v>
      </c>
      <c r="C1103" s="1" t="s">
        <v>3919</v>
      </c>
      <c r="D1103" s="1" t="str">
        <f t="shared" si="1"/>
        <v>Home&amp;Kitchen</v>
      </c>
      <c r="E1103" s="1" t="str">
        <f t="shared" si="2"/>
        <v>Heating,Cooling&amp;AirQuality</v>
      </c>
      <c r="F1103" s="1">
        <v>3.6</v>
      </c>
      <c r="G1103" s="5">
        <v>7299.0</v>
      </c>
      <c r="H1103" s="6">
        <f t="shared" si="3"/>
        <v>0.9995067818</v>
      </c>
      <c r="I1103" s="3">
        <f>IFERROR(__xludf.DUMMYFUNCTION("GOOGLEFINANCE(""CURRENCY:INRBRL"")*F1103"),0.21924498639599999)</f>
        <v>0.2192449864</v>
      </c>
      <c r="J1103" s="1">
        <v>4.0</v>
      </c>
      <c r="K1103" s="1">
        <v>10324.0</v>
      </c>
      <c r="L1103" s="1" t="s">
        <v>4184</v>
      </c>
      <c r="M1103" s="7" t="s">
        <v>4185</v>
      </c>
    </row>
    <row r="1104">
      <c r="A1104" s="1" t="s">
        <v>4186</v>
      </c>
      <c r="B1104" s="1" t="s">
        <v>4187</v>
      </c>
      <c r="C1104" s="1" t="s">
        <v>3909</v>
      </c>
      <c r="D1104" s="1" t="str">
        <f t="shared" si="1"/>
        <v>Home&amp;Kitchen</v>
      </c>
      <c r="E1104" s="1" t="str">
        <f t="shared" si="2"/>
        <v>Kitchen&amp;HomeAppliances</v>
      </c>
      <c r="F1104" s="1">
        <v>499.0</v>
      </c>
      <c r="G1104" s="1">
        <v>625.0</v>
      </c>
      <c r="H1104" s="6">
        <f t="shared" si="3"/>
        <v>0.2016</v>
      </c>
      <c r="I1104" s="3">
        <f>IFERROR(__xludf.DUMMYFUNCTION("GOOGLEFINANCE(""CURRENCY:INRBRL"")*F1104"),30.38979116989)</f>
        <v>30.38979117</v>
      </c>
      <c r="J1104" s="1">
        <v>4.5</v>
      </c>
      <c r="K1104" s="1">
        <v>5355.0</v>
      </c>
      <c r="L1104" s="1" t="s">
        <v>4188</v>
      </c>
      <c r="M1104" s="7" t="s">
        <v>4189</v>
      </c>
    </row>
    <row r="1105">
      <c r="A1105" s="1" t="s">
        <v>4190</v>
      </c>
      <c r="B1105" s="1" t="s">
        <v>4191</v>
      </c>
      <c r="C1105" s="1" t="s">
        <v>3971</v>
      </c>
      <c r="D1105" s="1" t="str">
        <f t="shared" si="1"/>
        <v>Home&amp;Kitchen</v>
      </c>
      <c r="E1105" s="1" t="str">
        <f t="shared" si="2"/>
        <v>Heating,Cooling&amp;AirQuality</v>
      </c>
      <c r="F1105" s="1">
        <v>653.0</v>
      </c>
      <c r="G1105" s="5">
        <v>1099.0</v>
      </c>
      <c r="H1105" s="6">
        <f t="shared" si="3"/>
        <v>0.4058234759</v>
      </c>
      <c r="I1105" s="3">
        <f>IFERROR(__xludf.DUMMYFUNCTION("GOOGLEFINANCE(""CURRENCY:INRBRL"")*F1105"),39.76860447683)</f>
        <v>39.76860448</v>
      </c>
      <c r="J1105" s="1">
        <v>4.49</v>
      </c>
      <c r="K1105" s="1">
        <v>3366.0</v>
      </c>
      <c r="L1105" s="1" t="s">
        <v>4192</v>
      </c>
      <c r="M1105" s="7" t="s">
        <v>4193</v>
      </c>
    </row>
    <row r="1106">
      <c r="A1106" s="1" t="s">
        <v>4194</v>
      </c>
      <c r="B1106" s="1" t="s">
        <v>4195</v>
      </c>
      <c r="C1106" s="1" t="s">
        <v>4196</v>
      </c>
      <c r="D1106" s="1" t="str">
        <f t="shared" si="1"/>
        <v>Home&amp;Kitchen</v>
      </c>
      <c r="E1106" s="1" t="str">
        <f t="shared" si="2"/>
        <v>Kitchen&amp;HomeAppliances</v>
      </c>
      <c r="F1106" s="5">
        <v>4789.0</v>
      </c>
      <c r="G1106" s="5">
        <v>8999.0</v>
      </c>
      <c r="H1106" s="6">
        <f t="shared" si="3"/>
        <v>0.4678297589</v>
      </c>
      <c r="I1106" s="3">
        <f>IFERROR(__xludf.DUMMYFUNCTION("GOOGLEFINANCE(""CURRENCY:INRBRL"")*F1106"),291.65673329179)</f>
        <v>291.6567333</v>
      </c>
      <c r="J1106" s="1">
        <v>4.5</v>
      </c>
      <c r="K1106" s="1">
        <v>1017.0</v>
      </c>
      <c r="L1106" s="1" t="s">
        <v>4197</v>
      </c>
      <c r="M1106" s="7" t="s">
        <v>4198</v>
      </c>
    </row>
    <row r="1107">
      <c r="A1107" s="1" t="s">
        <v>4199</v>
      </c>
      <c r="B1107" s="1" t="s">
        <v>4200</v>
      </c>
      <c r="C1107" s="1" t="s">
        <v>4201</v>
      </c>
      <c r="D1107" s="1" t="str">
        <f t="shared" si="1"/>
        <v>Home&amp;Kitchen</v>
      </c>
      <c r="E1107" s="1" t="str">
        <f t="shared" si="2"/>
        <v>Heating,Cooling&amp;AirQuality</v>
      </c>
      <c r="F1107" s="5">
        <v>1409.0</v>
      </c>
      <c r="G1107" s="5">
        <v>1639.0</v>
      </c>
      <c r="H1107" s="6">
        <f t="shared" si="3"/>
        <v>0.1403294692</v>
      </c>
      <c r="I1107" s="3">
        <f>IFERROR(__xludf.DUMMYFUNCTION("GOOGLEFINANCE(""CURRENCY:INRBRL"")*F1107"),85.81005161998999)</f>
        <v>85.81005162</v>
      </c>
      <c r="J1107" s="1">
        <v>4.51</v>
      </c>
      <c r="K1107" s="1">
        <v>787.0</v>
      </c>
      <c r="L1107" s="1" t="s">
        <v>4202</v>
      </c>
      <c r="M1107" s="7" t="s">
        <v>4203</v>
      </c>
    </row>
    <row r="1108">
      <c r="A1108" s="1" t="s">
        <v>4204</v>
      </c>
      <c r="B1108" s="1" t="s">
        <v>4205</v>
      </c>
      <c r="C1108" s="1" t="s">
        <v>3904</v>
      </c>
      <c r="D1108" s="1" t="str">
        <f t="shared" si="1"/>
        <v>Home&amp;Kitchen</v>
      </c>
      <c r="E1108" s="1" t="str">
        <f t="shared" si="2"/>
        <v>Kitchen&amp;HomeAppliances</v>
      </c>
      <c r="F1108" s="1">
        <v>753.0</v>
      </c>
      <c r="G1108" s="1">
        <v>899.0</v>
      </c>
      <c r="H1108" s="6">
        <f t="shared" si="3"/>
        <v>0.1624026696</v>
      </c>
      <c r="I1108" s="3">
        <f>IFERROR(__xludf.DUMMYFUNCTION("GOOGLEFINANCE(""CURRENCY:INRBRL"")*F1108"),45.85874298783)</f>
        <v>45.85874299</v>
      </c>
      <c r="J1108" s="1">
        <v>4.5</v>
      </c>
      <c r="K1108" s="1">
        <v>18462.0</v>
      </c>
      <c r="L1108" s="1" t="s">
        <v>4206</v>
      </c>
      <c r="M1108" s="7" t="s">
        <v>4207</v>
      </c>
    </row>
    <row r="1109">
      <c r="A1109" s="1" t="s">
        <v>4208</v>
      </c>
      <c r="B1109" s="1" t="s">
        <v>4209</v>
      </c>
      <c r="C1109" s="1" t="s">
        <v>4049</v>
      </c>
      <c r="D1109" s="1" t="str">
        <f t="shared" si="1"/>
        <v>Home&amp;Kitchen</v>
      </c>
      <c r="E1109" s="1" t="str">
        <f t="shared" si="2"/>
        <v>Kitchen&amp;HomeAppliances</v>
      </c>
      <c r="F1109" s="1">
        <v>353.0</v>
      </c>
      <c r="G1109" s="5">
        <v>1199.0</v>
      </c>
      <c r="H1109" s="6">
        <f t="shared" si="3"/>
        <v>0.70558799</v>
      </c>
      <c r="I1109" s="3">
        <f>IFERROR(__xludf.DUMMYFUNCTION("GOOGLEFINANCE(""CURRENCY:INRBRL"")*F1109"),21.498188943829998)</f>
        <v>21.49818894</v>
      </c>
      <c r="J1109" s="1">
        <v>4.5</v>
      </c>
      <c r="K1109" s="1">
        <v>629.0</v>
      </c>
      <c r="L1109" s="1" t="s">
        <v>4210</v>
      </c>
      <c r="M1109" s="7" t="s">
        <v>4211</v>
      </c>
    </row>
    <row r="1110">
      <c r="A1110" s="1" t="s">
        <v>4212</v>
      </c>
      <c r="B1110" s="1" t="s">
        <v>4213</v>
      </c>
      <c r="C1110" s="1" t="s">
        <v>3861</v>
      </c>
      <c r="D1110" s="1" t="str">
        <f t="shared" si="1"/>
        <v>Home&amp;Kitchen</v>
      </c>
      <c r="E1110" s="1" t="str">
        <f t="shared" si="2"/>
        <v>Kitchen&amp;HomeAppliances</v>
      </c>
      <c r="F1110" s="5">
        <v>1099.0</v>
      </c>
      <c r="G1110" s="5">
        <v>1899.0</v>
      </c>
      <c r="H1110" s="6">
        <f t="shared" si="3"/>
        <v>0.4212743549</v>
      </c>
      <c r="I1110" s="3">
        <f>IFERROR(__xludf.DUMMYFUNCTION("GOOGLEFINANCE(""CURRENCY:INRBRL"")*F1110"),66.93062223589)</f>
        <v>66.93062224</v>
      </c>
      <c r="J1110" s="1">
        <v>4.5</v>
      </c>
      <c r="K1110" s="1">
        <v>15276.0</v>
      </c>
      <c r="L1110" s="1" t="s">
        <v>4214</v>
      </c>
      <c r="M1110" s="7" t="s">
        <v>4215</v>
      </c>
    </row>
    <row r="1111">
      <c r="A1111" s="1" t="s">
        <v>4216</v>
      </c>
      <c r="B1111" s="1" t="s">
        <v>4217</v>
      </c>
      <c r="C1111" s="1" t="s">
        <v>3984</v>
      </c>
      <c r="D1111" s="1" t="str">
        <f t="shared" si="1"/>
        <v>Home&amp;Kitchen</v>
      </c>
      <c r="E1111" s="1" t="str">
        <f t="shared" si="2"/>
        <v>Kitchen&amp;HomeAppliances</v>
      </c>
      <c r="F1111" s="5">
        <v>8799.0</v>
      </c>
      <c r="G1111" s="5">
        <v>11595.0</v>
      </c>
      <c r="H1111" s="6">
        <f t="shared" si="3"/>
        <v>0.2411384217</v>
      </c>
      <c r="I1111" s="3">
        <f>IFERROR(__xludf.DUMMYFUNCTION("GOOGLEFINANCE(""CURRENCY:INRBRL"")*F1111"),535.87128758289)</f>
        <v>535.8712876</v>
      </c>
      <c r="J1111" s="1">
        <v>4.5</v>
      </c>
      <c r="K1111" s="1">
        <v>2981.0</v>
      </c>
      <c r="L1111" s="1" t="s">
        <v>4218</v>
      </c>
      <c r="M1111" s="7" t="s">
        <v>4219</v>
      </c>
    </row>
    <row r="1112">
      <c r="A1112" s="1" t="s">
        <v>4220</v>
      </c>
      <c r="B1112" s="1" t="s">
        <v>4221</v>
      </c>
      <c r="C1112" s="1" t="s">
        <v>3841</v>
      </c>
      <c r="D1112" s="1" t="str">
        <f t="shared" si="1"/>
        <v>Home&amp;Kitchen</v>
      </c>
      <c r="E1112" s="1" t="str">
        <f t="shared" si="2"/>
        <v>Kitchen&amp;HomeAppliances</v>
      </c>
      <c r="F1112" s="5">
        <v>1345.0</v>
      </c>
      <c r="G1112" s="5">
        <v>1749.0</v>
      </c>
      <c r="H1112" s="6">
        <f t="shared" si="3"/>
        <v>0.2309891366</v>
      </c>
      <c r="I1112" s="3">
        <f>IFERROR(__xludf.DUMMYFUNCTION("GOOGLEFINANCE(""CURRENCY:INRBRL"")*F1112"),81.91236297294999)</f>
        <v>81.91236297</v>
      </c>
      <c r="J1112" s="1">
        <v>4.51</v>
      </c>
      <c r="K1112" s="1">
        <v>2466.0</v>
      </c>
      <c r="L1112" s="1" t="s">
        <v>4222</v>
      </c>
      <c r="M1112" s="7" t="s">
        <v>4223</v>
      </c>
    </row>
    <row r="1113">
      <c r="A1113" s="1" t="s">
        <v>4224</v>
      </c>
      <c r="B1113" s="1" t="s">
        <v>4225</v>
      </c>
      <c r="C1113" s="1" t="s">
        <v>4226</v>
      </c>
      <c r="D1113" s="1" t="str">
        <f t="shared" si="1"/>
        <v>Home&amp;Kitchen</v>
      </c>
      <c r="E1113" s="1" t="str">
        <f t="shared" si="2"/>
        <v>Kitchen&amp;HomeAppliances</v>
      </c>
      <c r="F1113" s="5">
        <v>2095.0</v>
      </c>
      <c r="G1113" s="5">
        <v>2095.0</v>
      </c>
      <c r="H1113" s="6">
        <f t="shared" si="3"/>
        <v>0</v>
      </c>
      <c r="I1113" s="3">
        <f>IFERROR(__xludf.DUMMYFUNCTION("GOOGLEFINANCE(""CURRENCY:INRBRL"")*F1113"),127.58840180544999)</f>
        <v>127.5884018</v>
      </c>
      <c r="J1113" s="1">
        <v>4.51</v>
      </c>
      <c r="K1113" s="1">
        <v>7949.0</v>
      </c>
      <c r="L1113" s="1" t="s">
        <v>4227</v>
      </c>
      <c r="M1113" s="7" t="s">
        <v>4228</v>
      </c>
    </row>
    <row r="1114">
      <c r="A1114" s="1" t="s">
        <v>4229</v>
      </c>
      <c r="B1114" s="1" t="s">
        <v>4230</v>
      </c>
      <c r="C1114" s="1" t="s">
        <v>3846</v>
      </c>
      <c r="D1114" s="1" t="str">
        <f t="shared" si="1"/>
        <v>Home&amp;Kitchen</v>
      </c>
      <c r="E1114" s="1" t="str">
        <f t="shared" si="2"/>
        <v>Heating,Cooling&amp;AirQuality</v>
      </c>
      <c r="F1114" s="5">
        <v>1498.0</v>
      </c>
      <c r="G1114" s="5">
        <v>2299.0</v>
      </c>
      <c r="H1114" s="6">
        <f t="shared" si="3"/>
        <v>0.3484123532</v>
      </c>
      <c r="I1114" s="3">
        <f>IFERROR(__xludf.DUMMYFUNCTION("GOOGLEFINANCE(""CURRENCY:INRBRL"")*F1114"),91.23027489478)</f>
        <v>91.23027489</v>
      </c>
      <c r="J1114" s="1">
        <v>4.51</v>
      </c>
      <c r="K1114" s="1">
        <v>95.0</v>
      </c>
      <c r="L1114" s="1" t="s">
        <v>4231</v>
      </c>
      <c r="M1114" s="7" t="s">
        <v>4232</v>
      </c>
    </row>
    <row r="1115">
      <c r="A1115" s="1" t="s">
        <v>4233</v>
      </c>
      <c r="B1115" s="1" t="s">
        <v>4234</v>
      </c>
      <c r="C1115" s="1" t="s">
        <v>4235</v>
      </c>
      <c r="D1115" s="1" t="str">
        <f t="shared" si="1"/>
        <v>Home&amp;Kitchen</v>
      </c>
      <c r="E1115" s="1" t="str">
        <f t="shared" si="2"/>
        <v>Heating,Cooling&amp;AirQuality</v>
      </c>
      <c r="F1115" s="5">
        <v>2199.0</v>
      </c>
      <c r="G1115" s="5">
        <v>2999.0</v>
      </c>
      <c r="H1115" s="6">
        <f t="shared" si="3"/>
        <v>0.2667555852</v>
      </c>
      <c r="I1115" s="3">
        <f>IFERROR(__xludf.DUMMYFUNCTION("GOOGLEFINANCE(""CURRENCY:INRBRL"")*F1115"),133.92214585688998)</f>
        <v>133.9221459</v>
      </c>
      <c r="J1115" s="1">
        <v>4.51</v>
      </c>
      <c r="K1115" s="1">
        <v>1558.0</v>
      </c>
      <c r="L1115" s="1" t="s">
        <v>4236</v>
      </c>
      <c r="M1115" s="7" t="s">
        <v>4237</v>
      </c>
    </row>
    <row r="1116">
      <c r="A1116" s="1" t="s">
        <v>4238</v>
      </c>
      <c r="B1116" s="1" t="s">
        <v>4239</v>
      </c>
      <c r="C1116" s="1" t="s">
        <v>3914</v>
      </c>
      <c r="D1116" s="1" t="str">
        <f t="shared" si="1"/>
        <v>Home&amp;Kitchen</v>
      </c>
      <c r="E1116" s="1" t="str">
        <f t="shared" si="2"/>
        <v>Kitchen&amp;HomeAppliances</v>
      </c>
      <c r="F1116" s="5">
        <v>3699.0</v>
      </c>
      <c r="G1116" s="5">
        <v>4295.0</v>
      </c>
      <c r="H1116" s="6">
        <f t="shared" si="3"/>
        <v>0.138766007</v>
      </c>
      <c r="I1116" s="3">
        <f>IFERROR(__xludf.DUMMYFUNCTION("GOOGLEFINANCE(""CURRENCY:INRBRL"")*F1116"),225.27422352188998)</f>
        <v>225.2742235</v>
      </c>
      <c r="J1116" s="1">
        <v>4.49</v>
      </c>
      <c r="K1116" s="1">
        <v>26543.0</v>
      </c>
      <c r="L1116" s="1" t="s">
        <v>4240</v>
      </c>
      <c r="M1116" s="7" t="s">
        <v>4241</v>
      </c>
    </row>
    <row r="1117">
      <c r="A1117" s="1" t="s">
        <v>4242</v>
      </c>
      <c r="B1117" s="1" t="s">
        <v>4243</v>
      </c>
      <c r="C1117" s="1" t="s">
        <v>3989</v>
      </c>
      <c r="D1117" s="1" t="str">
        <f t="shared" si="1"/>
        <v>Home&amp;Kitchen</v>
      </c>
      <c r="E1117" s="1" t="str">
        <f t="shared" si="2"/>
        <v>HomeStorage&amp;Organization</v>
      </c>
      <c r="F1117" s="1">
        <v>177.0</v>
      </c>
      <c r="G1117" s="1">
        <v>199.0</v>
      </c>
      <c r="H1117" s="6">
        <f t="shared" si="3"/>
        <v>0.1105527638</v>
      </c>
      <c r="I1117" s="3">
        <f>IFERROR(__xludf.DUMMYFUNCTION("GOOGLEFINANCE(""CURRENCY:INRBRL"")*F1117"),10.779545164469999)</f>
        <v>10.77954516</v>
      </c>
      <c r="J1117" s="1">
        <v>4.49</v>
      </c>
      <c r="K1117" s="1">
        <v>3688.0</v>
      </c>
      <c r="L1117" s="1" t="s">
        <v>4244</v>
      </c>
      <c r="M1117" s="7" t="s">
        <v>4245</v>
      </c>
    </row>
    <row r="1118">
      <c r="A1118" s="1" t="s">
        <v>4246</v>
      </c>
      <c r="B1118" s="1" t="s">
        <v>4247</v>
      </c>
      <c r="C1118" s="1" t="s">
        <v>3914</v>
      </c>
      <c r="D1118" s="1" t="str">
        <f t="shared" si="1"/>
        <v>Home&amp;Kitchen</v>
      </c>
      <c r="E1118" s="1" t="str">
        <f t="shared" si="2"/>
        <v>Kitchen&amp;HomeAppliances</v>
      </c>
      <c r="F1118" s="5">
        <v>1149.0</v>
      </c>
      <c r="G1118" s="5">
        <v>2499.0</v>
      </c>
      <c r="H1118" s="6">
        <f t="shared" si="3"/>
        <v>0.5402160864</v>
      </c>
      <c r="I1118" s="3">
        <f>IFERROR(__xludf.DUMMYFUNCTION("GOOGLEFINANCE(""CURRENCY:INRBRL"")*F1118"),69.97569149139)</f>
        <v>69.97569149</v>
      </c>
      <c r="J1118" s="1">
        <v>4.51</v>
      </c>
      <c r="K1118" s="1">
        <v>4383.0</v>
      </c>
      <c r="L1118" s="1" t="s">
        <v>4248</v>
      </c>
      <c r="M1118" s="7" t="s">
        <v>4249</v>
      </c>
    </row>
    <row r="1119">
      <c r="A1119" s="1" t="s">
        <v>4250</v>
      </c>
      <c r="B1119" s="1" t="s">
        <v>4251</v>
      </c>
      <c r="C1119" s="1" t="s">
        <v>4252</v>
      </c>
      <c r="D1119" s="1" t="str">
        <f t="shared" si="1"/>
        <v>Home&amp;Kitchen</v>
      </c>
      <c r="E1119" s="1" t="str">
        <f t="shared" si="2"/>
        <v>Kitchen&amp;HomeAppliances</v>
      </c>
      <c r="F1119" s="1">
        <v>244.0</v>
      </c>
      <c r="G1119" s="1">
        <v>499.0</v>
      </c>
      <c r="H1119" s="6">
        <f t="shared" si="3"/>
        <v>0.5110220441</v>
      </c>
      <c r="I1119" s="3">
        <f>IFERROR(__xludf.DUMMYFUNCTION("GOOGLEFINANCE(""CURRENCY:INRBRL"")*F1119"),14.859937966839999)</f>
        <v>14.85993797</v>
      </c>
      <c r="J1119" s="1">
        <v>4.5</v>
      </c>
      <c r="K1119" s="1">
        <v>478.0</v>
      </c>
      <c r="L1119" s="1" t="s">
        <v>4253</v>
      </c>
      <c r="M1119" s="7" t="s">
        <v>4254</v>
      </c>
    </row>
    <row r="1120">
      <c r="A1120" s="1" t="s">
        <v>4255</v>
      </c>
      <c r="B1120" s="1" t="s">
        <v>4256</v>
      </c>
      <c r="C1120" s="1" t="s">
        <v>3846</v>
      </c>
      <c r="D1120" s="1" t="str">
        <f t="shared" si="1"/>
        <v>Home&amp;Kitchen</v>
      </c>
      <c r="E1120" s="1" t="str">
        <f t="shared" si="2"/>
        <v>Heating,Cooling&amp;AirQuality</v>
      </c>
      <c r="F1120" s="5">
        <v>1959.0</v>
      </c>
      <c r="G1120" s="5">
        <v>2399.0</v>
      </c>
      <c r="H1120" s="6">
        <f t="shared" si="3"/>
        <v>0.1834097541</v>
      </c>
      <c r="I1120" s="3">
        <f>IFERROR(__xludf.DUMMYFUNCTION("GOOGLEFINANCE(""CURRENCY:INRBRL"")*F1120"),119.30581343048999)</f>
        <v>119.3058134</v>
      </c>
      <c r="J1120" s="1">
        <v>4.0</v>
      </c>
      <c r="K1120" s="1">
        <v>237.0</v>
      </c>
      <c r="L1120" s="1" t="s">
        <v>4257</v>
      </c>
      <c r="M1120" s="7" t="s">
        <v>4258</v>
      </c>
    </row>
    <row r="1121">
      <c r="A1121" s="1" t="s">
        <v>4259</v>
      </c>
      <c r="B1121" s="1" t="s">
        <v>4260</v>
      </c>
      <c r="C1121" s="1" t="s">
        <v>3856</v>
      </c>
      <c r="D1121" s="1" t="str">
        <f t="shared" si="1"/>
        <v>Home&amp;Kitchen</v>
      </c>
      <c r="E1121" s="1" t="str">
        <f t="shared" si="2"/>
        <v>Kitchen&amp;HomeAppliances</v>
      </c>
      <c r="F1121" s="1">
        <v>319.0</v>
      </c>
      <c r="G1121" s="1">
        <v>749.0</v>
      </c>
      <c r="H1121" s="6">
        <f t="shared" si="3"/>
        <v>0.5740987984</v>
      </c>
      <c r="I1121" s="3">
        <f>IFERROR(__xludf.DUMMYFUNCTION("GOOGLEFINANCE(""CURRENCY:INRBRL"")*F1121"),19.427541850089998)</f>
        <v>19.42754185</v>
      </c>
      <c r="J1121" s="1">
        <v>4.51</v>
      </c>
      <c r="K1121" s="1">
        <v>124.0</v>
      </c>
      <c r="L1121" s="1" t="s">
        <v>4261</v>
      </c>
      <c r="M1121" s="7" t="s">
        <v>4262</v>
      </c>
    </row>
    <row r="1122">
      <c r="A1122" s="1" t="s">
        <v>4263</v>
      </c>
      <c r="B1122" s="1" t="s">
        <v>4264</v>
      </c>
      <c r="C1122" s="1" t="s">
        <v>3841</v>
      </c>
      <c r="D1122" s="1" t="str">
        <f t="shared" si="1"/>
        <v>Home&amp;Kitchen</v>
      </c>
      <c r="E1122" s="1" t="str">
        <f t="shared" si="2"/>
        <v>Kitchen&amp;HomeAppliances</v>
      </c>
      <c r="F1122" s="5">
        <v>1499.0</v>
      </c>
      <c r="G1122" s="5">
        <v>1775.0</v>
      </c>
      <c r="H1122" s="6">
        <f t="shared" si="3"/>
        <v>0.1554929577</v>
      </c>
      <c r="I1122" s="3">
        <f>IFERROR(__xludf.DUMMYFUNCTION("GOOGLEFINANCE(""CURRENCY:INRBRL"")*F1122"),91.29117627989)</f>
        <v>91.29117628</v>
      </c>
      <c r="J1122" s="1">
        <v>4.52</v>
      </c>
      <c r="K1122" s="1">
        <v>14667.0</v>
      </c>
      <c r="L1122" s="1" t="s">
        <v>4265</v>
      </c>
      <c r="M1122" s="7" t="s">
        <v>4266</v>
      </c>
    </row>
    <row r="1123">
      <c r="A1123" s="1" t="s">
        <v>4267</v>
      </c>
      <c r="B1123" s="1" t="s">
        <v>4268</v>
      </c>
      <c r="C1123" s="1" t="s">
        <v>3856</v>
      </c>
      <c r="D1123" s="1" t="str">
        <f t="shared" si="1"/>
        <v>Home&amp;Kitchen</v>
      </c>
      <c r="E1123" s="1" t="str">
        <f t="shared" si="2"/>
        <v>Kitchen&amp;HomeAppliances</v>
      </c>
      <c r="F1123" s="1">
        <v>469.0</v>
      </c>
      <c r="G1123" s="5">
        <v>1599.0</v>
      </c>
      <c r="H1123" s="6">
        <f t="shared" si="3"/>
        <v>0.7066916823</v>
      </c>
      <c r="I1123" s="3">
        <f>IFERROR(__xludf.DUMMYFUNCTION("GOOGLEFINANCE(""CURRENCY:INRBRL"")*F1123"),28.56274961659)</f>
        <v>28.56274962</v>
      </c>
      <c r="J1123" s="1">
        <v>4.51</v>
      </c>
      <c r="K1123" s="1">
        <v>6.0</v>
      </c>
      <c r="L1123" s="1" t="s">
        <v>4269</v>
      </c>
      <c r="M1123" s="7" t="s">
        <v>4270</v>
      </c>
    </row>
    <row r="1124">
      <c r="A1124" s="1" t="s">
        <v>4271</v>
      </c>
      <c r="B1124" s="1" t="s">
        <v>4272</v>
      </c>
      <c r="C1124" s="1" t="s">
        <v>4226</v>
      </c>
      <c r="D1124" s="1" t="str">
        <f t="shared" si="1"/>
        <v>Home&amp;Kitchen</v>
      </c>
      <c r="E1124" s="1" t="str">
        <f t="shared" si="2"/>
        <v>Kitchen&amp;HomeAppliances</v>
      </c>
      <c r="F1124" s="5">
        <v>1099.0</v>
      </c>
      <c r="G1124" s="5">
        <v>1795.0</v>
      </c>
      <c r="H1124" s="6">
        <f t="shared" si="3"/>
        <v>0.3877437326</v>
      </c>
      <c r="I1124" s="3">
        <f>IFERROR(__xludf.DUMMYFUNCTION("GOOGLEFINANCE(""CURRENCY:INRBRL"")*F1124"),66.93062223589)</f>
        <v>66.93062224</v>
      </c>
      <c r="J1124" s="1">
        <v>4.5</v>
      </c>
      <c r="K1124" s="1">
        <v>4244.0</v>
      </c>
      <c r="L1124" s="1" t="s">
        <v>4273</v>
      </c>
      <c r="M1124" s="7" t="s">
        <v>4274</v>
      </c>
    </row>
    <row r="1125">
      <c r="A1125" s="1" t="s">
        <v>4275</v>
      </c>
      <c r="B1125" s="1" t="s">
        <v>4276</v>
      </c>
      <c r="C1125" s="1" t="s">
        <v>3851</v>
      </c>
      <c r="D1125" s="1" t="str">
        <f t="shared" si="1"/>
        <v>Home&amp;Kitchen</v>
      </c>
      <c r="E1125" s="1" t="str">
        <f t="shared" si="2"/>
        <v>Heating,Cooling&amp;AirQuality</v>
      </c>
      <c r="F1125" s="5">
        <v>9599.0</v>
      </c>
      <c r="G1125" s="5">
        <v>15999.0</v>
      </c>
      <c r="H1125" s="6">
        <f t="shared" si="3"/>
        <v>0.4000250016</v>
      </c>
      <c r="I1125" s="3">
        <f>IFERROR(__xludf.DUMMYFUNCTION("GOOGLEFINANCE(""CURRENCY:INRBRL"")*F1125"),584.59239567089)</f>
        <v>584.5923957</v>
      </c>
      <c r="J1125" s="1">
        <v>4.49</v>
      </c>
      <c r="K1125" s="1">
        <v>1017.0</v>
      </c>
      <c r="L1125" s="1" t="s">
        <v>4277</v>
      </c>
      <c r="M1125" s="7" t="s">
        <v>4278</v>
      </c>
    </row>
    <row r="1126">
      <c r="A1126" s="1" t="s">
        <v>4279</v>
      </c>
      <c r="B1126" s="1" t="s">
        <v>4280</v>
      </c>
      <c r="C1126" s="1" t="s">
        <v>4281</v>
      </c>
      <c r="D1126" s="1" t="str">
        <f t="shared" si="1"/>
        <v>Home&amp;Kitchen</v>
      </c>
      <c r="E1126" s="1" t="str">
        <f t="shared" si="2"/>
        <v>Heating,Cooling&amp;AirQuality</v>
      </c>
      <c r="F1126" s="1">
        <v>999.0</v>
      </c>
      <c r="G1126" s="5">
        <v>1499.0</v>
      </c>
      <c r="H1126" s="6">
        <f t="shared" si="3"/>
        <v>0.3335557038</v>
      </c>
      <c r="I1126" s="3">
        <f>IFERROR(__xludf.DUMMYFUNCTION("GOOGLEFINANCE(""CURRENCY:INRBRL"")*F1126"),60.84048372489)</f>
        <v>60.84048372</v>
      </c>
      <c r="J1126" s="1">
        <v>4.49</v>
      </c>
      <c r="K1126" s="1">
        <v>12999.0</v>
      </c>
      <c r="L1126" s="1" t="s">
        <v>4282</v>
      </c>
      <c r="M1126" s="7" t="s">
        <v>4283</v>
      </c>
    </row>
    <row r="1127">
      <c r="A1127" s="1" t="s">
        <v>4284</v>
      </c>
      <c r="B1127" s="1" t="s">
        <v>4285</v>
      </c>
      <c r="C1127" s="1" t="s">
        <v>3937</v>
      </c>
      <c r="D1127" s="1" t="str">
        <f t="shared" si="1"/>
        <v>Home&amp;Kitchen</v>
      </c>
      <c r="E1127" s="1" t="str">
        <f t="shared" si="2"/>
        <v>Kitchen&amp;HomeAppliances</v>
      </c>
      <c r="F1127" s="5">
        <v>1299.0</v>
      </c>
      <c r="G1127" s="5">
        <v>1999.0</v>
      </c>
      <c r="H1127" s="6">
        <f t="shared" si="3"/>
        <v>0.3501750875</v>
      </c>
      <c r="I1127" s="3">
        <f>IFERROR(__xludf.DUMMYFUNCTION("GOOGLEFINANCE(""CURRENCY:INRBRL"")*F1127"),79.11089925789)</f>
        <v>79.11089926</v>
      </c>
      <c r="J1127" s="1">
        <v>4.51</v>
      </c>
      <c r="K1127" s="1">
        <v>311.0</v>
      </c>
      <c r="L1127" s="1" t="s">
        <v>4286</v>
      </c>
      <c r="M1127" s="7" t="s">
        <v>4287</v>
      </c>
    </row>
    <row r="1128">
      <c r="A1128" s="1" t="s">
        <v>4288</v>
      </c>
      <c r="B1128" s="1" t="s">
        <v>4289</v>
      </c>
      <c r="C1128" s="1" t="s">
        <v>4290</v>
      </c>
      <c r="D1128" s="1" t="str">
        <f t="shared" si="1"/>
        <v>Home&amp;Kitchen</v>
      </c>
      <c r="E1128" s="1" t="str">
        <f t="shared" si="2"/>
        <v>Kitchen&amp;HomeAppliances</v>
      </c>
      <c r="F1128" s="1">
        <v>292.0</v>
      </c>
      <c r="G1128" s="1">
        <v>499.0</v>
      </c>
      <c r="H1128" s="6">
        <f t="shared" si="3"/>
        <v>0.4148296593</v>
      </c>
      <c r="I1128" s="3">
        <f>IFERROR(__xludf.DUMMYFUNCTION("GOOGLEFINANCE(""CURRENCY:INRBRL"")*F1128"),17.78320445212)</f>
        <v>17.78320445</v>
      </c>
      <c r="J1128" s="1">
        <v>4.49</v>
      </c>
      <c r="K1128" s="1">
        <v>4238.0</v>
      </c>
      <c r="L1128" s="1" t="s">
        <v>4291</v>
      </c>
      <c r="M1128" s="7" t="s">
        <v>4292</v>
      </c>
    </row>
    <row r="1129">
      <c r="A1129" s="1" t="s">
        <v>4293</v>
      </c>
      <c r="B1129" s="1" t="s">
        <v>4294</v>
      </c>
      <c r="C1129" s="1" t="s">
        <v>4153</v>
      </c>
      <c r="D1129" s="1" t="str">
        <f t="shared" si="1"/>
        <v>Home&amp;Kitchen</v>
      </c>
      <c r="E1129" s="1" t="str">
        <f t="shared" si="2"/>
        <v>Kitchen&amp;HomeAppliances</v>
      </c>
      <c r="F1129" s="1">
        <v>160.0</v>
      </c>
      <c r="G1129" s="1">
        <v>299.0</v>
      </c>
      <c r="H1129" s="6">
        <f t="shared" si="3"/>
        <v>0.4648829431</v>
      </c>
      <c r="I1129" s="3">
        <f>IFERROR(__xludf.DUMMYFUNCTION("GOOGLEFINANCE(""CURRENCY:INRBRL"")*F1129"),9.7442216176)</f>
        <v>9.744221618</v>
      </c>
      <c r="J1129" s="1">
        <v>4.51</v>
      </c>
      <c r="K1129" s="1">
        <v>2781.0</v>
      </c>
      <c r="L1129" s="1" t="s">
        <v>4295</v>
      </c>
      <c r="M1129" s="7" t="s">
        <v>4296</v>
      </c>
    </row>
    <row r="1130">
      <c r="A1130" s="1" t="s">
        <v>4297</v>
      </c>
      <c r="B1130" s="1" t="s">
        <v>4298</v>
      </c>
      <c r="C1130" s="1" t="s">
        <v>4299</v>
      </c>
      <c r="D1130" s="1" t="str">
        <f t="shared" si="1"/>
        <v>Home&amp;Kitchen</v>
      </c>
      <c r="E1130" s="1" t="str">
        <f t="shared" si="2"/>
        <v>Kitchen&amp;HomeAppliances</v>
      </c>
      <c r="F1130" s="1">
        <v>600.0</v>
      </c>
      <c r="G1130" s="1">
        <v>600.0</v>
      </c>
      <c r="H1130" s="6">
        <f t="shared" si="3"/>
        <v>0</v>
      </c>
      <c r="I1130" s="3">
        <f>IFERROR(__xludf.DUMMYFUNCTION("GOOGLEFINANCE(""CURRENCY:INRBRL"")*F1130"),36.540831065999996)</f>
        <v>36.54083107</v>
      </c>
      <c r="J1130" s="1">
        <v>4.49</v>
      </c>
      <c r="K1130" s="1">
        <v>10907.0</v>
      </c>
      <c r="L1130" s="1" t="s">
        <v>4300</v>
      </c>
      <c r="M1130" s="7" t="s">
        <v>4301</v>
      </c>
    </row>
    <row r="1131">
      <c r="A1131" s="1" t="s">
        <v>4302</v>
      </c>
      <c r="B1131" s="1" t="s">
        <v>4303</v>
      </c>
      <c r="C1131" s="1" t="s">
        <v>4304</v>
      </c>
      <c r="D1131" s="1" t="str">
        <f t="shared" si="1"/>
        <v>Home&amp;Kitchen</v>
      </c>
      <c r="E1131" s="1" t="str">
        <f t="shared" si="2"/>
        <v>Kitchen&amp;HomeAppliances</v>
      </c>
      <c r="F1131" s="5">
        <v>1299.0</v>
      </c>
      <c r="G1131" s="5">
        <v>1299.0</v>
      </c>
      <c r="H1131" s="6">
        <f t="shared" si="3"/>
        <v>0</v>
      </c>
      <c r="I1131" s="3">
        <f>IFERROR(__xludf.DUMMYFUNCTION("GOOGLEFINANCE(""CURRENCY:INRBRL"")*F1131"),79.11089925789)</f>
        <v>79.11089926</v>
      </c>
      <c r="J1131" s="1">
        <v>4.5</v>
      </c>
      <c r="K1131" s="1">
        <v>1325.0</v>
      </c>
      <c r="L1131" s="1" t="s">
        <v>4305</v>
      </c>
      <c r="M1131" s="7" t="s">
        <v>4306</v>
      </c>
    </row>
    <row r="1132">
      <c r="A1132" s="1" t="s">
        <v>4307</v>
      </c>
      <c r="B1132" s="1" t="s">
        <v>4308</v>
      </c>
      <c r="C1132" s="1" t="s">
        <v>3914</v>
      </c>
      <c r="D1132" s="1" t="str">
        <f t="shared" si="1"/>
        <v>Home&amp;Kitchen</v>
      </c>
      <c r="E1132" s="1" t="str">
        <f t="shared" si="2"/>
        <v>Kitchen&amp;HomeAppliances</v>
      </c>
      <c r="F1132" s="5">
        <v>3249.0</v>
      </c>
      <c r="G1132" s="5">
        <v>6295.0</v>
      </c>
      <c r="H1132" s="6">
        <f t="shared" si="3"/>
        <v>0.4838760921</v>
      </c>
      <c r="I1132" s="3">
        <f>IFERROR(__xludf.DUMMYFUNCTION("GOOGLEFINANCE(""CURRENCY:INRBRL"")*F1132"),197.86860022239)</f>
        <v>197.8686002</v>
      </c>
      <c r="J1132" s="1">
        <v>4.52</v>
      </c>
      <c r="K1132" s="1">
        <v>4307.0</v>
      </c>
      <c r="L1132" s="1" t="s">
        <v>4309</v>
      </c>
      <c r="M1132" s="7" t="s">
        <v>4310</v>
      </c>
    </row>
    <row r="1133">
      <c r="A1133" s="1" t="s">
        <v>4311</v>
      </c>
      <c r="B1133" s="1" t="s">
        <v>4312</v>
      </c>
      <c r="C1133" s="1" t="s">
        <v>3914</v>
      </c>
      <c r="D1133" s="1" t="str">
        <f t="shared" si="1"/>
        <v>Home&amp;Kitchen</v>
      </c>
      <c r="E1133" s="1" t="str">
        <f t="shared" si="2"/>
        <v>Kitchen&amp;HomeAppliances</v>
      </c>
      <c r="F1133" s="5">
        <v>3599.0</v>
      </c>
      <c r="G1133" s="5">
        <v>9455.0</v>
      </c>
      <c r="H1133" s="6">
        <f t="shared" si="3"/>
        <v>0.6193548387</v>
      </c>
      <c r="I1133" s="3">
        <f>IFERROR(__xludf.DUMMYFUNCTION("GOOGLEFINANCE(""CURRENCY:INRBRL"")*F1133"),219.18408501089)</f>
        <v>219.184085</v>
      </c>
      <c r="J1133" s="1">
        <v>4.49</v>
      </c>
      <c r="K1133" s="1">
        <v>11828.0</v>
      </c>
      <c r="L1133" s="1" t="s">
        <v>4313</v>
      </c>
      <c r="M1133" s="7" t="s">
        <v>4314</v>
      </c>
    </row>
    <row r="1134">
      <c r="A1134" s="1" t="s">
        <v>4315</v>
      </c>
      <c r="B1134" s="1" t="s">
        <v>4316</v>
      </c>
      <c r="C1134" s="1" t="s">
        <v>4049</v>
      </c>
      <c r="D1134" s="1" t="str">
        <f t="shared" si="1"/>
        <v>Home&amp;Kitchen</v>
      </c>
      <c r="E1134" s="1" t="str">
        <f t="shared" si="2"/>
        <v>Kitchen&amp;HomeAppliances</v>
      </c>
      <c r="F1134" s="1">
        <v>368.0</v>
      </c>
      <c r="G1134" s="1">
        <v>699.0</v>
      </c>
      <c r="H1134" s="6">
        <f t="shared" si="3"/>
        <v>0.4735336195</v>
      </c>
      <c r="I1134" s="3">
        <f>IFERROR(__xludf.DUMMYFUNCTION("GOOGLEFINANCE(""CURRENCY:INRBRL"")*F1134"),22.411709720479998)</f>
        <v>22.41170972</v>
      </c>
      <c r="J1134" s="1">
        <v>4.49</v>
      </c>
      <c r="K1134" s="1">
        <v>124.0</v>
      </c>
      <c r="L1134" s="1" t="s">
        <v>4317</v>
      </c>
      <c r="M1134" s="7" t="s">
        <v>4318</v>
      </c>
    </row>
    <row r="1135">
      <c r="A1135" s="1" t="s">
        <v>4319</v>
      </c>
      <c r="B1135" s="1" t="s">
        <v>4320</v>
      </c>
      <c r="C1135" s="1" t="s">
        <v>3914</v>
      </c>
      <c r="D1135" s="1" t="str">
        <f t="shared" si="1"/>
        <v>Home&amp;Kitchen</v>
      </c>
      <c r="E1135" s="1" t="str">
        <f t="shared" si="2"/>
        <v>Kitchen&amp;HomeAppliances</v>
      </c>
      <c r="F1135" s="5">
        <v>3199.0</v>
      </c>
      <c r="G1135" s="5">
        <v>4999.0</v>
      </c>
      <c r="H1135" s="6">
        <f t="shared" si="3"/>
        <v>0.3600720144</v>
      </c>
      <c r="I1135" s="3">
        <f>IFERROR(__xludf.DUMMYFUNCTION("GOOGLEFINANCE(""CURRENCY:INRBRL"")*F1135"),194.82353096689)</f>
        <v>194.823531</v>
      </c>
      <c r="J1135" s="1">
        <v>4.0</v>
      </c>
      <c r="K1135" s="1">
        <v>20869.0</v>
      </c>
      <c r="L1135" s="1" t="s">
        <v>4321</v>
      </c>
      <c r="M1135" s="7" t="s">
        <v>4322</v>
      </c>
    </row>
    <row r="1136">
      <c r="A1136" s="1" t="s">
        <v>4323</v>
      </c>
      <c r="B1136" s="1" t="s">
        <v>4324</v>
      </c>
      <c r="C1136" s="1" t="s">
        <v>4325</v>
      </c>
      <c r="D1136" s="1" t="str">
        <f t="shared" si="1"/>
        <v>Home&amp;Kitchen</v>
      </c>
      <c r="E1136" s="1" t="str">
        <f t="shared" si="2"/>
        <v>Kitchen&amp;HomeAppliances</v>
      </c>
      <c r="F1136" s="5">
        <v>1599.0</v>
      </c>
      <c r="G1136" s="5">
        <v>2999.0</v>
      </c>
      <c r="H1136" s="6">
        <f t="shared" si="3"/>
        <v>0.4668222741</v>
      </c>
      <c r="I1136" s="3">
        <f>IFERROR(__xludf.DUMMYFUNCTION("GOOGLEFINANCE(""CURRENCY:INRBRL"")*F1136"),97.38131479089)</f>
        <v>97.38131479</v>
      </c>
      <c r="J1136" s="1">
        <v>4.51</v>
      </c>
      <c r="K1136" s="1">
        <v>441.0</v>
      </c>
      <c r="L1136" s="1" t="s">
        <v>4326</v>
      </c>
      <c r="M1136" s="7" t="s">
        <v>4327</v>
      </c>
    </row>
    <row r="1137">
      <c r="A1137" s="1" t="s">
        <v>4328</v>
      </c>
      <c r="B1137" s="1" t="s">
        <v>4329</v>
      </c>
      <c r="C1137" s="1" t="s">
        <v>3904</v>
      </c>
      <c r="D1137" s="1" t="str">
        <f t="shared" si="1"/>
        <v>Home&amp;Kitchen</v>
      </c>
      <c r="E1137" s="1" t="str">
        <f t="shared" si="2"/>
        <v>Kitchen&amp;HomeAppliances</v>
      </c>
      <c r="F1137" s="5">
        <v>1999.0</v>
      </c>
      <c r="G1137" s="5">
        <v>2499.0</v>
      </c>
      <c r="H1137" s="6">
        <f t="shared" si="3"/>
        <v>0.200080032</v>
      </c>
      <c r="I1137" s="3">
        <f>IFERROR(__xludf.DUMMYFUNCTION("GOOGLEFINANCE(""CURRENCY:INRBRL"")*F1137"),121.74186883489)</f>
        <v>121.7418688</v>
      </c>
      <c r="J1137" s="1">
        <v>4.49</v>
      </c>
      <c r="K1137" s="1">
        <v>1034.0</v>
      </c>
      <c r="L1137" s="1" t="s">
        <v>4330</v>
      </c>
      <c r="M1137" s="7" t="s">
        <v>4331</v>
      </c>
    </row>
    <row r="1138">
      <c r="A1138" s="1" t="s">
        <v>4332</v>
      </c>
      <c r="B1138" s="1" t="s">
        <v>4333</v>
      </c>
      <c r="C1138" s="1" t="s">
        <v>3909</v>
      </c>
      <c r="D1138" s="1" t="str">
        <f t="shared" si="1"/>
        <v>Home&amp;Kitchen</v>
      </c>
      <c r="E1138" s="1" t="str">
        <f t="shared" si="2"/>
        <v>Kitchen&amp;HomeAppliances</v>
      </c>
      <c r="F1138" s="1">
        <v>616.0</v>
      </c>
      <c r="G1138" s="5">
        <v>1199.0</v>
      </c>
      <c r="H1138" s="6">
        <f t="shared" si="3"/>
        <v>0.4862385321</v>
      </c>
      <c r="I1138" s="3">
        <f>IFERROR(__xludf.DUMMYFUNCTION("GOOGLEFINANCE(""CURRENCY:INRBRL"")*F1138"),37.51525322776)</f>
        <v>37.51525323</v>
      </c>
      <c r="J1138" s="1">
        <v>4.49</v>
      </c>
      <c r="K1138" s="1">
        <v>37126.0</v>
      </c>
      <c r="L1138" s="1" t="s">
        <v>4334</v>
      </c>
      <c r="M1138" s="7" t="s">
        <v>4335</v>
      </c>
    </row>
    <row r="1139">
      <c r="A1139" s="1" t="s">
        <v>4336</v>
      </c>
      <c r="B1139" s="1" t="s">
        <v>4337</v>
      </c>
      <c r="C1139" s="1" t="s">
        <v>3904</v>
      </c>
      <c r="D1139" s="1" t="str">
        <f t="shared" si="1"/>
        <v>Home&amp;Kitchen</v>
      </c>
      <c r="E1139" s="1" t="str">
        <f t="shared" si="2"/>
        <v>Kitchen&amp;HomeAppliances</v>
      </c>
      <c r="F1139" s="5">
        <v>1499.0</v>
      </c>
      <c r="G1139" s="5">
        <v>2099.0</v>
      </c>
      <c r="H1139" s="6">
        <f t="shared" si="3"/>
        <v>0.285850405</v>
      </c>
      <c r="I1139" s="3">
        <f>IFERROR(__xludf.DUMMYFUNCTION("GOOGLEFINANCE(""CURRENCY:INRBRL"")*F1139"),91.29117627989)</f>
        <v>91.29117628</v>
      </c>
      <c r="J1139" s="1">
        <v>4.49</v>
      </c>
      <c r="K1139" s="1">
        <v>6355.0</v>
      </c>
      <c r="L1139" s="1" t="s">
        <v>4338</v>
      </c>
      <c r="M1139" s="7" t="s">
        <v>4339</v>
      </c>
    </row>
    <row r="1140">
      <c r="A1140" s="1" t="s">
        <v>4340</v>
      </c>
      <c r="B1140" s="1" t="s">
        <v>4341</v>
      </c>
      <c r="C1140" s="1" t="s">
        <v>4153</v>
      </c>
      <c r="D1140" s="1" t="str">
        <f t="shared" si="1"/>
        <v>Home&amp;Kitchen</v>
      </c>
      <c r="E1140" s="1" t="str">
        <f t="shared" si="2"/>
        <v>Kitchen&amp;HomeAppliances</v>
      </c>
      <c r="F1140" s="1">
        <v>199.0</v>
      </c>
      <c r="G1140" s="1">
        <v>499.0</v>
      </c>
      <c r="H1140" s="6">
        <f t="shared" si="3"/>
        <v>0.6012024048</v>
      </c>
      <c r="I1140" s="3">
        <f>IFERROR(__xludf.DUMMYFUNCTION("GOOGLEFINANCE(""CURRENCY:INRBRL"")*F1140"),12.11937563689)</f>
        <v>12.11937564</v>
      </c>
      <c r="J1140" s="1">
        <v>4.5</v>
      </c>
      <c r="K1140" s="1">
        <v>12.0</v>
      </c>
      <c r="L1140" s="1" t="s">
        <v>4342</v>
      </c>
      <c r="M1140" s="7" t="s">
        <v>4343</v>
      </c>
    </row>
    <row r="1141">
      <c r="A1141" s="1" t="s">
        <v>4344</v>
      </c>
      <c r="B1141" s="1" t="s">
        <v>4345</v>
      </c>
      <c r="C1141" s="1" t="s">
        <v>3971</v>
      </c>
      <c r="D1141" s="1" t="str">
        <f t="shared" si="1"/>
        <v>Home&amp;Kitchen</v>
      </c>
      <c r="E1141" s="1" t="str">
        <f t="shared" si="2"/>
        <v>Heating,Cooling&amp;AirQuality</v>
      </c>
      <c r="F1141" s="1">
        <v>610.0</v>
      </c>
      <c r="G1141" s="1">
        <v>825.0</v>
      </c>
      <c r="H1141" s="6">
        <f t="shared" si="3"/>
        <v>0.2606060606</v>
      </c>
      <c r="I1141" s="3">
        <f>IFERROR(__xludf.DUMMYFUNCTION("GOOGLEFINANCE(""CURRENCY:INRBRL"")*F1141"),37.1498449171)</f>
        <v>37.14984492</v>
      </c>
      <c r="J1141" s="1">
        <v>4.49</v>
      </c>
      <c r="K1141" s="1">
        <v>13165.0</v>
      </c>
      <c r="L1141" s="1" t="s">
        <v>4346</v>
      </c>
      <c r="M1141" s="7" t="s">
        <v>4347</v>
      </c>
    </row>
    <row r="1142">
      <c r="A1142" s="1" t="s">
        <v>4348</v>
      </c>
      <c r="B1142" s="1" t="s">
        <v>4349</v>
      </c>
      <c r="C1142" s="1" t="s">
        <v>4115</v>
      </c>
      <c r="D1142" s="1" t="str">
        <f t="shared" si="1"/>
        <v>Home&amp;Kitchen</v>
      </c>
      <c r="E1142" s="1" t="str">
        <f t="shared" si="2"/>
        <v>Kitchen&amp;HomeAppliances</v>
      </c>
      <c r="F1142" s="1">
        <v>999.0</v>
      </c>
      <c r="G1142" s="5">
        <v>1499.0</v>
      </c>
      <c r="H1142" s="6">
        <f t="shared" si="3"/>
        <v>0.3335557038</v>
      </c>
      <c r="I1142" s="3">
        <f>IFERROR(__xludf.DUMMYFUNCTION("GOOGLEFINANCE(""CURRENCY:INRBRL"")*F1142"),60.84048372489)</f>
        <v>60.84048372</v>
      </c>
      <c r="J1142" s="1">
        <v>4.49</v>
      </c>
      <c r="K1142" s="1">
        <v>1646.0</v>
      </c>
      <c r="L1142" s="1" t="s">
        <v>4350</v>
      </c>
      <c r="M1142" s="7" t="s">
        <v>4351</v>
      </c>
    </row>
    <row r="1143">
      <c r="A1143" s="1" t="s">
        <v>4352</v>
      </c>
      <c r="B1143" s="1" t="s">
        <v>4353</v>
      </c>
      <c r="C1143" s="1" t="s">
        <v>4171</v>
      </c>
      <c r="D1143" s="1" t="str">
        <f t="shared" si="1"/>
        <v>Home&amp;Kitchen</v>
      </c>
      <c r="E1143" s="1" t="str">
        <f t="shared" si="2"/>
        <v>Kitchen&amp;HomeAppliances</v>
      </c>
      <c r="F1143" s="5">
        <v>8999.0</v>
      </c>
      <c r="G1143" s="5">
        <v>9995.0</v>
      </c>
      <c r="H1143" s="6">
        <f t="shared" si="3"/>
        <v>0.09964982491</v>
      </c>
      <c r="I1143" s="3">
        <f>IFERROR(__xludf.DUMMYFUNCTION("GOOGLEFINANCE(""CURRENCY:INRBRL"")*F1143"),548.05156460489)</f>
        <v>548.0515646</v>
      </c>
      <c r="J1143" s="1">
        <v>4.5</v>
      </c>
      <c r="K1143" s="1">
        <v>17994.0</v>
      </c>
      <c r="L1143" s="1" t="s">
        <v>4354</v>
      </c>
      <c r="M1143" s="7" t="s">
        <v>4355</v>
      </c>
    </row>
    <row r="1144">
      <c r="A1144" s="1" t="s">
        <v>4356</v>
      </c>
      <c r="B1144" s="1" t="s">
        <v>4357</v>
      </c>
      <c r="C1144" s="1" t="s">
        <v>3856</v>
      </c>
      <c r="D1144" s="1" t="str">
        <f t="shared" si="1"/>
        <v>Home&amp;Kitchen</v>
      </c>
      <c r="E1144" s="1" t="str">
        <f t="shared" si="2"/>
        <v>Kitchen&amp;HomeAppliances</v>
      </c>
      <c r="F1144" s="1">
        <v>453.0</v>
      </c>
      <c r="G1144" s="1">
        <v>999.0</v>
      </c>
      <c r="H1144" s="6">
        <f t="shared" si="3"/>
        <v>0.5465465465</v>
      </c>
      <c r="I1144" s="3">
        <f>IFERROR(__xludf.DUMMYFUNCTION("GOOGLEFINANCE(""CURRENCY:INRBRL"")*F1144"),27.588327454829997)</f>
        <v>27.58832745</v>
      </c>
      <c r="J1144" s="1">
        <v>4.5</v>
      </c>
      <c r="K1144" s="1">
        <v>610.0</v>
      </c>
      <c r="L1144" s="1" t="s">
        <v>4358</v>
      </c>
      <c r="M1144" s="7" t="s">
        <v>4359</v>
      </c>
    </row>
    <row r="1145">
      <c r="A1145" s="1" t="s">
        <v>4360</v>
      </c>
      <c r="B1145" s="1" t="s">
        <v>4361</v>
      </c>
      <c r="C1145" s="1" t="s">
        <v>3914</v>
      </c>
      <c r="D1145" s="1" t="str">
        <f t="shared" si="1"/>
        <v>Home&amp;Kitchen</v>
      </c>
      <c r="E1145" s="1" t="str">
        <f t="shared" si="2"/>
        <v>Kitchen&amp;HomeAppliances</v>
      </c>
      <c r="F1145" s="5">
        <v>2464.0</v>
      </c>
      <c r="G1145" s="5">
        <v>5999.0</v>
      </c>
      <c r="H1145" s="6">
        <f t="shared" si="3"/>
        <v>0.5892648775</v>
      </c>
      <c r="I1145" s="3">
        <f>IFERROR(__xludf.DUMMYFUNCTION("GOOGLEFINANCE(""CURRENCY:INRBRL"")*F1145"),150.06101291104)</f>
        <v>150.0610129</v>
      </c>
      <c r="J1145" s="1">
        <v>4.49</v>
      </c>
      <c r="K1145" s="1">
        <v>8866.0</v>
      </c>
      <c r="L1145" s="1" t="s">
        <v>4362</v>
      </c>
      <c r="M1145" s="7" t="s">
        <v>4363</v>
      </c>
    </row>
    <row r="1146">
      <c r="A1146" s="1" t="s">
        <v>4364</v>
      </c>
      <c r="B1146" s="1" t="s">
        <v>4365</v>
      </c>
      <c r="C1146" s="1" t="s">
        <v>4325</v>
      </c>
      <c r="D1146" s="1" t="str">
        <f t="shared" si="1"/>
        <v>Home&amp;Kitchen</v>
      </c>
      <c r="E1146" s="1" t="str">
        <f t="shared" si="2"/>
        <v>Kitchen&amp;HomeAppliances</v>
      </c>
      <c r="F1146" s="5">
        <v>2719.0</v>
      </c>
      <c r="G1146" s="5">
        <v>3945.0</v>
      </c>
      <c r="H1146" s="6">
        <f t="shared" si="3"/>
        <v>0.3107731305</v>
      </c>
      <c r="I1146" s="3">
        <f>IFERROR(__xludf.DUMMYFUNCTION("GOOGLEFINANCE(""CURRENCY:INRBRL"")*F1146"),165.59086611409)</f>
        <v>165.5908661</v>
      </c>
      <c r="J1146" s="1">
        <v>4.51</v>
      </c>
      <c r="K1146" s="1">
        <v>13406.0</v>
      </c>
      <c r="L1146" s="1" t="s">
        <v>4366</v>
      </c>
      <c r="M1146" s="7" t="s">
        <v>4367</v>
      </c>
    </row>
    <row r="1147">
      <c r="A1147" s="1" t="s">
        <v>4368</v>
      </c>
      <c r="B1147" s="1" t="s">
        <v>4369</v>
      </c>
      <c r="C1147" s="1" t="s">
        <v>3919</v>
      </c>
      <c r="D1147" s="1" t="str">
        <f t="shared" si="1"/>
        <v>Home&amp;Kitchen</v>
      </c>
      <c r="E1147" s="1" t="str">
        <f t="shared" si="2"/>
        <v>Heating,Cooling&amp;AirQuality</v>
      </c>
      <c r="F1147" s="5">
        <v>1439.0</v>
      </c>
      <c r="G1147" s="5">
        <v>1999.0</v>
      </c>
      <c r="H1147" s="6">
        <f t="shared" si="3"/>
        <v>0.28014007</v>
      </c>
      <c r="I1147" s="3">
        <f>IFERROR(__xludf.DUMMYFUNCTION("GOOGLEFINANCE(""CURRENCY:INRBRL"")*F1147"),87.63709317329)</f>
        <v>87.63709317</v>
      </c>
      <c r="J1147" s="1">
        <v>4.51</v>
      </c>
      <c r="K1147" s="1">
        <v>53803.0</v>
      </c>
      <c r="L1147" s="1" t="s">
        <v>4370</v>
      </c>
      <c r="M1147" s="7" t="s">
        <v>4371</v>
      </c>
    </row>
    <row r="1148">
      <c r="A1148" s="1" t="s">
        <v>4372</v>
      </c>
      <c r="B1148" s="1" t="s">
        <v>4373</v>
      </c>
      <c r="C1148" s="1" t="s">
        <v>3904</v>
      </c>
      <c r="D1148" s="1" t="str">
        <f t="shared" si="1"/>
        <v>Home&amp;Kitchen</v>
      </c>
      <c r="E1148" s="1" t="str">
        <f t="shared" si="2"/>
        <v>Kitchen&amp;HomeAppliances</v>
      </c>
      <c r="F1148" s="5">
        <v>2799.0</v>
      </c>
      <c r="G1148" s="5">
        <v>3499.0</v>
      </c>
      <c r="H1148" s="6">
        <f t="shared" si="3"/>
        <v>0.2000571592</v>
      </c>
      <c r="I1148" s="3">
        <f>IFERROR(__xludf.DUMMYFUNCTION("GOOGLEFINANCE(""CURRENCY:INRBRL"")*F1148"),170.46297692289)</f>
        <v>170.4629769</v>
      </c>
      <c r="J1148" s="1">
        <v>4.51</v>
      </c>
      <c r="K1148" s="1">
        <v>546.0</v>
      </c>
      <c r="L1148" s="1" t="s">
        <v>4374</v>
      </c>
      <c r="M1148" s="7" t="s">
        <v>4375</v>
      </c>
    </row>
    <row r="1149">
      <c r="A1149" s="1" t="s">
        <v>4376</v>
      </c>
      <c r="B1149" s="1" t="s">
        <v>4377</v>
      </c>
      <c r="C1149" s="1" t="s">
        <v>3919</v>
      </c>
      <c r="D1149" s="1" t="str">
        <f t="shared" si="1"/>
        <v>Home&amp;Kitchen</v>
      </c>
      <c r="E1149" s="1" t="str">
        <f t="shared" si="2"/>
        <v>Heating,Cooling&amp;AirQuality</v>
      </c>
      <c r="F1149" s="5">
        <v>2088.0</v>
      </c>
      <c r="G1149" s="5">
        <v>5559.0</v>
      </c>
      <c r="H1149" s="6">
        <f t="shared" si="3"/>
        <v>0.6243928764</v>
      </c>
      <c r="I1149" s="3">
        <f>IFERROR(__xludf.DUMMYFUNCTION("GOOGLEFINANCE(""CURRENCY:INRBRL"")*F1149"),127.16209210967999)</f>
        <v>127.1620921</v>
      </c>
      <c r="J1149" s="1">
        <v>4.0</v>
      </c>
      <c r="K1149" s="1">
        <v>5292.0</v>
      </c>
      <c r="L1149" s="1" t="s">
        <v>4378</v>
      </c>
      <c r="M1149" s="7" t="s">
        <v>4379</v>
      </c>
    </row>
    <row r="1150">
      <c r="A1150" s="1" t="s">
        <v>4380</v>
      </c>
      <c r="B1150" s="1" t="s">
        <v>4381</v>
      </c>
      <c r="C1150" s="1" t="s">
        <v>3919</v>
      </c>
      <c r="D1150" s="1" t="str">
        <f t="shared" si="1"/>
        <v>Home&amp;Kitchen</v>
      </c>
      <c r="E1150" s="1" t="str">
        <f t="shared" si="2"/>
        <v>Heating,Cooling&amp;AirQuality</v>
      </c>
      <c r="F1150" s="5">
        <v>2399.0</v>
      </c>
      <c r="G1150" s="5">
        <v>4599.0</v>
      </c>
      <c r="H1150" s="6">
        <f t="shared" si="3"/>
        <v>0.4783648619</v>
      </c>
      <c r="I1150" s="3">
        <f>IFERROR(__xludf.DUMMYFUNCTION("GOOGLEFINANCE(""CURRENCY:INRBRL"")*F1150"),146.10242287889)</f>
        <v>146.1024229</v>
      </c>
      <c r="J1150" s="1">
        <v>4.49</v>
      </c>
      <c r="K1150" s="1">
        <v>444.0</v>
      </c>
      <c r="L1150" s="1" t="s">
        <v>4382</v>
      </c>
      <c r="M1150" s="7" t="s">
        <v>4383</v>
      </c>
    </row>
    <row r="1151">
      <c r="A1151" s="1" t="s">
        <v>4384</v>
      </c>
      <c r="B1151" s="1" t="s">
        <v>4385</v>
      </c>
      <c r="C1151" s="1" t="s">
        <v>3861</v>
      </c>
      <c r="D1151" s="1" t="str">
        <f t="shared" si="1"/>
        <v>Home&amp;Kitchen</v>
      </c>
      <c r="E1151" s="1" t="str">
        <f t="shared" si="2"/>
        <v>Kitchen&amp;HomeAppliances</v>
      </c>
      <c r="F1151" s="1">
        <v>308.0</v>
      </c>
      <c r="G1151" s="1">
        <v>499.0</v>
      </c>
      <c r="H1151" s="6">
        <f t="shared" si="3"/>
        <v>0.3827655311</v>
      </c>
      <c r="I1151" s="3">
        <f>IFERROR(__xludf.DUMMYFUNCTION("GOOGLEFINANCE(""CURRENCY:INRBRL"")*F1151"),18.75762661388)</f>
        <v>18.75762661</v>
      </c>
      <c r="J1151" s="1">
        <v>4.52</v>
      </c>
      <c r="K1151" s="1">
        <v>4584.0</v>
      </c>
      <c r="L1151" s="1" t="s">
        <v>4386</v>
      </c>
      <c r="M1151" s="7" t="s">
        <v>4387</v>
      </c>
    </row>
    <row r="1152">
      <c r="A1152" s="1" t="s">
        <v>4388</v>
      </c>
      <c r="B1152" s="1" t="s">
        <v>4389</v>
      </c>
      <c r="C1152" s="1" t="s">
        <v>3919</v>
      </c>
      <c r="D1152" s="1" t="str">
        <f t="shared" si="1"/>
        <v>Home&amp;Kitchen</v>
      </c>
      <c r="E1152" s="1" t="str">
        <f t="shared" si="2"/>
        <v>Heating,Cooling&amp;AirQuality</v>
      </c>
      <c r="F1152" s="5">
        <v>2599.0</v>
      </c>
      <c r="G1152" s="5">
        <v>4399.0</v>
      </c>
      <c r="H1152" s="6">
        <f t="shared" si="3"/>
        <v>0.4091839054</v>
      </c>
      <c r="I1152" s="3">
        <f>IFERROR(__xludf.DUMMYFUNCTION("GOOGLEFINANCE(""CURRENCY:INRBRL"")*F1152"),158.28269990088998)</f>
        <v>158.2826999</v>
      </c>
      <c r="J1152" s="1">
        <v>4.49</v>
      </c>
      <c r="K1152" s="1">
        <v>14947.0</v>
      </c>
      <c r="L1152" s="1" t="s">
        <v>4390</v>
      </c>
      <c r="M1152" s="7" t="s">
        <v>4391</v>
      </c>
    </row>
    <row r="1153">
      <c r="A1153" s="1" t="s">
        <v>4392</v>
      </c>
      <c r="B1153" s="1" t="s">
        <v>4393</v>
      </c>
      <c r="C1153" s="1" t="s">
        <v>3909</v>
      </c>
      <c r="D1153" s="1" t="str">
        <f t="shared" si="1"/>
        <v>Home&amp;Kitchen</v>
      </c>
      <c r="E1153" s="1" t="str">
        <f t="shared" si="2"/>
        <v>Kitchen&amp;HomeAppliances</v>
      </c>
      <c r="F1153" s="1">
        <v>479.0</v>
      </c>
      <c r="G1153" s="1">
        <v>999.0</v>
      </c>
      <c r="H1153" s="6">
        <f t="shared" si="3"/>
        <v>0.5205205205</v>
      </c>
      <c r="I1153" s="3">
        <f>IFERROR(__xludf.DUMMYFUNCTION("GOOGLEFINANCE(""CURRENCY:INRBRL"")*F1153"),29.17176346769)</f>
        <v>29.17176347</v>
      </c>
      <c r="J1153" s="1">
        <v>4.5</v>
      </c>
      <c r="K1153" s="1">
        <v>1559.0</v>
      </c>
      <c r="L1153" s="1" t="s">
        <v>4394</v>
      </c>
      <c r="M1153" s="7" t="s">
        <v>4395</v>
      </c>
    </row>
    <row r="1154">
      <c r="A1154" s="1" t="s">
        <v>4396</v>
      </c>
      <c r="B1154" s="1" t="s">
        <v>4397</v>
      </c>
      <c r="C1154" s="1" t="s">
        <v>3856</v>
      </c>
      <c r="D1154" s="1" t="str">
        <f t="shared" si="1"/>
        <v>Home&amp;Kitchen</v>
      </c>
      <c r="E1154" s="1" t="str">
        <f t="shared" si="2"/>
        <v>Kitchen&amp;HomeAppliances</v>
      </c>
      <c r="F1154" s="1">
        <v>245.0</v>
      </c>
      <c r="G1154" s="1">
        <v>299.0</v>
      </c>
      <c r="H1154" s="6">
        <f t="shared" si="3"/>
        <v>0.1806020067</v>
      </c>
      <c r="I1154" s="3">
        <f>IFERROR(__xludf.DUMMYFUNCTION("GOOGLEFINANCE(""CURRENCY:INRBRL"")*F1154"),14.920839351949999)</f>
        <v>14.92083935</v>
      </c>
      <c r="J1154" s="1">
        <v>4.49</v>
      </c>
      <c r="K1154" s="1">
        <v>166.0</v>
      </c>
      <c r="L1154" s="1" t="s">
        <v>4398</v>
      </c>
      <c r="M1154" s="7" t="s">
        <v>4399</v>
      </c>
    </row>
    <row r="1155">
      <c r="A1155" s="1" t="s">
        <v>4400</v>
      </c>
      <c r="B1155" s="1" t="s">
        <v>4401</v>
      </c>
      <c r="C1155" s="1" t="s">
        <v>3856</v>
      </c>
      <c r="D1155" s="1" t="str">
        <f t="shared" si="1"/>
        <v>Home&amp;Kitchen</v>
      </c>
      <c r="E1155" s="1" t="str">
        <f t="shared" si="2"/>
        <v>Kitchen&amp;HomeAppliances</v>
      </c>
      <c r="F1155" s="1">
        <v>179.0</v>
      </c>
      <c r="G1155" s="1">
        <v>799.0</v>
      </c>
      <c r="H1155" s="6">
        <f t="shared" si="3"/>
        <v>0.7759699625</v>
      </c>
      <c r="I1155" s="3">
        <f>IFERROR(__xludf.DUMMYFUNCTION("GOOGLEFINANCE(""CURRENCY:INRBRL"")*F1155"),10.90134793469)</f>
        <v>10.90134793</v>
      </c>
      <c r="J1155" s="1">
        <v>4.5</v>
      </c>
      <c r="K1155" s="1">
        <v>132.0</v>
      </c>
      <c r="L1155" s="1" t="s">
        <v>4402</v>
      </c>
      <c r="M1155" s="7" t="s">
        <v>4403</v>
      </c>
    </row>
    <row r="1156">
      <c r="A1156" s="1" t="s">
        <v>4404</v>
      </c>
      <c r="B1156" s="1" t="s">
        <v>4405</v>
      </c>
      <c r="C1156" s="1" t="s">
        <v>4158</v>
      </c>
      <c r="D1156" s="1" t="str">
        <f t="shared" si="1"/>
        <v>Home&amp;Kitchen</v>
      </c>
      <c r="E1156" s="1" t="str">
        <f t="shared" si="2"/>
        <v>Heating,Cooling&amp;AirQuality</v>
      </c>
      <c r="F1156" s="5">
        <v>3569.0</v>
      </c>
      <c r="G1156" s="5">
        <v>5199.0</v>
      </c>
      <c r="H1156" s="6">
        <f t="shared" si="3"/>
        <v>0.3135218311</v>
      </c>
      <c r="I1156" s="3">
        <f>IFERROR(__xludf.DUMMYFUNCTION("GOOGLEFINANCE(""CURRENCY:INRBRL"")*F1156"),217.35704345758998)</f>
        <v>217.3570435</v>
      </c>
      <c r="J1156" s="1">
        <v>4.5</v>
      </c>
      <c r="K1156" s="1">
        <v>28629.0</v>
      </c>
      <c r="L1156" s="1" t="s">
        <v>4406</v>
      </c>
      <c r="M1156" s="7" t="s">
        <v>4407</v>
      </c>
    </row>
    <row r="1157">
      <c r="A1157" s="1" t="s">
        <v>4408</v>
      </c>
      <c r="B1157" s="1" t="s">
        <v>4409</v>
      </c>
      <c r="C1157" s="1" t="s">
        <v>3841</v>
      </c>
      <c r="D1157" s="1" t="str">
        <f t="shared" si="1"/>
        <v>Home&amp;Kitchen</v>
      </c>
      <c r="E1157" s="1" t="str">
        <f t="shared" si="2"/>
        <v>Kitchen&amp;HomeAppliances</v>
      </c>
      <c r="F1157" s="1">
        <v>699.0</v>
      </c>
      <c r="G1157" s="5">
        <v>1345.0</v>
      </c>
      <c r="H1157" s="6">
        <f t="shared" si="3"/>
        <v>0.4802973978</v>
      </c>
      <c r="I1157" s="3">
        <f>IFERROR(__xludf.DUMMYFUNCTION("GOOGLEFINANCE(""CURRENCY:INRBRL"")*F1157"),42.57006819189)</f>
        <v>42.57006819</v>
      </c>
      <c r="J1157" s="1">
        <v>4.52</v>
      </c>
      <c r="K1157" s="1">
        <v>8446.0</v>
      </c>
      <c r="L1157" s="1" t="s">
        <v>4410</v>
      </c>
      <c r="M1157" s="7" t="s">
        <v>4411</v>
      </c>
    </row>
    <row r="1158">
      <c r="A1158" s="1" t="s">
        <v>4412</v>
      </c>
      <c r="B1158" s="1" t="s">
        <v>4413</v>
      </c>
      <c r="C1158" s="1" t="s">
        <v>3887</v>
      </c>
      <c r="D1158" s="1" t="str">
        <f t="shared" si="1"/>
        <v>Home&amp;Kitchen</v>
      </c>
      <c r="E1158" s="1" t="str">
        <f t="shared" si="2"/>
        <v>Kitchen&amp;HomeAppliances</v>
      </c>
      <c r="F1158" s="5">
        <v>2089.0</v>
      </c>
      <c r="G1158" s="5">
        <v>3999.0</v>
      </c>
      <c r="H1158" s="6">
        <f t="shared" si="3"/>
        <v>0.4776194049</v>
      </c>
      <c r="I1158" s="3">
        <f>IFERROR(__xludf.DUMMYFUNCTION("GOOGLEFINANCE(""CURRENCY:INRBRL"")*F1158"),127.22299349478999)</f>
        <v>127.2229935</v>
      </c>
      <c r="J1158" s="1">
        <v>4.5</v>
      </c>
      <c r="K1158" s="1">
        <v>11199.0</v>
      </c>
      <c r="L1158" s="1" t="s">
        <v>4414</v>
      </c>
      <c r="M1158" s="7" t="s">
        <v>4415</v>
      </c>
    </row>
    <row r="1159">
      <c r="A1159" s="1" t="s">
        <v>4416</v>
      </c>
      <c r="B1159" s="1" t="s">
        <v>4417</v>
      </c>
      <c r="C1159" s="1" t="s">
        <v>4418</v>
      </c>
      <c r="D1159" s="1" t="str">
        <f t="shared" si="1"/>
        <v>Car&amp;Motorbike</v>
      </c>
      <c r="E1159" s="1" t="str">
        <f t="shared" si="2"/>
        <v>CarAccessories</v>
      </c>
      <c r="F1159" s="5">
        <v>2339.0</v>
      </c>
      <c r="G1159" s="5">
        <v>3999.0</v>
      </c>
      <c r="H1159" s="6">
        <f t="shared" si="3"/>
        <v>0.4151037759</v>
      </c>
      <c r="I1159" s="3">
        <f>IFERROR(__xludf.DUMMYFUNCTION("GOOGLEFINANCE(""CURRENCY:INRBRL"")*F1159"),142.44833977228998)</f>
        <v>142.4483398</v>
      </c>
      <c r="J1159" s="1">
        <v>4.51</v>
      </c>
      <c r="K1159" s="1">
        <v>1118.0</v>
      </c>
      <c r="L1159" s="1" t="s">
        <v>4419</v>
      </c>
      <c r="M1159" s="7" t="s">
        <v>4420</v>
      </c>
    </row>
    <row r="1160">
      <c r="A1160" s="1" t="s">
        <v>4421</v>
      </c>
      <c r="B1160" s="1" t="s">
        <v>4422</v>
      </c>
      <c r="C1160" s="1" t="s">
        <v>3851</v>
      </c>
      <c r="D1160" s="1" t="str">
        <f t="shared" si="1"/>
        <v>Home&amp;Kitchen</v>
      </c>
      <c r="E1160" s="1" t="str">
        <f t="shared" si="2"/>
        <v>Heating,Cooling&amp;AirQuality</v>
      </c>
      <c r="F1160" s="1">
        <v>784.0</v>
      </c>
      <c r="G1160" s="5">
        <v>1599.0</v>
      </c>
      <c r="H1160" s="6">
        <f t="shared" si="3"/>
        <v>0.5096935585</v>
      </c>
      <c r="I1160" s="3">
        <f>IFERROR(__xludf.DUMMYFUNCTION("GOOGLEFINANCE(""CURRENCY:INRBRL"")*F1160"),47.74668592624)</f>
        <v>47.74668593</v>
      </c>
      <c r="J1160" s="1">
        <v>4.51</v>
      </c>
      <c r="K1160" s="1">
        <v>11.0</v>
      </c>
      <c r="L1160" s="1" t="s">
        <v>4423</v>
      </c>
      <c r="M1160" s="7" t="s">
        <v>4424</v>
      </c>
    </row>
    <row r="1161">
      <c r="A1161" s="1" t="s">
        <v>4425</v>
      </c>
      <c r="B1161" s="1" t="s">
        <v>4426</v>
      </c>
      <c r="C1161" s="1" t="s">
        <v>4427</v>
      </c>
      <c r="D1161" s="1" t="str">
        <f t="shared" si="1"/>
        <v>Home&amp;Kitchen</v>
      </c>
      <c r="E1161" s="1" t="str">
        <f t="shared" si="2"/>
        <v>Kitchen&amp;HomeAppliances</v>
      </c>
      <c r="F1161" s="5">
        <v>5499.0</v>
      </c>
      <c r="G1161" s="5">
        <v>9999.0</v>
      </c>
      <c r="H1161" s="6">
        <f t="shared" si="3"/>
        <v>0.4500450045</v>
      </c>
      <c r="I1161" s="3">
        <f>IFERROR(__xludf.DUMMYFUNCTION("GOOGLEFINANCE(""CURRENCY:INRBRL"")*F1161"),334.89671671989)</f>
        <v>334.8967167</v>
      </c>
      <c r="J1161" s="1">
        <v>4.51</v>
      </c>
      <c r="K1161" s="1">
        <v>4353.0</v>
      </c>
      <c r="L1161" s="1" t="s">
        <v>4428</v>
      </c>
      <c r="M1161" s="7" t="s">
        <v>4429</v>
      </c>
    </row>
    <row r="1162">
      <c r="A1162" s="1" t="s">
        <v>4430</v>
      </c>
      <c r="B1162" s="1" t="s">
        <v>4431</v>
      </c>
      <c r="C1162" s="1" t="s">
        <v>3851</v>
      </c>
      <c r="D1162" s="1" t="str">
        <f t="shared" si="1"/>
        <v>Home&amp;Kitchen</v>
      </c>
      <c r="E1162" s="1" t="str">
        <f t="shared" si="2"/>
        <v>Heating,Cooling&amp;AirQuality</v>
      </c>
      <c r="F1162" s="1">
        <v>899.0</v>
      </c>
      <c r="G1162" s="5">
        <v>1999.0</v>
      </c>
      <c r="H1162" s="6">
        <f t="shared" si="3"/>
        <v>0.5502751376</v>
      </c>
      <c r="I1162" s="3">
        <f>IFERROR(__xludf.DUMMYFUNCTION("GOOGLEFINANCE(""CURRENCY:INRBRL"")*F1162"),54.75034521389)</f>
        <v>54.75034521</v>
      </c>
      <c r="J1162" s="1">
        <v>4.49</v>
      </c>
      <c r="K1162" s="1">
        <v>185.0</v>
      </c>
      <c r="L1162" s="1" t="s">
        <v>4432</v>
      </c>
      <c r="M1162" s="7" t="s">
        <v>4433</v>
      </c>
    </row>
    <row r="1163">
      <c r="A1163" s="1" t="s">
        <v>4434</v>
      </c>
      <c r="B1163" s="1" t="s">
        <v>4435</v>
      </c>
      <c r="C1163" s="1" t="s">
        <v>3904</v>
      </c>
      <c r="D1163" s="1" t="str">
        <f t="shared" si="1"/>
        <v>Home&amp;Kitchen</v>
      </c>
      <c r="E1163" s="1" t="str">
        <f t="shared" si="2"/>
        <v>Kitchen&amp;HomeAppliances</v>
      </c>
      <c r="F1163" s="5">
        <v>1695.0</v>
      </c>
      <c r="G1163" s="5">
        <v>1695.0</v>
      </c>
      <c r="H1163" s="6">
        <f t="shared" si="3"/>
        <v>0</v>
      </c>
      <c r="I1163" s="3">
        <f>IFERROR(__xludf.DUMMYFUNCTION("GOOGLEFINANCE(""CURRENCY:INRBRL"")*F1163"),103.22784776145)</f>
        <v>103.2278478</v>
      </c>
      <c r="J1163" s="1">
        <v>4.5</v>
      </c>
      <c r="K1163" s="1">
        <v>1429.0</v>
      </c>
      <c r="L1163" s="1" t="s">
        <v>4436</v>
      </c>
      <c r="M1163" s="7" t="s">
        <v>4437</v>
      </c>
    </row>
    <row r="1164">
      <c r="A1164" s="1" t="s">
        <v>4438</v>
      </c>
      <c r="B1164" s="1" t="s">
        <v>4439</v>
      </c>
      <c r="C1164" s="1" t="s">
        <v>3909</v>
      </c>
      <c r="D1164" s="1" t="str">
        <f t="shared" si="1"/>
        <v>Home&amp;Kitchen</v>
      </c>
      <c r="E1164" s="1" t="str">
        <f t="shared" si="2"/>
        <v>Kitchen&amp;HomeAppliances</v>
      </c>
      <c r="F1164" s="1">
        <v>499.0</v>
      </c>
      <c r="G1164" s="1">
        <v>940.0</v>
      </c>
      <c r="H1164" s="6">
        <f t="shared" si="3"/>
        <v>0.4691489362</v>
      </c>
      <c r="I1164" s="3">
        <f>IFERROR(__xludf.DUMMYFUNCTION("GOOGLEFINANCE(""CURRENCY:INRBRL"")*F1164"),30.38979116989)</f>
        <v>30.38979117</v>
      </c>
      <c r="J1164" s="1">
        <v>4.49</v>
      </c>
      <c r="K1164" s="1">
        <v>3036.0</v>
      </c>
      <c r="L1164" s="1" t="s">
        <v>4188</v>
      </c>
      <c r="M1164" s="7" t="s">
        <v>4440</v>
      </c>
    </row>
    <row r="1165">
      <c r="A1165" s="1" t="s">
        <v>4441</v>
      </c>
      <c r="B1165" s="1" t="s">
        <v>4442</v>
      </c>
      <c r="C1165" s="1" t="s">
        <v>3919</v>
      </c>
      <c r="D1165" s="1" t="str">
        <f t="shared" si="1"/>
        <v>Home&amp;Kitchen</v>
      </c>
      <c r="E1165" s="1" t="str">
        <f t="shared" si="2"/>
        <v>Heating,Cooling&amp;AirQuality</v>
      </c>
      <c r="F1165" s="5">
        <v>2699.0</v>
      </c>
      <c r="G1165" s="5">
        <v>4699.0</v>
      </c>
      <c r="H1165" s="6">
        <f t="shared" si="3"/>
        <v>0.4256224729</v>
      </c>
      <c r="I1165" s="3">
        <f>IFERROR(__xludf.DUMMYFUNCTION("GOOGLEFINANCE(""CURRENCY:INRBRL"")*F1165"),164.37283841189)</f>
        <v>164.3728384</v>
      </c>
      <c r="J1165" s="1">
        <v>4.5</v>
      </c>
      <c r="K1165" s="1">
        <v>1296.0</v>
      </c>
      <c r="L1165" s="1" t="s">
        <v>4443</v>
      </c>
      <c r="M1165" s="7" t="s">
        <v>4444</v>
      </c>
    </row>
    <row r="1166">
      <c r="A1166" s="1" t="s">
        <v>4445</v>
      </c>
      <c r="B1166" s="1" t="s">
        <v>4446</v>
      </c>
      <c r="C1166" s="1" t="s">
        <v>3919</v>
      </c>
      <c r="D1166" s="1" t="str">
        <f t="shared" si="1"/>
        <v>Home&amp;Kitchen</v>
      </c>
      <c r="E1166" s="1" t="str">
        <f t="shared" si="2"/>
        <v>Heating,Cooling&amp;AirQuality</v>
      </c>
      <c r="F1166" s="5">
        <v>1448.0</v>
      </c>
      <c r="G1166" s="5">
        <v>2999.0</v>
      </c>
      <c r="H1166" s="6">
        <f t="shared" si="3"/>
        <v>0.5171723908</v>
      </c>
      <c r="I1166" s="3">
        <f>IFERROR(__xludf.DUMMYFUNCTION("GOOGLEFINANCE(""CURRENCY:INRBRL"")*F1166"),88.18520563928)</f>
        <v>88.18520564</v>
      </c>
      <c r="J1166" s="1">
        <v>4.51</v>
      </c>
      <c r="K1166" s="1">
        <v>19.0</v>
      </c>
      <c r="L1166" s="1" t="s">
        <v>4447</v>
      </c>
      <c r="M1166" s="7" t="s">
        <v>4448</v>
      </c>
    </row>
    <row r="1167">
      <c r="A1167" s="1" t="s">
        <v>4449</v>
      </c>
      <c r="B1167" s="1" t="s">
        <v>4450</v>
      </c>
      <c r="C1167" s="1" t="s">
        <v>4153</v>
      </c>
      <c r="D1167" s="1" t="str">
        <f t="shared" si="1"/>
        <v>Home&amp;Kitchen</v>
      </c>
      <c r="E1167" s="1" t="str">
        <f t="shared" si="2"/>
        <v>Kitchen&amp;HomeAppliances</v>
      </c>
      <c r="F1167" s="1">
        <v>79.0</v>
      </c>
      <c r="G1167" s="1">
        <v>79.0</v>
      </c>
      <c r="H1167" s="6">
        <f t="shared" si="3"/>
        <v>0</v>
      </c>
      <c r="I1167" s="3">
        <f>IFERROR(__xludf.DUMMYFUNCTION("GOOGLEFINANCE(""CURRENCY:INRBRL"")*F1167"),4.811209423689999)</f>
        <v>4.811209424</v>
      </c>
      <c r="J1167" s="1">
        <v>4.0</v>
      </c>
      <c r="K1167" s="1">
        <v>97.0</v>
      </c>
      <c r="L1167" s="1" t="s">
        <v>4451</v>
      </c>
      <c r="M1167" s="7" t="s">
        <v>4452</v>
      </c>
    </row>
    <row r="1168">
      <c r="A1168" s="1" t="s">
        <v>4453</v>
      </c>
      <c r="B1168" s="1" t="s">
        <v>4454</v>
      </c>
      <c r="C1168" s="1" t="s">
        <v>3942</v>
      </c>
      <c r="D1168" s="1" t="str">
        <f t="shared" si="1"/>
        <v>Home&amp;Kitchen</v>
      </c>
      <c r="E1168" s="1" t="str">
        <f t="shared" si="2"/>
        <v>Heating,Cooling&amp;AirQuality</v>
      </c>
      <c r="F1168" s="5">
        <v>6999.0</v>
      </c>
      <c r="G1168" s="5">
        <v>14299.0</v>
      </c>
      <c r="H1168" s="6">
        <f t="shared" si="3"/>
        <v>0.5105252116</v>
      </c>
      <c r="I1168" s="3">
        <f>IFERROR(__xludf.DUMMYFUNCTION("GOOGLEFINANCE(""CURRENCY:INRBRL"")*F1168"),426.24879438489)</f>
        <v>426.2487944</v>
      </c>
      <c r="J1168" s="1">
        <v>4.5</v>
      </c>
      <c r="K1168" s="1">
        <v>1771.0</v>
      </c>
      <c r="L1168" s="1" t="s">
        <v>4455</v>
      </c>
      <c r="M1168" s="7" t="s">
        <v>4456</v>
      </c>
    </row>
    <row r="1169">
      <c r="A1169" s="1" t="s">
        <v>4457</v>
      </c>
      <c r="B1169" s="1" t="s">
        <v>4458</v>
      </c>
      <c r="C1169" s="1" t="s">
        <v>3887</v>
      </c>
      <c r="D1169" s="1" t="str">
        <f t="shared" si="1"/>
        <v>Home&amp;Kitchen</v>
      </c>
      <c r="E1169" s="1" t="str">
        <f t="shared" si="2"/>
        <v>Kitchen&amp;HomeAppliances</v>
      </c>
      <c r="F1169" s="5">
        <v>2698.0</v>
      </c>
      <c r="G1169" s="5">
        <v>3945.0</v>
      </c>
      <c r="H1169" s="6">
        <f t="shared" si="3"/>
        <v>0.3160963245</v>
      </c>
      <c r="I1169" s="3">
        <f>IFERROR(__xludf.DUMMYFUNCTION("GOOGLEFINANCE(""CURRENCY:INRBRL"")*F1169"),164.31193702678)</f>
        <v>164.311937</v>
      </c>
      <c r="J1169" s="1">
        <v>4.0</v>
      </c>
      <c r="K1169" s="1">
        <v>15034.0</v>
      </c>
      <c r="L1169" s="1" t="s">
        <v>4459</v>
      </c>
      <c r="M1169" s="7" t="s">
        <v>4460</v>
      </c>
    </row>
    <row r="1170">
      <c r="A1170" s="1" t="s">
        <v>4461</v>
      </c>
      <c r="B1170" s="1" t="s">
        <v>4462</v>
      </c>
      <c r="C1170" s="1" t="s">
        <v>4427</v>
      </c>
      <c r="D1170" s="1" t="str">
        <f t="shared" si="1"/>
        <v>Home&amp;Kitchen</v>
      </c>
      <c r="E1170" s="1" t="str">
        <f t="shared" si="2"/>
        <v>Kitchen&amp;HomeAppliances</v>
      </c>
      <c r="F1170" s="5">
        <v>3199.0</v>
      </c>
      <c r="G1170" s="5">
        <v>5999.0</v>
      </c>
      <c r="H1170" s="6">
        <f t="shared" si="3"/>
        <v>0.4667444574</v>
      </c>
      <c r="I1170" s="3">
        <f>IFERROR(__xludf.DUMMYFUNCTION("GOOGLEFINANCE(""CURRENCY:INRBRL"")*F1170"),194.82353096689)</f>
        <v>194.823531</v>
      </c>
      <c r="J1170" s="1">
        <v>4.0</v>
      </c>
      <c r="K1170" s="1">
        <v>3242.0</v>
      </c>
      <c r="L1170" s="1" t="s">
        <v>4463</v>
      </c>
      <c r="M1170" s="7" t="s">
        <v>4464</v>
      </c>
    </row>
    <row r="1171">
      <c r="A1171" s="1" t="s">
        <v>4465</v>
      </c>
      <c r="B1171" s="1" t="s">
        <v>4466</v>
      </c>
      <c r="C1171" s="1" t="s">
        <v>3937</v>
      </c>
      <c r="D1171" s="1" t="str">
        <f t="shared" si="1"/>
        <v>Home&amp;Kitchen</v>
      </c>
      <c r="E1171" s="1" t="str">
        <f t="shared" si="2"/>
        <v>Kitchen&amp;HomeAppliances</v>
      </c>
      <c r="F1171" s="5">
        <v>1199.0</v>
      </c>
      <c r="G1171" s="5">
        <v>1949.0</v>
      </c>
      <c r="H1171" s="6">
        <f t="shared" si="3"/>
        <v>0.3848127245</v>
      </c>
      <c r="I1171" s="3">
        <f>IFERROR(__xludf.DUMMYFUNCTION("GOOGLEFINANCE(""CURRENCY:INRBRL"")*F1171"),73.02076074688999)</f>
        <v>73.02076075</v>
      </c>
      <c r="J1171" s="1">
        <v>4.52</v>
      </c>
      <c r="K1171" s="1">
        <v>2832.0</v>
      </c>
      <c r="L1171" s="1" t="s">
        <v>4467</v>
      </c>
      <c r="M1171" s="7" t="s">
        <v>4468</v>
      </c>
    </row>
    <row r="1172">
      <c r="A1172" s="1" t="s">
        <v>4469</v>
      </c>
      <c r="B1172" s="1" t="s">
        <v>4470</v>
      </c>
      <c r="C1172" s="1" t="s">
        <v>4115</v>
      </c>
      <c r="D1172" s="1" t="str">
        <f t="shared" si="1"/>
        <v>Home&amp;Kitchen</v>
      </c>
      <c r="E1172" s="1" t="str">
        <f t="shared" si="2"/>
        <v>Kitchen&amp;HomeAppliances</v>
      </c>
      <c r="F1172" s="5">
        <v>1414.0</v>
      </c>
      <c r="G1172" s="5">
        <v>2799.0</v>
      </c>
      <c r="H1172" s="6">
        <f t="shared" si="3"/>
        <v>0.4948195784</v>
      </c>
      <c r="I1172" s="3">
        <f>IFERROR(__xludf.DUMMYFUNCTION("GOOGLEFINANCE(""CURRENCY:INRBRL"")*F1172"),86.11455854553999)</f>
        <v>86.11455855</v>
      </c>
      <c r="J1172" s="1">
        <v>4.0</v>
      </c>
      <c r="K1172" s="1">
        <v>1498.0</v>
      </c>
      <c r="L1172" s="1" t="s">
        <v>4471</v>
      </c>
      <c r="M1172" s="7" t="s">
        <v>4472</v>
      </c>
    </row>
    <row r="1173">
      <c r="A1173" s="1" t="s">
        <v>4473</v>
      </c>
      <c r="B1173" s="1" t="s">
        <v>4474</v>
      </c>
      <c r="C1173" s="1" t="s">
        <v>3841</v>
      </c>
      <c r="D1173" s="1" t="str">
        <f t="shared" si="1"/>
        <v>Home&amp;Kitchen</v>
      </c>
      <c r="E1173" s="1" t="str">
        <f t="shared" si="2"/>
        <v>Kitchen&amp;HomeAppliances</v>
      </c>
      <c r="F1173" s="1">
        <v>999.0</v>
      </c>
      <c r="G1173" s="5">
        <v>1949.0</v>
      </c>
      <c r="H1173" s="6">
        <f t="shared" si="3"/>
        <v>0.487429451</v>
      </c>
      <c r="I1173" s="3">
        <f>IFERROR(__xludf.DUMMYFUNCTION("GOOGLEFINANCE(""CURRENCY:INRBRL"")*F1173"),60.84048372489)</f>
        <v>60.84048372</v>
      </c>
      <c r="J1173" s="1">
        <v>4.51</v>
      </c>
      <c r="K1173" s="1">
        <v>305.0</v>
      </c>
      <c r="L1173" s="1" t="s">
        <v>4475</v>
      </c>
      <c r="M1173" s="7" t="s">
        <v>4476</v>
      </c>
    </row>
    <row r="1174">
      <c r="A1174" s="1" t="s">
        <v>4477</v>
      </c>
      <c r="B1174" s="1" t="s">
        <v>4478</v>
      </c>
      <c r="C1174" s="1" t="s">
        <v>4171</v>
      </c>
      <c r="D1174" s="1" t="str">
        <f t="shared" si="1"/>
        <v>Home&amp;Kitchen</v>
      </c>
      <c r="E1174" s="1" t="str">
        <f t="shared" si="2"/>
        <v>Kitchen&amp;HomeAppliances</v>
      </c>
      <c r="F1174" s="5">
        <v>5999.0</v>
      </c>
      <c r="G1174" s="5">
        <v>9999.0</v>
      </c>
      <c r="H1174" s="6">
        <f t="shared" si="3"/>
        <v>0.400040004</v>
      </c>
      <c r="I1174" s="3">
        <f>IFERROR(__xludf.DUMMYFUNCTION("GOOGLEFINANCE(""CURRENCY:INRBRL"")*F1174"),365.34740927488997)</f>
        <v>365.3474093</v>
      </c>
      <c r="J1174" s="1">
        <v>4.5</v>
      </c>
      <c r="K1174" s="1">
        <v>1191.0</v>
      </c>
      <c r="L1174" s="1" t="s">
        <v>4479</v>
      </c>
      <c r="M1174" s="7" t="s">
        <v>4480</v>
      </c>
    </row>
    <row r="1175">
      <c r="A1175" s="1" t="s">
        <v>4481</v>
      </c>
      <c r="B1175" s="1" t="s">
        <v>4482</v>
      </c>
      <c r="C1175" s="1" t="s">
        <v>4483</v>
      </c>
      <c r="D1175" s="1" t="str">
        <f t="shared" si="1"/>
        <v>Home&amp;Kitchen</v>
      </c>
      <c r="E1175" s="1" t="str">
        <f t="shared" si="2"/>
        <v>Heating,Cooling&amp;AirQuality</v>
      </c>
      <c r="F1175" s="5">
        <v>9979.0</v>
      </c>
      <c r="G1175" s="5">
        <v>12999.0</v>
      </c>
      <c r="H1175" s="6">
        <f t="shared" si="3"/>
        <v>0.2323255635</v>
      </c>
      <c r="I1175" s="3">
        <f>IFERROR(__xludf.DUMMYFUNCTION("GOOGLEFINANCE(""CURRENCY:INRBRL"")*F1175"),607.7349220126899)</f>
        <v>607.734922</v>
      </c>
      <c r="J1175" s="1">
        <v>4.5</v>
      </c>
      <c r="K1175" s="1">
        <v>4049.0</v>
      </c>
      <c r="L1175" s="1" t="s">
        <v>4484</v>
      </c>
      <c r="M1175" s="7" t="s">
        <v>4485</v>
      </c>
    </row>
    <row r="1176">
      <c r="A1176" s="1" t="s">
        <v>4486</v>
      </c>
      <c r="B1176" s="1" t="s">
        <v>4487</v>
      </c>
      <c r="C1176" s="1" t="s">
        <v>4488</v>
      </c>
      <c r="D1176" s="1" t="str">
        <f t="shared" si="1"/>
        <v>Home&amp;Kitchen</v>
      </c>
      <c r="E1176" s="1" t="str">
        <f t="shared" si="2"/>
        <v>Kitchen&amp;HomeAppliances</v>
      </c>
      <c r="F1176" s="1">
        <v>698.0</v>
      </c>
      <c r="G1176" s="1">
        <v>699.0</v>
      </c>
      <c r="H1176" s="6">
        <f t="shared" si="3"/>
        <v>0.001430615165</v>
      </c>
      <c r="I1176" s="3">
        <f>IFERROR(__xludf.DUMMYFUNCTION("GOOGLEFINANCE(""CURRENCY:INRBRL"")*F1176"),42.50916680678)</f>
        <v>42.50916681</v>
      </c>
      <c r="J1176" s="1">
        <v>4.5</v>
      </c>
      <c r="K1176" s="1">
        <v>316.0</v>
      </c>
      <c r="L1176" s="1" t="s">
        <v>4489</v>
      </c>
      <c r="M1176" s="7" t="s">
        <v>4490</v>
      </c>
    </row>
    <row r="1177">
      <c r="A1177" s="1" t="s">
        <v>4491</v>
      </c>
      <c r="B1177" s="1" t="s">
        <v>4492</v>
      </c>
      <c r="C1177" s="1" t="s">
        <v>4158</v>
      </c>
      <c r="D1177" s="1" t="str">
        <f t="shared" si="1"/>
        <v>Home&amp;Kitchen</v>
      </c>
      <c r="E1177" s="1" t="str">
        <f t="shared" si="2"/>
        <v>Heating,Cooling&amp;AirQuality</v>
      </c>
      <c r="F1177" s="5">
        <v>2199.0</v>
      </c>
      <c r="G1177" s="5">
        <v>3199.0</v>
      </c>
      <c r="H1177" s="6">
        <f t="shared" si="3"/>
        <v>0.3125976868</v>
      </c>
      <c r="I1177" s="3">
        <f>IFERROR(__xludf.DUMMYFUNCTION("GOOGLEFINANCE(""CURRENCY:INRBRL"")*F1177"),133.92214585688998)</f>
        <v>133.9221459</v>
      </c>
      <c r="J1177" s="1">
        <v>4.5</v>
      </c>
      <c r="K1177" s="1">
        <v>965.0</v>
      </c>
      <c r="L1177" s="1" t="s">
        <v>4493</v>
      </c>
      <c r="M1177" s="7" t="s">
        <v>4494</v>
      </c>
    </row>
    <row r="1178">
      <c r="A1178" s="1" t="s">
        <v>4495</v>
      </c>
      <c r="B1178" s="1" t="s">
        <v>4496</v>
      </c>
      <c r="C1178" s="1" t="s">
        <v>4497</v>
      </c>
      <c r="D1178" s="1" t="str">
        <f t="shared" si="1"/>
        <v>Home&amp;Kitchen</v>
      </c>
      <c r="E1178" s="1" t="str">
        <f t="shared" si="2"/>
        <v>HomeStorage&amp;Organization</v>
      </c>
      <c r="F1178" s="1">
        <v>320.0</v>
      </c>
      <c r="G1178" s="1">
        <v>799.0</v>
      </c>
      <c r="H1178" s="6">
        <f t="shared" si="3"/>
        <v>0.5994993742</v>
      </c>
      <c r="I1178" s="3">
        <f>IFERROR(__xludf.DUMMYFUNCTION("GOOGLEFINANCE(""CURRENCY:INRBRL"")*F1178"),19.4884432352)</f>
        <v>19.48844324</v>
      </c>
      <c r="J1178" s="1">
        <v>4.5</v>
      </c>
      <c r="K1178" s="1">
        <v>3846.0</v>
      </c>
      <c r="L1178" s="1" t="s">
        <v>4498</v>
      </c>
      <c r="M1178" s="7" t="s">
        <v>4499</v>
      </c>
    </row>
    <row r="1179">
      <c r="A1179" s="1" t="s">
        <v>4500</v>
      </c>
      <c r="B1179" s="1" t="s">
        <v>4501</v>
      </c>
      <c r="C1179" s="1" t="s">
        <v>3856</v>
      </c>
      <c r="D1179" s="1" t="str">
        <f t="shared" si="1"/>
        <v>Home&amp;Kitchen</v>
      </c>
      <c r="E1179" s="1" t="str">
        <f t="shared" si="2"/>
        <v>Kitchen&amp;HomeAppliances</v>
      </c>
      <c r="F1179" s="1">
        <v>298.0</v>
      </c>
      <c r="G1179" s="1">
        <v>499.0</v>
      </c>
      <c r="H1179" s="6">
        <f t="shared" si="3"/>
        <v>0.4028056112</v>
      </c>
      <c r="I1179" s="3">
        <f>IFERROR(__xludf.DUMMYFUNCTION("GOOGLEFINANCE(""CURRENCY:INRBRL"")*F1179"),18.14861276278)</f>
        <v>18.14861276</v>
      </c>
      <c r="J1179" s="1">
        <v>4.5</v>
      </c>
      <c r="K1179" s="1">
        <v>290.0</v>
      </c>
      <c r="L1179" s="1" t="s">
        <v>4502</v>
      </c>
      <c r="M1179" s="7" t="s">
        <v>4503</v>
      </c>
    </row>
    <row r="1180">
      <c r="A1180" s="1" t="s">
        <v>4504</v>
      </c>
      <c r="B1180" s="1" t="s">
        <v>4505</v>
      </c>
      <c r="C1180" s="1" t="s">
        <v>4011</v>
      </c>
      <c r="D1180" s="1" t="str">
        <f t="shared" si="1"/>
        <v>Home&amp;Kitchen</v>
      </c>
      <c r="E1180" s="1" t="str">
        <f t="shared" si="2"/>
        <v>Kitchen&amp;HomeAppliances</v>
      </c>
      <c r="F1180" s="5">
        <v>1199.0</v>
      </c>
      <c r="G1180" s="5">
        <v>1499.0</v>
      </c>
      <c r="H1180" s="6">
        <f t="shared" si="3"/>
        <v>0.2001334223</v>
      </c>
      <c r="I1180" s="3">
        <f>IFERROR(__xludf.DUMMYFUNCTION("GOOGLEFINANCE(""CURRENCY:INRBRL"")*F1180"),73.02076074688999)</f>
        <v>73.02076075</v>
      </c>
      <c r="J1180" s="1">
        <v>4.51</v>
      </c>
      <c r="K1180" s="1">
        <v>2206.0</v>
      </c>
      <c r="L1180" s="1" t="s">
        <v>4506</v>
      </c>
      <c r="M1180" s="7" t="s">
        <v>4507</v>
      </c>
    </row>
    <row r="1181">
      <c r="A1181" s="1" t="s">
        <v>4508</v>
      </c>
      <c r="B1181" s="1" t="s">
        <v>4509</v>
      </c>
      <c r="C1181" s="1" t="s">
        <v>4158</v>
      </c>
      <c r="D1181" s="1" t="str">
        <f t="shared" si="1"/>
        <v>Home&amp;Kitchen</v>
      </c>
      <c r="E1181" s="1" t="str">
        <f t="shared" si="2"/>
        <v>Heating,Cooling&amp;AirQuality</v>
      </c>
      <c r="F1181" s="5">
        <v>1399.0</v>
      </c>
      <c r="G1181" s="5">
        <v>2669.0</v>
      </c>
      <c r="H1181" s="6">
        <f t="shared" si="3"/>
        <v>0.4758336456</v>
      </c>
      <c r="I1181" s="3">
        <f>IFERROR(__xludf.DUMMYFUNCTION("GOOGLEFINANCE(""CURRENCY:INRBRL"")*F1181"),85.20103776889)</f>
        <v>85.20103777</v>
      </c>
      <c r="J1181" s="1">
        <v>4.49</v>
      </c>
      <c r="K1181" s="1">
        <v>9349.0</v>
      </c>
      <c r="L1181" s="1" t="s">
        <v>4510</v>
      </c>
      <c r="M1181" s="7" t="s">
        <v>4511</v>
      </c>
    </row>
    <row r="1182">
      <c r="A1182" s="1" t="s">
        <v>4512</v>
      </c>
      <c r="B1182" s="1" t="s">
        <v>4513</v>
      </c>
      <c r="C1182" s="1" t="s">
        <v>3861</v>
      </c>
      <c r="D1182" s="1" t="str">
        <f t="shared" si="1"/>
        <v>Home&amp;Kitchen</v>
      </c>
      <c r="E1182" s="1" t="str">
        <f t="shared" si="2"/>
        <v>Kitchen&amp;HomeAppliances</v>
      </c>
      <c r="F1182" s="1">
        <v>599.0</v>
      </c>
      <c r="G1182" s="5">
        <v>2799.0</v>
      </c>
      <c r="H1182" s="6">
        <f t="shared" si="3"/>
        <v>0.7859949982</v>
      </c>
      <c r="I1182" s="3">
        <f>IFERROR(__xludf.DUMMYFUNCTION("GOOGLEFINANCE(""CURRENCY:INRBRL"")*F1182"),36.479929680889995)</f>
        <v>36.47992968</v>
      </c>
      <c r="J1182" s="1">
        <v>4.52</v>
      </c>
      <c r="K1182" s="1">
        <v>578.0</v>
      </c>
      <c r="L1182" s="1" t="s">
        <v>4514</v>
      </c>
      <c r="M1182" s="7" t="s">
        <v>4515</v>
      </c>
    </row>
    <row r="1183">
      <c r="A1183" s="1" t="s">
        <v>4516</v>
      </c>
      <c r="B1183" s="1" t="s">
        <v>4517</v>
      </c>
      <c r="C1183" s="1" t="s">
        <v>4226</v>
      </c>
      <c r="D1183" s="1" t="str">
        <f t="shared" si="1"/>
        <v>Home&amp;Kitchen</v>
      </c>
      <c r="E1183" s="1" t="str">
        <f t="shared" si="2"/>
        <v>Kitchen&amp;HomeAppliances</v>
      </c>
      <c r="F1183" s="5">
        <v>1499.0</v>
      </c>
      <c r="G1183" s="5">
        <v>1499.0</v>
      </c>
      <c r="H1183" s="6">
        <f t="shared" si="3"/>
        <v>0</v>
      </c>
      <c r="I1183" s="3">
        <f>IFERROR(__xludf.DUMMYFUNCTION("GOOGLEFINANCE(""CURRENCY:INRBRL"")*F1183"),91.29117627989)</f>
        <v>91.29117628</v>
      </c>
      <c r="J1183" s="1">
        <v>4.5</v>
      </c>
      <c r="K1183" s="1">
        <v>9331.0</v>
      </c>
      <c r="L1183" s="1" t="s">
        <v>4518</v>
      </c>
      <c r="M1183" s="7" t="s">
        <v>4519</v>
      </c>
    </row>
    <row r="1184">
      <c r="A1184" s="1" t="s">
        <v>4520</v>
      </c>
      <c r="B1184" s="1" t="s">
        <v>4521</v>
      </c>
      <c r="C1184" s="1" t="s">
        <v>4483</v>
      </c>
      <c r="D1184" s="1" t="str">
        <f t="shared" si="1"/>
        <v>Home&amp;Kitchen</v>
      </c>
      <c r="E1184" s="1" t="str">
        <f t="shared" si="2"/>
        <v>Heating,Cooling&amp;AirQuality</v>
      </c>
      <c r="F1184" s="5">
        <v>14499.0</v>
      </c>
      <c r="G1184" s="5">
        <v>59999.0</v>
      </c>
      <c r="H1184" s="6">
        <f t="shared" si="3"/>
        <v>0.7583459724</v>
      </c>
      <c r="I1184" s="3">
        <f>IFERROR(__xludf.DUMMYFUNCTION("GOOGLEFINANCE(""CURRENCY:INRBRL"")*F1184"),883.00918270989)</f>
        <v>883.0091827</v>
      </c>
      <c r="J1184" s="1">
        <v>4.5</v>
      </c>
      <c r="K1184" s="1">
        <v>3837.0</v>
      </c>
      <c r="L1184" s="1" t="s">
        <v>4522</v>
      </c>
      <c r="M1184" s="7" t="s">
        <v>4523</v>
      </c>
    </row>
    <row r="1185">
      <c r="A1185" s="1" t="s">
        <v>4524</v>
      </c>
      <c r="B1185" s="1" t="s">
        <v>4525</v>
      </c>
      <c r="C1185" s="1" t="s">
        <v>4488</v>
      </c>
      <c r="D1185" s="1" t="str">
        <f t="shared" si="1"/>
        <v>Home&amp;Kitchen</v>
      </c>
      <c r="E1185" s="1" t="str">
        <f t="shared" si="2"/>
        <v>Kitchen&amp;HomeAppliances</v>
      </c>
      <c r="F1185" s="5">
        <v>1699.0</v>
      </c>
      <c r="G1185" s="5">
        <v>1899.0</v>
      </c>
      <c r="H1185" s="6">
        <f t="shared" si="3"/>
        <v>0.1053185887</v>
      </c>
      <c r="I1185" s="3">
        <f>IFERROR(__xludf.DUMMYFUNCTION("GOOGLEFINANCE(""CURRENCY:INRBRL"")*F1185"),103.47145330189)</f>
        <v>103.4714533</v>
      </c>
      <c r="J1185" s="1">
        <v>4.51</v>
      </c>
      <c r="K1185" s="1">
        <v>11456.0</v>
      </c>
      <c r="L1185" s="1" t="s">
        <v>4526</v>
      </c>
      <c r="M1185" s="7" t="s">
        <v>4527</v>
      </c>
    </row>
    <row r="1186">
      <c r="A1186" s="1" t="s">
        <v>4528</v>
      </c>
      <c r="B1186" s="1" t="s">
        <v>4529</v>
      </c>
      <c r="C1186" s="1" t="s">
        <v>3846</v>
      </c>
      <c r="D1186" s="1" t="str">
        <f t="shared" si="1"/>
        <v>Home&amp;Kitchen</v>
      </c>
      <c r="E1186" s="1" t="str">
        <f t="shared" si="2"/>
        <v>Heating,Cooling&amp;AirQuality</v>
      </c>
      <c r="F1186" s="1">
        <v>649.0</v>
      </c>
      <c r="G1186" s="1">
        <v>999.0</v>
      </c>
      <c r="H1186" s="6">
        <f t="shared" si="3"/>
        <v>0.3503503504</v>
      </c>
      <c r="I1186" s="3">
        <f>IFERROR(__xludf.DUMMYFUNCTION("GOOGLEFINANCE(""CURRENCY:INRBRL"")*F1186"),39.52499893639)</f>
        <v>39.52499894</v>
      </c>
      <c r="J1186" s="1">
        <v>4.51</v>
      </c>
      <c r="K1186" s="1">
        <v>49.0</v>
      </c>
      <c r="L1186" s="1" t="s">
        <v>4530</v>
      </c>
      <c r="M1186" s="7" t="s">
        <v>4531</v>
      </c>
    </row>
    <row r="1187">
      <c r="A1187" s="1" t="s">
        <v>4532</v>
      </c>
      <c r="B1187" s="1" t="s">
        <v>4533</v>
      </c>
      <c r="C1187" s="1" t="s">
        <v>3914</v>
      </c>
      <c r="D1187" s="1" t="str">
        <f t="shared" si="1"/>
        <v>Home&amp;Kitchen</v>
      </c>
      <c r="E1187" s="1" t="str">
        <f t="shared" si="2"/>
        <v>Kitchen&amp;HomeAppliances</v>
      </c>
      <c r="F1187" s="5">
        <v>3249.0</v>
      </c>
      <c r="G1187" s="5">
        <v>6375.0</v>
      </c>
      <c r="H1187" s="6">
        <f t="shared" si="3"/>
        <v>0.4903529412</v>
      </c>
      <c r="I1187" s="3">
        <f>IFERROR(__xludf.DUMMYFUNCTION("GOOGLEFINANCE(""CURRENCY:INRBRL"")*F1187"),197.86860022239)</f>
        <v>197.8686002</v>
      </c>
      <c r="J1187" s="1">
        <v>4.0</v>
      </c>
      <c r="K1187" s="1">
        <v>4978.0</v>
      </c>
      <c r="L1187" s="1" t="s">
        <v>4534</v>
      </c>
      <c r="M1187" s="7" t="s">
        <v>4535</v>
      </c>
    </row>
    <row r="1188">
      <c r="A1188" s="1" t="s">
        <v>4536</v>
      </c>
      <c r="B1188" s="1" t="s">
        <v>4537</v>
      </c>
      <c r="C1188" s="1" t="s">
        <v>3989</v>
      </c>
      <c r="D1188" s="1" t="str">
        <f t="shared" si="1"/>
        <v>Home&amp;Kitchen</v>
      </c>
      <c r="E1188" s="1" t="str">
        <f t="shared" si="2"/>
        <v>HomeStorage&amp;Organization</v>
      </c>
      <c r="F1188" s="1">
        <v>199.0</v>
      </c>
      <c r="G1188" s="1">
        <v>499.0</v>
      </c>
      <c r="H1188" s="6">
        <f t="shared" si="3"/>
        <v>0.6012024048</v>
      </c>
      <c r="I1188" s="3">
        <f>IFERROR(__xludf.DUMMYFUNCTION("GOOGLEFINANCE(""CURRENCY:INRBRL"")*F1188"),12.11937563689)</f>
        <v>12.11937564</v>
      </c>
      <c r="J1188" s="1">
        <v>4.49</v>
      </c>
      <c r="K1188" s="1">
        <v>1996.0</v>
      </c>
      <c r="L1188" s="1" t="s">
        <v>4538</v>
      </c>
      <c r="M1188" s="7" t="s">
        <v>4539</v>
      </c>
    </row>
    <row r="1189">
      <c r="A1189" s="1" t="s">
        <v>4540</v>
      </c>
      <c r="B1189" s="1" t="s">
        <v>4541</v>
      </c>
      <c r="C1189" s="1" t="s">
        <v>4049</v>
      </c>
      <c r="D1189" s="1" t="str">
        <f t="shared" si="1"/>
        <v>Home&amp;Kitchen</v>
      </c>
      <c r="E1189" s="1" t="str">
        <f t="shared" si="2"/>
        <v>Kitchen&amp;HomeAppliances</v>
      </c>
      <c r="F1189" s="5">
        <v>1099.0</v>
      </c>
      <c r="G1189" s="5">
        <v>1899.0</v>
      </c>
      <c r="H1189" s="6">
        <f t="shared" si="3"/>
        <v>0.4212743549</v>
      </c>
      <c r="I1189" s="3">
        <f>IFERROR(__xludf.DUMMYFUNCTION("GOOGLEFINANCE(""CURRENCY:INRBRL"")*F1189"),66.93062223589)</f>
        <v>66.93062224</v>
      </c>
      <c r="J1189" s="1">
        <v>4.5</v>
      </c>
      <c r="K1189" s="1">
        <v>1811.0</v>
      </c>
      <c r="L1189" s="1" t="s">
        <v>4542</v>
      </c>
      <c r="M1189" s="7" t="s">
        <v>4543</v>
      </c>
    </row>
    <row r="1190">
      <c r="A1190" s="1" t="s">
        <v>4544</v>
      </c>
      <c r="B1190" s="1" t="s">
        <v>4545</v>
      </c>
      <c r="C1190" s="1" t="s">
        <v>3841</v>
      </c>
      <c r="D1190" s="1" t="str">
        <f t="shared" si="1"/>
        <v>Home&amp;Kitchen</v>
      </c>
      <c r="E1190" s="1" t="str">
        <f t="shared" si="2"/>
        <v>Kitchen&amp;HomeAppliances</v>
      </c>
      <c r="F1190" s="1">
        <v>664.0</v>
      </c>
      <c r="G1190" s="5">
        <v>1499.0</v>
      </c>
      <c r="H1190" s="6">
        <f t="shared" si="3"/>
        <v>0.5570380254</v>
      </c>
      <c r="I1190" s="3">
        <f>IFERROR(__xludf.DUMMYFUNCTION("GOOGLEFINANCE(""CURRENCY:INRBRL"")*F1190"),40.43851971304)</f>
        <v>40.43851971</v>
      </c>
      <c r="J1190" s="1">
        <v>4.0</v>
      </c>
      <c r="K1190" s="1">
        <v>2198.0</v>
      </c>
      <c r="L1190" s="1" t="s">
        <v>4546</v>
      </c>
      <c r="M1190" s="7" t="s">
        <v>4547</v>
      </c>
    </row>
    <row r="1191">
      <c r="A1191" s="1" t="s">
        <v>4548</v>
      </c>
      <c r="B1191" s="1" t="s">
        <v>4549</v>
      </c>
      <c r="C1191" s="1" t="s">
        <v>4062</v>
      </c>
      <c r="D1191" s="1" t="str">
        <f t="shared" si="1"/>
        <v>Home&amp;Kitchen</v>
      </c>
      <c r="E1191" s="1" t="str">
        <f t="shared" si="2"/>
        <v>Kitchen&amp;HomeAppliances</v>
      </c>
      <c r="F1191" s="1">
        <v>260.0</v>
      </c>
      <c r="G1191" s="1">
        <v>350.0</v>
      </c>
      <c r="H1191" s="6">
        <f t="shared" si="3"/>
        <v>0.2571428571</v>
      </c>
      <c r="I1191" s="3">
        <f>IFERROR(__xludf.DUMMYFUNCTION("GOOGLEFINANCE(""CURRENCY:INRBRL"")*F1191"),15.8343601286)</f>
        <v>15.83436013</v>
      </c>
      <c r="J1191" s="1">
        <v>4.52</v>
      </c>
      <c r="K1191" s="1">
        <v>13127.0</v>
      </c>
      <c r="L1191" s="1" t="s">
        <v>4550</v>
      </c>
      <c r="M1191" s="7" t="s">
        <v>4551</v>
      </c>
    </row>
    <row r="1192">
      <c r="A1192" s="1" t="s">
        <v>4552</v>
      </c>
      <c r="B1192" s="1" t="s">
        <v>4553</v>
      </c>
      <c r="C1192" s="1" t="s">
        <v>3942</v>
      </c>
      <c r="D1192" s="1" t="str">
        <f t="shared" si="1"/>
        <v>Home&amp;Kitchen</v>
      </c>
      <c r="E1192" s="1" t="str">
        <f t="shared" si="2"/>
        <v>Heating,Cooling&amp;AirQuality</v>
      </c>
      <c r="F1192" s="5">
        <v>6499.0</v>
      </c>
      <c r="G1192" s="5">
        <v>8499.0</v>
      </c>
      <c r="H1192" s="6">
        <f t="shared" si="3"/>
        <v>0.2353218026</v>
      </c>
      <c r="I1192" s="3">
        <f>IFERROR(__xludf.DUMMYFUNCTION("GOOGLEFINANCE(""CURRENCY:INRBRL"")*F1192"),395.79810182988996)</f>
        <v>395.7981018</v>
      </c>
      <c r="J1192" s="1">
        <v>4.5</v>
      </c>
      <c r="K1192" s="1">
        <v>5865.0</v>
      </c>
      <c r="L1192" s="1" t="s">
        <v>4554</v>
      </c>
      <c r="M1192" s="7" t="s">
        <v>4555</v>
      </c>
    </row>
    <row r="1193">
      <c r="A1193" s="1" t="s">
        <v>4556</v>
      </c>
      <c r="B1193" s="1" t="s">
        <v>4557</v>
      </c>
      <c r="C1193" s="1" t="s">
        <v>4558</v>
      </c>
      <c r="D1193" s="1" t="str">
        <f t="shared" si="1"/>
        <v>Home&amp;Kitchen</v>
      </c>
      <c r="E1193" s="1" t="str">
        <f t="shared" si="2"/>
        <v>Kitchen&amp;HomeAppliances</v>
      </c>
      <c r="F1193" s="5">
        <v>1484.0</v>
      </c>
      <c r="G1193" s="5">
        <v>2499.0</v>
      </c>
      <c r="H1193" s="6">
        <f t="shared" si="3"/>
        <v>0.406162465</v>
      </c>
      <c r="I1193" s="3">
        <f>IFERROR(__xludf.DUMMYFUNCTION("GOOGLEFINANCE(""CURRENCY:INRBRL"")*F1193"),90.37765550323999)</f>
        <v>90.3776555</v>
      </c>
      <c r="J1193" s="1">
        <v>4.51</v>
      </c>
      <c r="K1193" s="1">
        <v>1067.0</v>
      </c>
      <c r="L1193" s="1" t="s">
        <v>4559</v>
      </c>
      <c r="M1193" s="7" t="s">
        <v>4560</v>
      </c>
    </row>
    <row r="1194">
      <c r="A1194" s="1" t="s">
        <v>4561</v>
      </c>
      <c r="B1194" s="1" t="s">
        <v>4562</v>
      </c>
      <c r="C1194" s="1" t="s">
        <v>3994</v>
      </c>
      <c r="D1194" s="1" t="str">
        <f t="shared" si="1"/>
        <v>Home&amp;Kitchen</v>
      </c>
      <c r="E1194" s="1" t="str">
        <f t="shared" si="2"/>
        <v>Kitchen&amp;HomeAppliances</v>
      </c>
      <c r="F1194" s="1">
        <v>999.0</v>
      </c>
      <c r="G1194" s="5">
        <v>1599.0</v>
      </c>
      <c r="H1194" s="6">
        <f t="shared" si="3"/>
        <v>0.3752345216</v>
      </c>
      <c r="I1194" s="3">
        <f>IFERROR(__xludf.DUMMYFUNCTION("GOOGLEFINANCE(""CURRENCY:INRBRL"")*F1194"),60.84048372489)</f>
        <v>60.84048372</v>
      </c>
      <c r="J1194" s="1">
        <v>4.51</v>
      </c>
      <c r="K1194" s="1">
        <v>4881.0</v>
      </c>
      <c r="L1194" s="1" t="s">
        <v>4563</v>
      </c>
      <c r="M1194" s="7" t="s">
        <v>4564</v>
      </c>
    </row>
    <row r="1195">
      <c r="A1195" s="1" t="s">
        <v>4565</v>
      </c>
      <c r="B1195" s="1" t="s">
        <v>4566</v>
      </c>
      <c r="C1195" s="1" t="s">
        <v>4011</v>
      </c>
      <c r="D1195" s="1" t="str">
        <f t="shared" si="1"/>
        <v>Home&amp;Kitchen</v>
      </c>
      <c r="E1195" s="1" t="str">
        <f t="shared" si="2"/>
        <v>Kitchen&amp;HomeAppliances</v>
      </c>
      <c r="F1195" s="5">
        <v>3299.0</v>
      </c>
      <c r="G1195" s="5">
        <v>6499.0</v>
      </c>
      <c r="H1195" s="6">
        <f t="shared" si="3"/>
        <v>0.4923834436</v>
      </c>
      <c r="I1195" s="3">
        <f>IFERROR(__xludf.DUMMYFUNCTION("GOOGLEFINANCE(""CURRENCY:INRBRL"")*F1195"),200.91366947788998)</f>
        <v>200.9136695</v>
      </c>
      <c r="J1195" s="1">
        <v>4.51</v>
      </c>
      <c r="K1195" s="1">
        <v>11217.0</v>
      </c>
      <c r="L1195" s="1" t="s">
        <v>4567</v>
      </c>
      <c r="M1195" s="7" t="s">
        <v>4568</v>
      </c>
    </row>
    <row r="1196">
      <c r="A1196" s="1" t="s">
        <v>4569</v>
      </c>
      <c r="B1196" s="1" t="s">
        <v>4570</v>
      </c>
      <c r="C1196" s="1" t="s">
        <v>3904</v>
      </c>
      <c r="D1196" s="1" t="str">
        <f t="shared" si="1"/>
        <v>Home&amp;Kitchen</v>
      </c>
      <c r="E1196" s="1" t="str">
        <f t="shared" si="2"/>
        <v>Kitchen&amp;HomeAppliances</v>
      </c>
      <c r="F1196" s="1">
        <v>259.0</v>
      </c>
      <c r="G1196" s="1">
        <v>999.0</v>
      </c>
      <c r="H1196" s="6">
        <f t="shared" si="3"/>
        <v>0.7407407407</v>
      </c>
      <c r="I1196" s="3">
        <f>IFERROR(__xludf.DUMMYFUNCTION("GOOGLEFINANCE(""CURRENCY:INRBRL"")*F1196"),15.77345874349)</f>
        <v>15.77345874</v>
      </c>
      <c r="J1196" s="1">
        <v>4.0</v>
      </c>
      <c r="K1196" s="1">
        <v>43.0</v>
      </c>
      <c r="L1196" s="1" t="s">
        <v>4571</v>
      </c>
      <c r="M1196" s="7" t="s">
        <v>4572</v>
      </c>
    </row>
    <row r="1197">
      <c r="A1197" s="1" t="s">
        <v>4573</v>
      </c>
      <c r="B1197" s="1" t="s">
        <v>4574</v>
      </c>
      <c r="C1197" s="1" t="s">
        <v>3914</v>
      </c>
      <c r="D1197" s="1" t="str">
        <f t="shared" si="1"/>
        <v>Home&amp;Kitchen</v>
      </c>
      <c r="E1197" s="1" t="str">
        <f t="shared" si="2"/>
        <v>Kitchen&amp;HomeAppliances</v>
      </c>
      <c r="F1197" s="5">
        <v>3249.0</v>
      </c>
      <c r="G1197" s="5">
        <v>7795.0</v>
      </c>
      <c r="H1197" s="6">
        <f t="shared" si="3"/>
        <v>0.5831943554</v>
      </c>
      <c r="I1197" s="3">
        <f>IFERROR(__xludf.DUMMYFUNCTION("GOOGLEFINANCE(""CURRENCY:INRBRL"")*F1197"),197.86860022239)</f>
        <v>197.8686002</v>
      </c>
      <c r="J1197" s="1">
        <v>4.5</v>
      </c>
      <c r="K1197" s="1">
        <v>4664.0</v>
      </c>
      <c r="L1197" s="1" t="s">
        <v>4575</v>
      </c>
      <c r="M1197" s="7" t="s">
        <v>4576</v>
      </c>
    </row>
    <row r="1198">
      <c r="A1198" s="1" t="s">
        <v>4577</v>
      </c>
      <c r="B1198" s="1" t="s">
        <v>4578</v>
      </c>
      <c r="C1198" s="1" t="s">
        <v>3994</v>
      </c>
      <c r="D1198" s="1" t="str">
        <f t="shared" si="1"/>
        <v>Home&amp;Kitchen</v>
      </c>
      <c r="E1198" s="1" t="str">
        <f t="shared" si="2"/>
        <v>Kitchen&amp;HomeAppliances</v>
      </c>
      <c r="F1198" s="5">
        <v>4299.0</v>
      </c>
      <c r="G1198" s="5">
        <v>5995.0</v>
      </c>
      <c r="H1198" s="6">
        <f t="shared" si="3"/>
        <v>0.2829024187</v>
      </c>
      <c r="I1198" s="3">
        <f>IFERROR(__xludf.DUMMYFUNCTION("GOOGLEFINANCE(""CURRENCY:INRBRL"")*F1198"),261.81505458789)</f>
        <v>261.8150546</v>
      </c>
      <c r="J1198" s="1">
        <v>4.51</v>
      </c>
      <c r="K1198" s="1">
        <v>2112.0</v>
      </c>
      <c r="L1198" s="1" t="s">
        <v>4579</v>
      </c>
      <c r="M1198" s="7" t="s">
        <v>4580</v>
      </c>
    </row>
    <row r="1199">
      <c r="A1199" s="1" t="s">
        <v>4581</v>
      </c>
      <c r="B1199" s="1" t="s">
        <v>4582</v>
      </c>
      <c r="C1199" s="1" t="s">
        <v>4583</v>
      </c>
      <c r="D1199" s="1" t="str">
        <f t="shared" si="1"/>
        <v>Home&amp;Kitchen</v>
      </c>
      <c r="E1199" s="1" t="str">
        <f t="shared" si="2"/>
        <v>HomeStorage&amp;Organization</v>
      </c>
      <c r="F1199" s="1">
        <v>189.0</v>
      </c>
      <c r="G1199" s="1">
        <v>299.0</v>
      </c>
      <c r="H1199" s="6">
        <f t="shared" si="3"/>
        <v>0.3678929766</v>
      </c>
      <c r="I1199" s="3">
        <f>IFERROR(__xludf.DUMMYFUNCTION("GOOGLEFINANCE(""CURRENCY:INRBRL"")*F1199"),11.51036178579)</f>
        <v>11.51036179</v>
      </c>
      <c r="J1199" s="1">
        <v>4.5</v>
      </c>
      <c r="K1199" s="1">
        <v>2737.0</v>
      </c>
      <c r="L1199" s="1" t="s">
        <v>4584</v>
      </c>
      <c r="M1199" s="7" t="s">
        <v>4585</v>
      </c>
    </row>
    <row r="1200">
      <c r="A1200" s="1" t="s">
        <v>4586</v>
      </c>
      <c r="B1200" s="1" t="s">
        <v>4587</v>
      </c>
      <c r="C1200" s="1" t="s">
        <v>4158</v>
      </c>
      <c r="D1200" s="1" t="str">
        <f t="shared" si="1"/>
        <v>Home&amp;Kitchen</v>
      </c>
      <c r="E1200" s="1" t="str">
        <f t="shared" si="2"/>
        <v>Heating,Cooling&amp;AirQuality</v>
      </c>
      <c r="F1200" s="5">
        <v>1449.0</v>
      </c>
      <c r="G1200" s="5">
        <v>2349.0</v>
      </c>
      <c r="H1200" s="6">
        <f t="shared" si="3"/>
        <v>0.3831417625</v>
      </c>
      <c r="I1200" s="3">
        <f>IFERROR(__xludf.DUMMYFUNCTION("GOOGLEFINANCE(""CURRENCY:INRBRL"")*F1200"),88.24610702439)</f>
        <v>88.24610702</v>
      </c>
      <c r="J1200" s="1">
        <v>4.52</v>
      </c>
      <c r="K1200" s="1">
        <v>9019.0</v>
      </c>
      <c r="L1200" s="1" t="s">
        <v>4588</v>
      </c>
      <c r="M1200" s="7" t="s">
        <v>4589</v>
      </c>
    </row>
    <row r="1201">
      <c r="A1201" s="1" t="s">
        <v>4590</v>
      </c>
      <c r="B1201" s="1" t="s">
        <v>4591</v>
      </c>
      <c r="C1201" s="1" t="s">
        <v>3989</v>
      </c>
      <c r="D1201" s="1" t="str">
        <f t="shared" si="1"/>
        <v>Home&amp;Kitchen</v>
      </c>
      <c r="E1201" s="1" t="str">
        <f t="shared" si="2"/>
        <v>HomeStorage&amp;Organization</v>
      </c>
      <c r="F1201" s="1">
        <v>199.0</v>
      </c>
      <c r="G1201" s="1">
        <v>499.0</v>
      </c>
      <c r="H1201" s="6">
        <f t="shared" si="3"/>
        <v>0.6012024048</v>
      </c>
      <c r="I1201" s="3">
        <f>IFERROR(__xludf.DUMMYFUNCTION("GOOGLEFINANCE(""CURRENCY:INRBRL"")*F1201"),12.11937563689)</f>
        <v>12.11937564</v>
      </c>
      <c r="J1201" s="1">
        <v>4.0</v>
      </c>
      <c r="K1201" s="1">
        <v>10234.0</v>
      </c>
      <c r="L1201" s="1" t="s">
        <v>4592</v>
      </c>
      <c r="M1201" s="7" t="s">
        <v>4593</v>
      </c>
    </row>
    <row r="1202">
      <c r="A1202" s="1" t="s">
        <v>4594</v>
      </c>
      <c r="B1202" s="1" t="s">
        <v>4595</v>
      </c>
      <c r="C1202" s="1" t="s">
        <v>4596</v>
      </c>
      <c r="D1202" s="1" t="str">
        <f t="shared" si="1"/>
        <v>Home&amp;Kitchen</v>
      </c>
      <c r="E1202" s="1" t="str">
        <f t="shared" si="2"/>
        <v>Kitchen&amp;HomeAppliances</v>
      </c>
      <c r="F1202" s="1">
        <v>474.0</v>
      </c>
      <c r="G1202" s="5">
        <v>1299.0</v>
      </c>
      <c r="H1202" s="6">
        <f t="shared" si="3"/>
        <v>0.6351039261</v>
      </c>
      <c r="I1202" s="3">
        <f>IFERROR(__xludf.DUMMYFUNCTION("GOOGLEFINANCE(""CURRENCY:INRBRL"")*F1202"),28.867256542139998)</f>
        <v>28.86725654</v>
      </c>
      <c r="J1202" s="1">
        <v>4.49</v>
      </c>
      <c r="K1202" s="1">
        <v>550.0</v>
      </c>
      <c r="L1202" s="1" t="s">
        <v>4597</v>
      </c>
      <c r="M1202" s="7" t="s">
        <v>4598</v>
      </c>
    </row>
    <row r="1203">
      <c r="A1203" s="1" t="s">
        <v>4599</v>
      </c>
      <c r="B1203" s="1" t="s">
        <v>4600</v>
      </c>
      <c r="C1203" s="1" t="s">
        <v>3904</v>
      </c>
      <c r="D1203" s="1" t="str">
        <f t="shared" si="1"/>
        <v>Home&amp;Kitchen</v>
      </c>
      <c r="E1203" s="1" t="str">
        <f t="shared" si="2"/>
        <v>Kitchen&amp;HomeAppliances</v>
      </c>
      <c r="F1203" s="1">
        <v>279.0</v>
      </c>
      <c r="G1203" s="1">
        <v>499.0</v>
      </c>
      <c r="H1203" s="6">
        <f t="shared" si="3"/>
        <v>0.4408817635</v>
      </c>
      <c r="I1203" s="3">
        <f>IFERROR(__xludf.DUMMYFUNCTION("GOOGLEFINANCE(""CURRENCY:INRBRL"")*F1203"),16.99148644569)</f>
        <v>16.99148645</v>
      </c>
      <c r="J1203" s="1">
        <v>4.51</v>
      </c>
      <c r="K1203" s="1">
        <v>28.0</v>
      </c>
      <c r="L1203" s="1" t="s">
        <v>4601</v>
      </c>
      <c r="M1203" s="7" t="s">
        <v>4602</v>
      </c>
    </row>
    <row r="1204">
      <c r="A1204" s="1" t="s">
        <v>4603</v>
      </c>
      <c r="B1204" s="1" t="s">
        <v>4604</v>
      </c>
      <c r="C1204" s="1" t="s">
        <v>4158</v>
      </c>
      <c r="D1204" s="1" t="str">
        <f t="shared" si="1"/>
        <v>Home&amp;Kitchen</v>
      </c>
      <c r="E1204" s="1" t="str">
        <f t="shared" si="2"/>
        <v>Heating,Cooling&amp;AirQuality</v>
      </c>
      <c r="F1204" s="5">
        <v>1999.0</v>
      </c>
      <c r="G1204" s="5">
        <v>4775.0</v>
      </c>
      <c r="H1204" s="6">
        <f t="shared" si="3"/>
        <v>0.5813612565</v>
      </c>
      <c r="I1204" s="3">
        <f>IFERROR(__xludf.DUMMYFUNCTION("GOOGLEFINANCE(""CURRENCY:INRBRL"")*F1204"),121.74186883489)</f>
        <v>121.7418688</v>
      </c>
      <c r="J1204" s="1">
        <v>4.5</v>
      </c>
      <c r="K1204" s="1">
        <v>1353.0</v>
      </c>
      <c r="L1204" s="1" t="s">
        <v>4605</v>
      </c>
      <c r="M1204" s="7" t="s">
        <v>4606</v>
      </c>
    </row>
    <row r="1205">
      <c r="A1205" s="1" t="s">
        <v>4607</v>
      </c>
      <c r="B1205" s="1" t="s">
        <v>4608</v>
      </c>
      <c r="C1205" s="1" t="s">
        <v>3856</v>
      </c>
      <c r="D1205" s="1" t="str">
        <f t="shared" si="1"/>
        <v>Home&amp;Kitchen</v>
      </c>
      <c r="E1205" s="1" t="str">
        <f t="shared" si="2"/>
        <v>Kitchen&amp;HomeAppliances</v>
      </c>
      <c r="F1205" s="1">
        <v>799.0</v>
      </c>
      <c r="G1205" s="5">
        <v>1239.0</v>
      </c>
      <c r="H1205" s="6">
        <f t="shared" si="3"/>
        <v>0.3551251009</v>
      </c>
      <c r="I1205" s="3">
        <f>IFERROR(__xludf.DUMMYFUNCTION("GOOGLEFINANCE(""CURRENCY:INRBRL"")*F1205"),48.66020670289)</f>
        <v>48.6602067</v>
      </c>
      <c r="J1205" s="1">
        <v>4.49</v>
      </c>
      <c r="K1205" s="1">
        <v>2138.0</v>
      </c>
      <c r="L1205" s="1" t="s">
        <v>4609</v>
      </c>
      <c r="M1205" s="7" t="s">
        <v>4610</v>
      </c>
    </row>
    <row r="1206">
      <c r="A1206" s="1" t="s">
        <v>4611</v>
      </c>
      <c r="B1206" s="1" t="s">
        <v>4612</v>
      </c>
      <c r="C1206" s="1" t="s">
        <v>4115</v>
      </c>
      <c r="D1206" s="1" t="str">
        <f t="shared" si="1"/>
        <v>Home&amp;Kitchen</v>
      </c>
      <c r="E1206" s="1" t="str">
        <f t="shared" si="2"/>
        <v>Kitchen&amp;HomeAppliances</v>
      </c>
      <c r="F1206" s="1">
        <v>949.0</v>
      </c>
      <c r="G1206" s="5">
        <v>1999.0</v>
      </c>
      <c r="H1206" s="6">
        <f t="shared" si="3"/>
        <v>0.5252626313</v>
      </c>
      <c r="I1206" s="3">
        <f>IFERROR(__xludf.DUMMYFUNCTION("GOOGLEFINANCE(""CURRENCY:INRBRL"")*F1206"),57.795414469389996)</f>
        <v>57.79541447</v>
      </c>
      <c r="J1206" s="1">
        <v>4.0</v>
      </c>
      <c r="K1206" s="1">
        <v>1679.0</v>
      </c>
      <c r="L1206" s="1" t="s">
        <v>4613</v>
      </c>
      <c r="M1206" s="7" t="s">
        <v>4614</v>
      </c>
    </row>
    <row r="1207">
      <c r="A1207" s="1" t="s">
        <v>4615</v>
      </c>
      <c r="B1207" s="1" t="s">
        <v>4616</v>
      </c>
      <c r="C1207" s="1" t="s">
        <v>4617</v>
      </c>
      <c r="D1207" s="1" t="str">
        <f t="shared" si="1"/>
        <v>Home&amp;Kitchen</v>
      </c>
      <c r="E1207" s="1" t="str">
        <f t="shared" si="2"/>
        <v>Kitchen&amp;HomeAppliances</v>
      </c>
      <c r="F1207" s="5">
        <v>3657.66</v>
      </c>
      <c r="G1207" s="5">
        <v>5156.0</v>
      </c>
      <c r="H1207" s="6">
        <f t="shared" si="3"/>
        <v>0.2906012413</v>
      </c>
      <c r="I1207" s="3">
        <f>IFERROR(__xludf.DUMMYFUNCTION("GOOGLEFINANCE(""CURRENCY:INRBRL"")*F1207"),222.7565602614426)</f>
        <v>222.7565603</v>
      </c>
      <c r="J1207" s="1">
        <v>4.52</v>
      </c>
      <c r="K1207" s="1">
        <v>12837.0</v>
      </c>
      <c r="L1207" s="1" t="s">
        <v>4618</v>
      </c>
      <c r="M1207" s="7" t="s">
        <v>4619</v>
      </c>
    </row>
    <row r="1208">
      <c r="A1208" s="1" t="s">
        <v>4620</v>
      </c>
      <c r="B1208" s="1" t="s">
        <v>4621</v>
      </c>
      <c r="C1208" s="1" t="s">
        <v>4622</v>
      </c>
      <c r="D1208" s="1" t="str">
        <f t="shared" si="1"/>
        <v>Home&amp;Kitchen</v>
      </c>
      <c r="E1208" s="1" t="str">
        <f t="shared" si="2"/>
        <v>Kitchen&amp;HomeAppliances</v>
      </c>
      <c r="F1208" s="5">
        <v>1699.0</v>
      </c>
      <c r="G1208" s="5">
        <v>1999.0</v>
      </c>
      <c r="H1208" s="6">
        <f t="shared" si="3"/>
        <v>0.1500750375</v>
      </c>
      <c r="I1208" s="3">
        <f>IFERROR(__xludf.DUMMYFUNCTION("GOOGLEFINANCE(""CURRENCY:INRBRL"")*F1208"),103.47145330189)</f>
        <v>103.4714533</v>
      </c>
      <c r="J1208" s="1">
        <v>4.49</v>
      </c>
      <c r="K1208" s="1">
        <v>8873.0</v>
      </c>
      <c r="L1208" s="1" t="s">
        <v>4623</v>
      </c>
      <c r="M1208" s="7" t="s">
        <v>4624</v>
      </c>
    </row>
    <row r="1209">
      <c r="A1209" s="1" t="s">
        <v>4625</v>
      </c>
      <c r="B1209" s="1" t="s">
        <v>4626</v>
      </c>
      <c r="C1209" s="1" t="s">
        <v>3994</v>
      </c>
      <c r="D1209" s="1" t="str">
        <f t="shared" si="1"/>
        <v>Home&amp;Kitchen</v>
      </c>
      <c r="E1209" s="1" t="str">
        <f t="shared" si="2"/>
        <v>Kitchen&amp;HomeAppliances</v>
      </c>
      <c r="F1209" s="5">
        <v>1849.0</v>
      </c>
      <c r="G1209" s="5">
        <v>2095.0</v>
      </c>
      <c r="H1209" s="6">
        <f t="shared" si="3"/>
        <v>0.1174224344</v>
      </c>
      <c r="I1209" s="3">
        <f>IFERROR(__xludf.DUMMYFUNCTION("GOOGLEFINANCE(""CURRENCY:INRBRL"")*F1209"),112.60666106839)</f>
        <v>112.6066611</v>
      </c>
      <c r="J1209" s="1">
        <v>4.5</v>
      </c>
      <c r="K1209" s="1">
        <v>7681.0</v>
      </c>
      <c r="L1209" s="1" t="s">
        <v>4627</v>
      </c>
      <c r="M1209" s="7" t="s">
        <v>4628</v>
      </c>
    </row>
    <row r="1210">
      <c r="A1210" s="1" t="s">
        <v>4629</v>
      </c>
      <c r="B1210" s="1" t="s">
        <v>4630</v>
      </c>
      <c r="C1210" s="1" t="s">
        <v>3851</v>
      </c>
      <c r="D1210" s="1" t="str">
        <f t="shared" si="1"/>
        <v>Home&amp;Kitchen</v>
      </c>
      <c r="E1210" s="1" t="str">
        <f t="shared" si="2"/>
        <v>Heating,Cooling&amp;AirQuality</v>
      </c>
      <c r="F1210" s="5">
        <v>12499.0</v>
      </c>
      <c r="G1210" s="5">
        <v>19825.0</v>
      </c>
      <c r="H1210" s="6">
        <f t="shared" si="3"/>
        <v>0.3695334174</v>
      </c>
      <c r="I1210" s="3">
        <f>IFERROR(__xludf.DUMMYFUNCTION("GOOGLEFINANCE(""CURRENCY:INRBRL"")*F1210"),761.20641248989)</f>
        <v>761.2064125</v>
      </c>
      <c r="J1210" s="1">
        <v>4.49</v>
      </c>
      <c r="K1210" s="1">
        <v>322.0</v>
      </c>
      <c r="L1210" s="1" t="s">
        <v>4631</v>
      </c>
      <c r="M1210" s="7" t="s">
        <v>4632</v>
      </c>
    </row>
    <row r="1211">
      <c r="A1211" s="1" t="s">
        <v>4633</v>
      </c>
      <c r="B1211" s="1" t="s">
        <v>4634</v>
      </c>
      <c r="C1211" s="1" t="s">
        <v>3909</v>
      </c>
      <c r="D1211" s="1" t="str">
        <f t="shared" si="1"/>
        <v>Home&amp;Kitchen</v>
      </c>
      <c r="E1211" s="1" t="str">
        <f t="shared" si="2"/>
        <v>Kitchen&amp;HomeAppliances</v>
      </c>
      <c r="F1211" s="5">
        <v>1099.0</v>
      </c>
      <c r="G1211" s="5">
        <v>1929.0</v>
      </c>
      <c r="H1211" s="6">
        <f t="shared" si="3"/>
        <v>0.4302747538</v>
      </c>
      <c r="I1211" s="3">
        <f>IFERROR(__xludf.DUMMYFUNCTION("GOOGLEFINANCE(""CURRENCY:INRBRL"")*F1211"),66.93062223589)</f>
        <v>66.93062224</v>
      </c>
      <c r="J1211" s="1">
        <v>4.5</v>
      </c>
      <c r="K1211" s="1">
        <v>9772.0</v>
      </c>
      <c r="L1211" s="1" t="s">
        <v>4635</v>
      </c>
      <c r="M1211" s="7" t="s">
        <v>4636</v>
      </c>
    </row>
    <row r="1212">
      <c r="A1212" s="1" t="s">
        <v>4637</v>
      </c>
      <c r="B1212" s="1" t="s">
        <v>4638</v>
      </c>
      <c r="C1212" s="1" t="s">
        <v>4488</v>
      </c>
      <c r="D1212" s="1" t="str">
        <f t="shared" si="1"/>
        <v>Home&amp;Kitchen</v>
      </c>
      <c r="E1212" s="1" t="str">
        <f t="shared" si="2"/>
        <v>Kitchen&amp;HomeAppliances</v>
      </c>
      <c r="F1212" s="5">
        <v>8199.0</v>
      </c>
      <c r="G1212" s="5">
        <v>15999.0</v>
      </c>
      <c r="H1212" s="6">
        <f t="shared" si="3"/>
        <v>0.4875304707</v>
      </c>
      <c r="I1212" s="3">
        <f>IFERROR(__xludf.DUMMYFUNCTION("GOOGLEFINANCE(""CURRENCY:INRBRL"")*F1212"),499.33045651688997)</f>
        <v>499.3304565</v>
      </c>
      <c r="J1212" s="1">
        <v>4.52</v>
      </c>
      <c r="K1212" s="1">
        <v>18497.0</v>
      </c>
      <c r="L1212" s="1" t="s">
        <v>4639</v>
      </c>
      <c r="M1212" s="7" t="s">
        <v>4640</v>
      </c>
    </row>
    <row r="1213">
      <c r="A1213" s="1" t="s">
        <v>4641</v>
      </c>
      <c r="B1213" s="1" t="s">
        <v>4642</v>
      </c>
      <c r="C1213" s="1" t="s">
        <v>4011</v>
      </c>
      <c r="D1213" s="1" t="str">
        <f t="shared" si="1"/>
        <v>Home&amp;Kitchen</v>
      </c>
      <c r="E1213" s="1" t="str">
        <f t="shared" si="2"/>
        <v>Kitchen&amp;HomeAppliances</v>
      </c>
      <c r="F1213" s="1">
        <v>499.0</v>
      </c>
      <c r="G1213" s="5">
        <v>2199.0</v>
      </c>
      <c r="H1213" s="6">
        <f t="shared" si="3"/>
        <v>0.7730786721</v>
      </c>
      <c r="I1213" s="3">
        <f>IFERROR(__xludf.DUMMYFUNCTION("GOOGLEFINANCE(""CURRENCY:INRBRL"")*F1213"),30.38979116989)</f>
        <v>30.38979117</v>
      </c>
      <c r="J1213" s="1">
        <v>4.51</v>
      </c>
      <c r="K1213" s="1">
        <v>53.0</v>
      </c>
      <c r="L1213" s="1" t="s">
        <v>4643</v>
      </c>
      <c r="M1213" s="7" t="s">
        <v>4644</v>
      </c>
    </row>
    <row r="1214">
      <c r="A1214" s="1" t="s">
        <v>4645</v>
      </c>
      <c r="B1214" s="1" t="s">
        <v>4646</v>
      </c>
      <c r="C1214" s="1" t="s">
        <v>4024</v>
      </c>
      <c r="D1214" s="1" t="str">
        <f t="shared" si="1"/>
        <v>Home&amp;Kitchen</v>
      </c>
      <c r="E1214" s="1" t="str">
        <f t="shared" si="2"/>
        <v>Kitchen&amp;HomeAppliances</v>
      </c>
      <c r="F1214" s="5">
        <v>6999.0</v>
      </c>
      <c r="G1214" s="5">
        <v>14999.0</v>
      </c>
      <c r="H1214" s="6">
        <f t="shared" si="3"/>
        <v>0.5333688913</v>
      </c>
      <c r="I1214" s="3">
        <f>IFERROR(__xludf.DUMMYFUNCTION("GOOGLEFINANCE(""CURRENCY:INRBRL"")*F1214"),426.24879438489)</f>
        <v>426.2487944</v>
      </c>
      <c r="J1214" s="1">
        <v>4.49</v>
      </c>
      <c r="K1214" s="1">
        <v>1728.0</v>
      </c>
      <c r="L1214" s="1" t="s">
        <v>4647</v>
      </c>
      <c r="M1214" s="7" t="s">
        <v>4648</v>
      </c>
    </row>
    <row r="1215">
      <c r="A1215" s="1" t="s">
        <v>4649</v>
      </c>
      <c r="B1215" s="1" t="s">
        <v>4650</v>
      </c>
      <c r="C1215" s="1" t="s">
        <v>4153</v>
      </c>
      <c r="D1215" s="1" t="str">
        <f t="shared" si="1"/>
        <v>Home&amp;Kitchen</v>
      </c>
      <c r="E1215" s="1" t="str">
        <f t="shared" si="2"/>
        <v>Kitchen&amp;HomeAppliances</v>
      </c>
      <c r="F1215" s="5">
        <v>1595.0</v>
      </c>
      <c r="G1215" s="5">
        <v>1799.0</v>
      </c>
      <c r="H1215" s="6">
        <f t="shared" si="3"/>
        <v>0.1133963313</v>
      </c>
      <c r="I1215" s="3">
        <f>IFERROR(__xludf.DUMMYFUNCTION("GOOGLEFINANCE(""CURRENCY:INRBRL"")*F1215"),97.13770925045)</f>
        <v>97.13770925</v>
      </c>
      <c r="J1215" s="1">
        <v>4.0</v>
      </c>
      <c r="K1215" s="1">
        <v>2877.0</v>
      </c>
      <c r="L1215" s="1" t="s">
        <v>4651</v>
      </c>
      <c r="M1215" s="7" t="s">
        <v>4652</v>
      </c>
    </row>
    <row r="1216">
      <c r="A1216" s="1" t="s">
        <v>4653</v>
      </c>
      <c r="B1216" s="1" t="s">
        <v>4654</v>
      </c>
      <c r="C1216" s="1" t="s">
        <v>3909</v>
      </c>
      <c r="D1216" s="1" t="str">
        <f t="shared" si="1"/>
        <v>Home&amp;Kitchen</v>
      </c>
      <c r="E1216" s="1" t="str">
        <f t="shared" si="2"/>
        <v>Kitchen&amp;HomeAppliances</v>
      </c>
      <c r="F1216" s="5">
        <v>1049.0</v>
      </c>
      <c r="G1216" s="5">
        <v>1949.0</v>
      </c>
      <c r="H1216" s="6">
        <f t="shared" si="3"/>
        <v>0.4617752694</v>
      </c>
      <c r="I1216" s="3">
        <f>IFERROR(__xludf.DUMMYFUNCTION("GOOGLEFINANCE(""CURRENCY:INRBRL"")*F1216"),63.885552980389996)</f>
        <v>63.88555298</v>
      </c>
      <c r="J1216" s="1">
        <v>4.51</v>
      </c>
      <c r="K1216" s="1">
        <v>250.0</v>
      </c>
      <c r="L1216" s="1" t="s">
        <v>4655</v>
      </c>
      <c r="M1216" s="7" t="s">
        <v>4656</v>
      </c>
    </row>
    <row r="1217">
      <c r="A1217" s="1" t="s">
        <v>4657</v>
      </c>
      <c r="B1217" s="1" t="s">
        <v>4658</v>
      </c>
      <c r="C1217" s="1" t="s">
        <v>3937</v>
      </c>
      <c r="D1217" s="1" t="str">
        <f t="shared" si="1"/>
        <v>Home&amp;Kitchen</v>
      </c>
      <c r="E1217" s="1" t="str">
        <f t="shared" si="2"/>
        <v>Kitchen&amp;HomeAppliances</v>
      </c>
      <c r="F1217" s="5">
        <v>1182.0</v>
      </c>
      <c r="G1217" s="5">
        <v>2995.0</v>
      </c>
      <c r="H1217" s="6">
        <f t="shared" si="3"/>
        <v>0.6053422371</v>
      </c>
      <c r="I1217" s="3">
        <f>IFERROR(__xludf.DUMMYFUNCTION("GOOGLEFINANCE(""CURRENCY:INRBRL"")*F1217"),71.98543720002)</f>
        <v>71.9854372</v>
      </c>
      <c r="J1217" s="1">
        <v>4.5</v>
      </c>
      <c r="K1217" s="1">
        <v>5178.0</v>
      </c>
      <c r="L1217" s="1" t="s">
        <v>4659</v>
      </c>
      <c r="M1217" s="7" t="s">
        <v>4660</v>
      </c>
    </row>
    <row r="1218">
      <c r="A1218" s="1" t="s">
        <v>4661</v>
      </c>
      <c r="B1218" s="1" t="s">
        <v>4662</v>
      </c>
      <c r="C1218" s="1" t="s">
        <v>3856</v>
      </c>
      <c r="D1218" s="1" t="str">
        <f t="shared" si="1"/>
        <v>Home&amp;Kitchen</v>
      </c>
      <c r="E1218" s="1" t="str">
        <f t="shared" si="2"/>
        <v>Kitchen&amp;HomeAppliances</v>
      </c>
      <c r="F1218" s="1">
        <v>499.0</v>
      </c>
      <c r="G1218" s="1">
        <v>999.0</v>
      </c>
      <c r="H1218" s="6">
        <f t="shared" si="3"/>
        <v>0.5005005005</v>
      </c>
      <c r="I1218" s="3">
        <f>IFERROR(__xludf.DUMMYFUNCTION("GOOGLEFINANCE(""CURRENCY:INRBRL"")*F1218"),30.38979116989)</f>
        <v>30.38979117</v>
      </c>
      <c r="J1218" s="1">
        <v>4.51</v>
      </c>
      <c r="K1218" s="1">
        <v>79.0</v>
      </c>
      <c r="L1218" s="1" t="s">
        <v>4663</v>
      </c>
      <c r="M1218" s="7" t="s">
        <v>4664</v>
      </c>
    </row>
    <row r="1219">
      <c r="A1219" s="1" t="s">
        <v>4665</v>
      </c>
      <c r="B1219" s="1" t="s">
        <v>4666</v>
      </c>
      <c r="C1219" s="1" t="s">
        <v>4483</v>
      </c>
      <c r="D1219" s="1" t="str">
        <f t="shared" si="1"/>
        <v>Home&amp;Kitchen</v>
      </c>
      <c r="E1219" s="1" t="str">
        <f t="shared" si="2"/>
        <v>Heating,Cooling&amp;AirQuality</v>
      </c>
      <c r="F1219" s="5">
        <v>8799.0</v>
      </c>
      <c r="G1219" s="5">
        <v>11995.0</v>
      </c>
      <c r="H1219" s="6">
        <f t="shared" si="3"/>
        <v>0.2664443518</v>
      </c>
      <c r="I1219" s="3">
        <f>IFERROR(__xludf.DUMMYFUNCTION("GOOGLEFINANCE(""CURRENCY:INRBRL"")*F1219"),535.87128758289)</f>
        <v>535.8712876</v>
      </c>
      <c r="J1219" s="1">
        <v>4.49</v>
      </c>
      <c r="K1219" s="1">
        <v>4157.0</v>
      </c>
      <c r="L1219" s="1" t="s">
        <v>4667</v>
      </c>
      <c r="M1219" s="7" t="s">
        <v>4668</v>
      </c>
    </row>
    <row r="1220">
      <c r="A1220" s="1" t="s">
        <v>4669</v>
      </c>
      <c r="B1220" s="1" t="s">
        <v>4670</v>
      </c>
      <c r="C1220" s="1" t="s">
        <v>3846</v>
      </c>
      <c r="D1220" s="1" t="str">
        <f t="shared" si="1"/>
        <v>Home&amp;Kitchen</v>
      </c>
      <c r="E1220" s="1" t="str">
        <f t="shared" si="2"/>
        <v>Heating,Cooling&amp;AirQuality</v>
      </c>
      <c r="F1220" s="5">
        <v>1529.0</v>
      </c>
      <c r="G1220" s="5">
        <v>2999.0</v>
      </c>
      <c r="H1220" s="6">
        <f t="shared" si="3"/>
        <v>0.4901633878</v>
      </c>
      <c r="I1220" s="3">
        <f>IFERROR(__xludf.DUMMYFUNCTION("GOOGLEFINANCE(""CURRENCY:INRBRL"")*F1220"),93.11821783319)</f>
        <v>93.11821783</v>
      </c>
      <c r="J1220" s="1">
        <v>4.5</v>
      </c>
      <c r="K1220" s="1">
        <v>29.0</v>
      </c>
      <c r="L1220" s="1" t="s">
        <v>4671</v>
      </c>
      <c r="M1220" s="7" t="s">
        <v>4672</v>
      </c>
    </row>
    <row r="1221">
      <c r="A1221" s="1" t="s">
        <v>4673</v>
      </c>
      <c r="B1221" s="1" t="s">
        <v>4674</v>
      </c>
      <c r="C1221" s="1" t="s">
        <v>3909</v>
      </c>
      <c r="D1221" s="1" t="str">
        <f t="shared" si="1"/>
        <v>Home&amp;Kitchen</v>
      </c>
      <c r="E1221" s="1" t="str">
        <f t="shared" si="2"/>
        <v>Kitchen&amp;HomeAppliances</v>
      </c>
      <c r="F1221" s="5">
        <v>1199.0</v>
      </c>
      <c r="G1221" s="5">
        <v>1699.0</v>
      </c>
      <c r="H1221" s="6">
        <f t="shared" si="3"/>
        <v>0.2942907593</v>
      </c>
      <c r="I1221" s="3">
        <f>IFERROR(__xludf.DUMMYFUNCTION("GOOGLEFINANCE(""CURRENCY:INRBRL"")*F1221"),73.02076074688999)</f>
        <v>73.02076075</v>
      </c>
      <c r="J1221" s="1">
        <v>4.5</v>
      </c>
      <c r="K1221" s="1">
        <v>458.0</v>
      </c>
      <c r="L1221" s="1" t="s">
        <v>4675</v>
      </c>
      <c r="M1221" s="7" t="s">
        <v>4676</v>
      </c>
    </row>
    <row r="1222">
      <c r="A1222" s="1" t="s">
        <v>4677</v>
      </c>
      <c r="B1222" s="1" t="s">
        <v>4678</v>
      </c>
      <c r="C1222" s="1" t="s">
        <v>4049</v>
      </c>
      <c r="D1222" s="1" t="str">
        <f t="shared" si="1"/>
        <v>Home&amp;Kitchen</v>
      </c>
      <c r="E1222" s="1" t="str">
        <f t="shared" si="2"/>
        <v>Kitchen&amp;HomeAppliances</v>
      </c>
      <c r="F1222" s="5">
        <v>1052.0</v>
      </c>
      <c r="G1222" s="5">
        <v>1799.0</v>
      </c>
      <c r="H1222" s="6">
        <f t="shared" si="3"/>
        <v>0.4152306837</v>
      </c>
      <c r="I1222" s="3">
        <f>IFERROR(__xludf.DUMMYFUNCTION("GOOGLEFINANCE(""CURRENCY:INRBRL"")*F1222"),64.06825713572)</f>
        <v>64.06825714</v>
      </c>
      <c r="J1222" s="1">
        <v>4.5</v>
      </c>
      <c r="K1222" s="1">
        <v>1404.0</v>
      </c>
      <c r="L1222" s="1" t="s">
        <v>4679</v>
      </c>
      <c r="M1222" s="7" t="s">
        <v>4680</v>
      </c>
    </row>
    <row r="1223">
      <c r="A1223" s="1" t="s">
        <v>4681</v>
      </c>
      <c r="B1223" s="1" t="s">
        <v>4682</v>
      </c>
      <c r="C1223" s="1" t="s">
        <v>4683</v>
      </c>
      <c r="D1223" s="1" t="str">
        <f t="shared" si="1"/>
        <v>Home&amp;Kitchen</v>
      </c>
      <c r="E1223" s="1" t="str">
        <f t="shared" si="2"/>
        <v>Kitchen&amp;HomeAppliances</v>
      </c>
      <c r="F1223" s="5">
        <v>6499.0</v>
      </c>
      <c r="G1223" s="5">
        <v>8995.0</v>
      </c>
      <c r="H1223" s="6">
        <f t="shared" si="3"/>
        <v>0.2774874931</v>
      </c>
      <c r="I1223" s="3">
        <f>IFERROR(__xludf.DUMMYFUNCTION("GOOGLEFINANCE(""CURRENCY:INRBRL"")*F1223"),395.79810182988996)</f>
        <v>395.7981018</v>
      </c>
      <c r="J1223" s="1">
        <v>4.5</v>
      </c>
      <c r="K1223" s="1">
        <v>281.0</v>
      </c>
      <c r="L1223" s="1" t="s">
        <v>4684</v>
      </c>
      <c r="M1223" s="7" t="s">
        <v>4685</v>
      </c>
    </row>
    <row r="1224">
      <c r="A1224" s="1" t="s">
        <v>4686</v>
      </c>
      <c r="B1224" s="1" t="s">
        <v>4687</v>
      </c>
      <c r="C1224" s="1" t="s">
        <v>4136</v>
      </c>
      <c r="D1224" s="1" t="str">
        <f t="shared" si="1"/>
        <v>Home&amp;Kitchen</v>
      </c>
      <c r="E1224" s="1" t="str">
        <f t="shared" si="2"/>
        <v>Kitchen&amp;HomeAppliances</v>
      </c>
      <c r="F1224" s="1">
        <v>239.0</v>
      </c>
      <c r="G1224" s="1">
        <v>239.0</v>
      </c>
      <c r="H1224" s="6">
        <f t="shared" si="3"/>
        <v>0</v>
      </c>
      <c r="I1224" s="3">
        <f>IFERROR(__xludf.DUMMYFUNCTION("GOOGLEFINANCE(""CURRENCY:INRBRL"")*F1224"),14.55543104129)</f>
        <v>14.55543104</v>
      </c>
      <c r="J1224" s="1">
        <v>4.5</v>
      </c>
      <c r="K1224" s="1">
        <v>7.0</v>
      </c>
      <c r="L1224" s="1" t="s">
        <v>4688</v>
      </c>
      <c r="M1224" s="7" t="s">
        <v>4689</v>
      </c>
    </row>
    <row r="1225">
      <c r="A1225" s="1" t="s">
        <v>4690</v>
      </c>
      <c r="B1225" s="1" t="s">
        <v>4691</v>
      </c>
      <c r="C1225" s="1" t="s">
        <v>3904</v>
      </c>
      <c r="D1225" s="1" t="str">
        <f t="shared" si="1"/>
        <v>Home&amp;Kitchen</v>
      </c>
      <c r="E1225" s="1" t="str">
        <f t="shared" si="2"/>
        <v>Kitchen&amp;HomeAppliances</v>
      </c>
      <c r="F1225" s="1">
        <v>699.0</v>
      </c>
      <c r="G1225" s="5">
        <v>1599.0</v>
      </c>
      <c r="H1225" s="6">
        <f t="shared" si="3"/>
        <v>0.5628517824</v>
      </c>
      <c r="I1225" s="3">
        <f>IFERROR(__xludf.DUMMYFUNCTION("GOOGLEFINANCE(""CURRENCY:INRBRL"")*F1225"),42.57006819189)</f>
        <v>42.57006819</v>
      </c>
      <c r="J1225" s="1">
        <v>4.51</v>
      </c>
      <c r="K1225" s="1">
        <v>1729.0</v>
      </c>
      <c r="L1225" s="1" t="s">
        <v>4692</v>
      </c>
      <c r="M1225" s="7" t="s">
        <v>4693</v>
      </c>
    </row>
    <row r="1226">
      <c r="A1226" s="1" t="s">
        <v>4694</v>
      </c>
      <c r="B1226" s="1" t="s">
        <v>4695</v>
      </c>
      <c r="C1226" s="1" t="s">
        <v>4696</v>
      </c>
      <c r="D1226" s="1" t="str">
        <f t="shared" si="1"/>
        <v>Home&amp;Kitchen</v>
      </c>
      <c r="E1226" s="1" t="str">
        <f t="shared" si="2"/>
        <v>Kitchen&amp;HomeAppliances</v>
      </c>
      <c r="F1226" s="5">
        <v>2599.0</v>
      </c>
      <c r="G1226" s="5">
        <v>4299.0</v>
      </c>
      <c r="H1226" s="6">
        <f t="shared" si="3"/>
        <v>0.3954408002</v>
      </c>
      <c r="I1226" s="3">
        <f>IFERROR(__xludf.DUMMYFUNCTION("GOOGLEFINANCE(""CURRENCY:INRBRL"")*F1226"),158.28269990088998)</f>
        <v>158.2826999</v>
      </c>
      <c r="J1226" s="1">
        <v>4.5</v>
      </c>
      <c r="K1226" s="1">
        <v>2116.0</v>
      </c>
      <c r="L1226" s="1" t="s">
        <v>4697</v>
      </c>
      <c r="M1226" s="7" t="s">
        <v>4698</v>
      </c>
    </row>
    <row r="1227">
      <c r="A1227" s="1" t="s">
        <v>4699</v>
      </c>
      <c r="B1227" s="1" t="s">
        <v>4700</v>
      </c>
      <c r="C1227" s="1" t="s">
        <v>4024</v>
      </c>
      <c r="D1227" s="1" t="str">
        <f t="shared" si="1"/>
        <v>Home&amp;Kitchen</v>
      </c>
      <c r="E1227" s="1" t="str">
        <f t="shared" si="2"/>
        <v>Kitchen&amp;HomeAppliances</v>
      </c>
      <c r="F1227" s="5">
        <v>1547.0</v>
      </c>
      <c r="G1227" s="5">
        <v>2899.0</v>
      </c>
      <c r="H1227" s="6">
        <f t="shared" si="3"/>
        <v>0.466367713</v>
      </c>
      <c r="I1227" s="3">
        <f>IFERROR(__xludf.DUMMYFUNCTION("GOOGLEFINANCE(""CURRENCY:INRBRL"")*F1227"),94.21444276516999)</f>
        <v>94.21444277</v>
      </c>
      <c r="J1227" s="1">
        <v>4.52</v>
      </c>
      <c r="K1227" s="1">
        <v>463.0</v>
      </c>
      <c r="L1227" s="1" t="s">
        <v>4701</v>
      </c>
      <c r="M1227" s="7" t="s">
        <v>4702</v>
      </c>
    </row>
    <row r="1228">
      <c r="A1228" s="1" t="s">
        <v>4703</v>
      </c>
      <c r="B1228" s="1" t="s">
        <v>4704</v>
      </c>
      <c r="C1228" s="1" t="s">
        <v>3904</v>
      </c>
      <c r="D1228" s="1" t="str">
        <f t="shared" si="1"/>
        <v>Home&amp;Kitchen</v>
      </c>
      <c r="E1228" s="1" t="str">
        <f t="shared" si="2"/>
        <v>Kitchen&amp;HomeAppliances</v>
      </c>
      <c r="F1228" s="1">
        <v>499.0</v>
      </c>
      <c r="G1228" s="5">
        <v>1299.0</v>
      </c>
      <c r="H1228" s="6">
        <f t="shared" si="3"/>
        <v>0.6158583526</v>
      </c>
      <c r="I1228" s="3">
        <f>IFERROR(__xludf.DUMMYFUNCTION("GOOGLEFINANCE(""CURRENCY:INRBRL"")*F1228"),30.38979116989)</f>
        <v>30.38979117</v>
      </c>
      <c r="J1228" s="1">
        <v>4.51</v>
      </c>
      <c r="K1228" s="1">
        <v>54.0</v>
      </c>
      <c r="L1228" s="1" t="s">
        <v>4705</v>
      </c>
      <c r="M1228" s="7" t="s">
        <v>4706</v>
      </c>
    </row>
    <row r="1229">
      <c r="A1229" s="1" t="s">
        <v>4707</v>
      </c>
      <c r="B1229" s="1" t="s">
        <v>4708</v>
      </c>
      <c r="C1229" s="1" t="s">
        <v>3971</v>
      </c>
      <c r="D1229" s="1" t="str">
        <f t="shared" si="1"/>
        <v>Home&amp;Kitchen</v>
      </c>
      <c r="E1229" s="1" t="str">
        <f t="shared" si="2"/>
        <v>Heating,Cooling&amp;AirQuality</v>
      </c>
      <c r="F1229" s="1">
        <v>510.0</v>
      </c>
      <c r="G1229" s="1">
        <v>640.0</v>
      </c>
      <c r="H1229" s="6">
        <f t="shared" si="3"/>
        <v>0.203125</v>
      </c>
      <c r="I1229" s="3">
        <f>IFERROR(__xludf.DUMMYFUNCTION("GOOGLEFINANCE(""CURRENCY:INRBRL"")*F1229"),31.0597064061)</f>
        <v>31.05970641</v>
      </c>
      <c r="J1229" s="1">
        <v>4.49</v>
      </c>
      <c r="K1229" s="1">
        <v>7229.0</v>
      </c>
      <c r="L1229" s="1" t="s">
        <v>4709</v>
      </c>
      <c r="M1229" s="7" t="s">
        <v>4710</v>
      </c>
    </row>
    <row r="1230">
      <c r="A1230" s="1" t="s">
        <v>4711</v>
      </c>
      <c r="B1230" s="1" t="s">
        <v>4712</v>
      </c>
      <c r="C1230" s="1" t="s">
        <v>3919</v>
      </c>
      <c r="D1230" s="1" t="str">
        <f t="shared" si="1"/>
        <v>Home&amp;Kitchen</v>
      </c>
      <c r="E1230" s="1" t="str">
        <f t="shared" si="2"/>
        <v>Heating,Cooling&amp;AirQuality</v>
      </c>
      <c r="F1230" s="5">
        <v>1899.0</v>
      </c>
      <c r="G1230" s="5">
        <v>3799.0</v>
      </c>
      <c r="H1230" s="6">
        <f t="shared" si="3"/>
        <v>0.5001316136</v>
      </c>
      <c r="I1230" s="3">
        <f>IFERROR(__xludf.DUMMYFUNCTION("GOOGLEFINANCE(""CURRENCY:INRBRL"")*F1230"),115.65173032388999)</f>
        <v>115.6517303</v>
      </c>
      <c r="J1230" s="1">
        <v>4.51</v>
      </c>
      <c r="K1230" s="1">
        <v>3842.0</v>
      </c>
      <c r="L1230" s="1" t="s">
        <v>4713</v>
      </c>
      <c r="M1230" s="7" t="s">
        <v>4714</v>
      </c>
    </row>
    <row r="1231">
      <c r="A1231" s="1" t="s">
        <v>4715</v>
      </c>
      <c r="B1231" s="1" t="s">
        <v>4716</v>
      </c>
      <c r="C1231" s="1" t="s">
        <v>3919</v>
      </c>
      <c r="D1231" s="1" t="str">
        <f t="shared" si="1"/>
        <v>Home&amp;Kitchen</v>
      </c>
      <c r="E1231" s="1" t="str">
        <f t="shared" si="2"/>
        <v>Heating,Cooling&amp;AirQuality</v>
      </c>
      <c r="F1231" s="5">
        <v>2599.0</v>
      </c>
      <c r="G1231" s="5">
        <v>4569.0</v>
      </c>
      <c r="H1231" s="6">
        <f t="shared" si="3"/>
        <v>0.4311665572</v>
      </c>
      <c r="I1231" s="3">
        <f>IFERROR(__xludf.DUMMYFUNCTION("GOOGLEFINANCE(""CURRENCY:INRBRL"")*F1231"),158.28269990088998)</f>
        <v>158.2826999</v>
      </c>
      <c r="J1231" s="1">
        <v>4.5</v>
      </c>
      <c r="K1231" s="1">
        <v>646.0</v>
      </c>
      <c r="L1231" s="1" t="s">
        <v>4717</v>
      </c>
      <c r="M1231" s="7" t="s">
        <v>4718</v>
      </c>
    </row>
    <row r="1232">
      <c r="A1232" s="1" t="s">
        <v>4719</v>
      </c>
      <c r="B1232" s="1" t="s">
        <v>4720</v>
      </c>
      <c r="C1232" s="1" t="s">
        <v>4049</v>
      </c>
      <c r="D1232" s="1" t="str">
        <f t="shared" si="1"/>
        <v>Home&amp;Kitchen</v>
      </c>
      <c r="E1232" s="1" t="str">
        <f t="shared" si="2"/>
        <v>Kitchen&amp;HomeAppliances</v>
      </c>
      <c r="F1232" s="5">
        <v>1199.0</v>
      </c>
      <c r="G1232" s="5">
        <v>3499.0</v>
      </c>
      <c r="H1232" s="6">
        <f t="shared" si="3"/>
        <v>0.6573306659</v>
      </c>
      <c r="I1232" s="3">
        <f>IFERROR(__xludf.DUMMYFUNCTION("GOOGLEFINANCE(""CURRENCY:INRBRL"")*F1232"),73.02076074688999)</f>
        <v>73.02076075</v>
      </c>
      <c r="J1232" s="1">
        <v>4.5</v>
      </c>
      <c r="K1232" s="1">
        <v>1802.0</v>
      </c>
      <c r="L1232" s="1" t="s">
        <v>4721</v>
      </c>
      <c r="M1232" s="7" t="s">
        <v>4722</v>
      </c>
    </row>
    <row r="1233">
      <c r="A1233" s="1" t="s">
        <v>4723</v>
      </c>
      <c r="B1233" s="1" t="s">
        <v>4724</v>
      </c>
      <c r="C1233" s="1" t="s">
        <v>3919</v>
      </c>
      <c r="D1233" s="1" t="str">
        <f t="shared" si="1"/>
        <v>Home&amp;Kitchen</v>
      </c>
      <c r="E1233" s="1" t="str">
        <f t="shared" si="2"/>
        <v>Heating,Cooling&amp;AirQuality</v>
      </c>
      <c r="F1233" s="1">
        <v>999.0</v>
      </c>
      <c r="G1233" s="5">
        <v>2599.0</v>
      </c>
      <c r="H1233" s="6">
        <f t="shared" si="3"/>
        <v>0.6156213928</v>
      </c>
      <c r="I1233" s="3">
        <f>IFERROR(__xludf.DUMMYFUNCTION("GOOGLEFINANCE(""CURRENCY:INRBRL"")*F1233"),60.84048372489)</f>
        <v>60.84048372</v>
      </c>
      <c r="J1233" s="1">
        <v>4.5</v>
      </c>
      <c r="K1233" s="1">
        <v>252.0</v>
      </c>
      <c r="L1233" s="1" t="s">
        <v>4725</v>
      </c>
      <c r="M1233" s="7" t="s">
        <v>4726</v>
      </c>
    </row>
    <row r="1234">
      <c r="A1234" s="1" t="s">
        <v>4727</v>
      </c>
      <c r="B1234" s="1" t="s">
        <v>4728</v>
      </c>
      <c r="C1234" s="1" t="s">
        <v>3887</v>
      </c>
      <c r="D1234" s="1" t="str">
        <f t="shared" si="1"/>
        <v>Home&amp;Kitchen</v>
      </c>
      <c r="E1234" s="1" t="str">
        <f t="shared" si="2"/>
        <v>Kitchen&amp;HomeAppliances</v>
      </c>
      <c r="F1234" s="5">
        <v>1999.0</v>
      </c>
      <c r="G1234" s="5">
        <v>3299.0</v>
      </c>
      <c r="H1234" s="6">
        <f t="shared" si="3"/>
        <v>0.3940588057</v>
      </c>
      <c r="I1234" s="3">
        <f>IFERROR(__xludf.DUMMYFUNCTION("GOOGLEFINANCE(""CURRENCY:INRBRL"")*F1234"),121.74186883489)</f>
        <v>121.7418688</v>
      </c>
      <c r="J1234" s="1">
        <v>4.5</v>
      </c>
      <c r="K1234" s="1">
        <v>780.0</v>
      </c>
      <c r="L1234" s="1" t="s">
        <v>4729</v>
      </c>
      <c r="M1234" s="7" t="s">
        <v>4730</v>
      </c>
    </row>
    <row r="1235">
      <c r="A1235" s="1" t="s">
        <v>4731</v>
      </c>
      <c r="B1235" s="1" t="s">
        <v>4732</v>
      </c>
      <c r="C1235" s="1" t="s">
        <v>3904</v>
      </c>
      <c r="D1235" s="1" t="str">
        <f t="shared" si="1"/>
        <v>Home&amp;Kitchen</v>
      </c>
      <c r="E1235" s="1" t="str">
        <f t="shared" si="2"/>
        <v>Kitchen&amp;HomeAppliances</v>
      </c>
      <c r="F1235" s="1">
        <v>210.0</v>
      </c>
      <c r="G1235" s="1">
        <v>699.0</v>
      </c>
      <c r="H1235" s="6">
        <f t="shared" si="3"/>
        <v>0.6995708155</v>
      </c>
      <c r="I1235" s="3">
        <f>IFERROR(__xludf.DUMMYFUNCTION("GOOGLEFINANCE(""CURRENCY:INRBRL"")*F1235"),12.789290873099999)</f>
        <v>12.78929087</v>
      </c>
      <c r="J1235" s="1">
        <v>4.51</v>
      </c>
      <c r="K1235" s="1">
        <v>74.0</v>
      </c>
      <c r="L1235" s="1" t="s">
        <v>4733</v>
      </c>
      <c r="M1235" s="7" t="s">
        <v>4734</v>
      </c>
    </row>
    <row r="1236">
      <c r="A1236" s="1" t="s">
        <v>4735</v>
      </c>
      <c r="B1236" s="1" t="s">
        <v>4736</v>
      </c>
      <c r="C1236" s="1" t="s">
        <v>4483</v>
      </c>
      <c r="D1236" s="1" t="str">
        <f t="shared" si="1"/>
        <v>Home&amp;Kitchen</v>
      </c>
      <c r="E1236" s="1" t="str">
        <f t="shared" si="2"/>
        <v>Heating,Cooling&amp;AirQuality</v>
      </c>
      <c r="F1236" s="5">
        <v>14499.0</v>
      </c>
      <c r="G1236" s="5">
        <v>23559.0</v>
      </c>
      <c r="H1236" s="6">
        <f t="shared" si="3"/>
        <v>0.3845664077</v>
      </c>
      <c r="I1236" s="3">
        <f>IFERROR(__xludf.DUMMYFUNCTION("GOOGLEFINANCE(""CURRENCY:INRBRL"")*F1236"),883.00918270989)</f>
        <v>883.0091827</v>
      </c>
      <c r="J1236" s="1">
        <v>4.5</v>
      </c>
      <c r="K1236" s="1">
        <v>2026.0</v>
      </c>
      <c r="L1236" s="1" t="s">
        <v>4737</v>
      </c>
      <c r="M1236" s="7" t="s">
        <v>4738</v>
      </c>
    </row>
    <row r="1237">
      <c r="A1237" s="1" t="s">
        <v>4739</v>
      </c>
      <c r="B1237" s="1" t="s">
        <v>4740</v>
      </c>
      <c r="C1237" s="1" t="s">
        <v>3989</v>
      </c>
      <c r="D1237" s="1" t="str">
        <f t="shared" si="1"/>
        <v>Home&amp;Kitchen</v>
      </c>
      <c r="E1237" s="1" t="str">
        <f t="shared" si="2"/>
        <v>HomeStorage&amp;Organization</v>
      </c>
      <c r="F1237" s="1">
        <v>950.0</v>
      </c>
      <c r="G1237" s="5">
        <v>1599.0</v>
      </c>
      <c r="H1237" s="6">
        <f t="shared" si="3"/>
        <v>0.4058786742</v>
      </c>
      <c r="I1237" s="3">
        <f>IFERROR(__xludf.DUMMYFUNCTION("GOOGLEFINANCE(""CURRENCY:INRBRL"")*F1237"),57.8563158545)</f>
        <v>57.85631585</v>
      </c>
      <c r="J1237" s="1">
        <v>4.5</v>
      </c>
      <c r="K1237" s="1">
        <v>5911.0</v>
      </c>
      <c r="L1237" s="1" t="s">
        <v>4741</v>
      </c>
      <c r="M1237" s="7" t="s">
        <v>4742</v>
      </c>
    </row>
    <row r="1238">
      <c r="A1238" s="1" t="s">
        <v>4743</v>
      </c>
      <c r="B1238" s="1" t="s">
        <v>4744</v>
      </c>
      <c r="C1238" s="1" t="s">
        <v>3984</v>
      </c>
      <c r="D1238" s="1" t="str">
        <f t="shared" si="1"/>
        <v>Home&amp;Kitchen</v>
      </c>
      <c r="E1238" s="1" t="str">
        <f t="shared" si="2"/>
        <v>Kitchen&amp;HomeAppliances</v>
      </c>
      <c r="F1238" s="5">
        <v>7199.0</v>
      </c>
      <c r="G1238" s="5">
        <v>9995.0</v>
      </c>
      <c r="H1238" s="6">
        <f t="shared" si="3"/>
        <v>0.2797398699</v>
      </c>
      <c r="I1238" s="3">
        <f>IFERROR(__xludf.DUMMYFUNCTION("GOOGLEFINANCE(""CURRENCY:INRBRL"")*F1238"),438.42907140689)</f>
        <v>438.4290714</v>
      </c>
      <c r="J1238" s="1">
        <v>4.5</v>
      </c>
      <c r="K1238" s="1">
        <v>1964.0</v>
      </c>
      <c r="L1238" s="1" t="s">
        <v>4745</v>
      </c>
      <c r="M1238" s="7" t="s">
        <v>4746</v>
      </c>
    </row>
    <row r="1239">
      <c r="A1239" s="1" t="s">
        <v>4747</v>
      </c>
      <c r="B1239" s="1" t="s">
        <v>4748</v>
      </c>
      <c r="C1239" s="1" t="s">
        <v>3846</v>
      </c>
      <c r="D1239" s="1" t="str">
        <f t="shared" si="1"/>
        <v>Home&amp;Kitchen</v>
      </c>
      <c r="E1239" s="1" t="str">
        <f t="shared" si="2"/>
        <v>Heating,Cooling&amp;AirQuality</v>
      </c>
      <c r="F1239" s="5">
        <v>2439.0</v>
      </c>
      <c r="G1239" s="5">
        <v>2545.0</v>
      </c>
      <c r="H1239" s="6">
        <f t="shared" si="3"/>
        <v>0.0416502947</v>
      </c>
      <c r="I1239" s="3">
        <f>IFERROR(__xludf.DUMMYFUNCTION("GOOGLEFINANCE(""CURRENCY:INRBRL"")*F1239"),148.53847828329)</f>
        <v>148.5384783</v>
      </c>
      <c r="J1239" s="1">
        <v>4.49</v>
      </c>
      <c r="K1239" s="1">
        <v>25.0</v>
      </c>
      <c r="L1239" s="1" t="s">
        <v>4749</v>
      </c>
      <c r="M1239" s="7" t="s">
        <v>4750</v>
      </c>
    </row>
    <row r="1240">
      <c r="A1240" s="1" t="s">
        <v>4751</v>
      </c>
      <c r="B1240" s="1" t="s">
        <v>4752</v>
      </c>
      <c r="C1240" s="1" t="s">
        <v>3994</v>
      </c>
      <c r="D1240" s="1" t="str">
        <f t="shared" si="1"/>
        <v>Home&amp;Kitchen</v>
      </c>
      <c r="E1240" s="1" t="str">
        <f t="shared" si="2"/>
        <v>Kitchen&amp;HomeAppliances</v>
      </c>
      <c r="F1240" s="5">
        <v>7799.0</v>
      </c>
      <c r="G1240" s="5">
        <v>8995.0</v>
      </c>
      <c r="H1240" s="6">
        <f t="shared" si="3"/>
        <v>0.1329627571</v>
      </c>
      <c r="I1240" s="3">
        <f>IFERROR(__xludf.DUMMYFUNCTION("GOOGLEFINANCE(""CURRENCY:INRBRL"")*F1240"),474.96990247289)</f>
        <v>474.9699025</v>
      </c>
      <c r="J1240" s="1">
        <v>4.0</v>
      </c>
      <c r="K1240" s="1">
        <v>316.0</v>
      </c>
      <c r="L1240" s="1" t="s">
        <v>4753</v>
      </c>
      <c r="M1240" s="7" t="s">
        <v>4754</v>
      </c>
    </row>
    <row r="1241">
      <c r="A1241" s="1" t="s">
        <v>4755</v>
      </c>
      <c r="B1241" s="1" t="s">
        <v>4756</v>
      </c>
      <c r="C1241" s="1" t="s">
        <v>4115</v>
      </c>
      <c r="D1241" s="1" t="str">
        <f t="shared" si="1"/>
        <v>Home&amp;Kitchen</v>
      </c>
      <c r="E1241" s="1" t="str">
        <f t="shared" si="2"/>
        <v>Kitchen&amp;HomeAppliances</v>
      </c>
      <c r="F1241" s="5">
        <v>1599.0</v>
      </c>
      <c r="G1241" s="5">
        <v>1999.0</v>
      </c>
      <c r="H1241" s="6">
        <f t="shared" si="3"/>
        <v>0.20010005</v>
      </c>
      <c r="I1241" s="3">
        <f>IFERROR(__xludf.DUMMYFUNCTION("GOOGLEFINANCE(""CURRENCY:INRBRL"")*F1241"),97.38131479089)</f>
        <v>97.38131479</v>
      </c>
      <c r="J1241" s="1">
        <v>4.5</v>
      </c>
      <c r="K1241" s="1">
        <v>1558.0</v>
      </c>
      <c r="L1241" s="1" t="s">
        <v>4757</v>
      </c>
      <c r="M1241" s="7" t="s">
        <v>4758</v>
      </c>
    </row>
    <row r="1242">
      <c r="A1242" s="1" t="s">
        <v>4759</v>
      </c>
      <c r="B1242" s="1" t="s">
        <v>4760</v>
      </c>
      <c r="C1242" s="1" t="s">
        <v>3914</v>
      </c>
      <c r="D1242" s="1" t="str">
        <f t="shared" si="1"/>
        <v>Home&amp;Kitchen</v>
      </c>
      <c r="E1242" s="1" t="str">
        <f t="shared" si="2"/>
        <v>Kitchen&amp;HomeAppliances</v>
      </c>
      <c r="F1242" s="5">
        <v>2899.0</v>
      </c>
      <c r="G1242" s="5">
        <v>5499.0</v>
      </c>
      <c r="H1242" s="6">
        <f t="shared" si="3"/>
        <v>0.4728132388</v>
      </c>
      <c r="I1242" s="3">
        <f>IFERROR(__xludf.DUMMYFUNCTION("GOOGLEFINANCE(""CURRENCY:INRBRL"")*F1242"),176.55311543388999)</f>
        <v>176.5531154</v>
      </c>
      <c r="J1242" s="1">
        <v>4.51</v>
      </c>
      <c r="K1242" s="1">
        <v>8958.0</v>
      </c>
      <c r="L1242" s="1" t="s">
        <v>4761</v>
      </c>
      <c r="M1242" s="7" t="s">
        <v>4762</v>
      </c>
    </row>
    <row r="1243">
      <c r="A1243" s="1" t="s">
        <v>4763</v>
      </c>
      <c r="B1243" s="1" t="s">
        <v>4764</v>
      </c>
      <c r="C1243" s="1" t="s">
        <v>4558</v>
      </c>
      <c r="D1243" s="1" t="str">
        <f t="shared" si="1"/>
        <v>Home&amp;Kitchen</v>
      </c>
      <c r="E1243" s="1" t="str">
        <f t="shared" si="2"/>
        <v>Kitchen&amp;HomeAppliances</v>
      </c>
      <c r="F1243" s="5">
        <v>9799.0</v>
      </c>
      <c r="G1243" s="5">
        <v>12159.0</v>
      </c>
      <c r="H1243" s="6">
        <f t="shared" si="3"/>
        <v>0.1940949091</v>
      </c>
      <c r="I1243" s="3">
        <f>IFERROR(__xludf.DUMMYFUNCTION("GOOGLEFINANCE(""CURRENCY:INRBRL"")*F1243"),596.77267269289)</f>
        <v>596.7726727</v>
      </c>
      <c r="J1243" s="1">
        <v>4.5</v>
      </c>
      <c r="K1243" s="1">
        <v>13251.0</v>
      </c>
      <c r="L1243" s="1" t="s">
        <v>4765</v>
      </c>
      <c r="M1243" s="7" t="s">
        <v>4766</v>
      </c>
    </row>
    <row r="1244">
      <c r="A1244" s="1" t="s">
        <v>4767</v>
      </c>
      <c r="B1244" s="1" t="s">
        <v>4768</v>
      </c>
      <c r="C1244" s="1" t="s">
        <v>3994</v>
      </c>
      <c r="D1244" s="1" t="str">
        <f t="shared" si="1"/>
        <v>Home&amp;Kitchen</v>
      </c>
      <c r="E1244" s="1" t="str">
        <f t="shared" si="2"/>
        <v>Kitchen&amp;HomeAppliances</v>
      </c>
      <c r="F1244" s="5">
        <v>3299.0</v>
      </c>
      <c r="G1244" s="5">
        <v>4995.0</v>
      </c>
      <c r="H1244" s="6">
        <f t="shared" si="3"/>
        <v>0.3395395395</v>
      </c>
      <c r="I1244" s="3">
        <f>IFERROR(__xludf.DUMMYFUNCTION("GOOGLEFINANCE(""CURRENCY:INRBRL"")*F1244"),200.91366947788998)</f>
        <v>200.9136695</v>
      </c>
      <c r="J1244" s="1">
        <v>4.51</v>
      </c>
      <c r="K1244" s="1">
        <v>1393.0</v>
      </c>
      <c r="L1244" s="1" t="s">
        <v>4769</v>
      </c>
      <c r="M1244" s="7" t="s">
        <v>4770</v>
      </c>
    </row>
    <row r="1245">
      <c r="A1245" s="1" t="s">
        <v>4771</v>
      </c>
      <c r="B1245" s="1" t="s">
        <v>4772</v>
      </c>
      <c r="C1245" s="1" t="s">
        <v>3904</v>
      </c>
      <c r="D1245" s="1" t="str">
        <f t="shared" si="1"/>
        <v>Home&amp;Kitchen</v>
      </c>
      <c r="E1245" s="1" t="str">
        <f t="shared" si="2"/>
        <v>Kitchen&amp;HomeAppliances</v>
      </c>
      <c r="F1245" s="1">
        <v>669.0</v>
      </c>
      <c r="G1245" s="5">
        <v>1499.0</v>
      </c>
      <c r="H1245" s="6">
        <f t="shared" si="3"/>
        <v>0.5537024683</v>
      </c>
      <c r="I1245" s="3">
        <f>IFERROR(__xludf.DUMMYFUNCTION("GOOGLEFINANCE(""CURRENCY:INRBRL"")*F1245"),40.743026638589996)</f>
        <v>40.74302664</v>
      </c>
      <c r="J1245" s="1">
        <v>4.5</v>
      </c>
      <c r="K1245" s="1">
        <v>13.0</v>
      </c>
      <c r="L1245" s="1" t="s">
        <v>4773</v>
      </c>
      <c r="M1245" s="7" t="s">
        <v>4774</v>
      </c>
    </row>
    <row r="1246">
      <c r="A1246" s="1" t="s">
        <v>4775</v>
      </c>
      <c r="B1246" s="1" t="s">
        <v>4776</v>
      </c>
      <c r="C1246" s="1" t="s">
        <v>4011</v>
      </c>
      <c r="D1246" s="1" t="str">
        <f t="shared" si="1"/>
        <v>Home&amp;Kitchen</v>
      </c>
      <c r="E1246" s="1" t="str">
        <f t="shared" si="2"/>
        <v>Kitchen&amp;HomeAppliances</v>
      </c>
      <c r="F1246" s="5">
        <v>5899.0</v>
      </c>
      <c r="G1246" s="5">
        <v>7506.0</v>
      </c>
      <c r="H1246" s="6">
        <f t="shared" si="3"/>
        <v>0.2140953904</v>
      </c>
      <c r="I1246" s="3">
        <f>IFERROR(__xludf.DUMMYFUNCTION("GOOGLEFINANCE(""CURRENCY:INRBRL"")*F1246"),359.25727076389)</f>
        <v>359.2572708</v>
      </c>
      <c r="J1246" s="1">
        <v>4.51</v>
      </c>
      <c r="K1246" s="1">
        <v>7241.0</v>
      </c>
      <c r="L1246" s="1" t="s">
        <v>4777</v>
      </c>
      <c r="M1246" s="7" t="s">
        <v>4778</v>
      </c>
    </row>
    <row r="1247">
      <c r="A1247" s="1" t="s">
        <v>4779</v>
      </c>
      <c r="B1247" s="1" t="s">
        <v>4780</v>
      </c>
      <c r="C1247" s="1" t="s">
        <v>4488</v>
      </c>
      <c r="D1247" s="1" t="str">
        <f t="shared" si="1"/>
        <v>Home&amp;Kitchen</v>
      </c>
      <c r="E1247" s="1" t="str">
        <f t="shared" si="2"/>
        <v>Kitchen&amp;HomeAppliances</v>
      </c>
      <c r="F1247" s="5">
        <v>9199.0</v>
      </c>
      <c r="G1247" s="5">
        <v>17999.0</v>
      </c>
      <c r="H1247" s="6">
        <f t="shared" si="3"/>
        <v>0.4889160509</v>
      </c>
      <c r="I1247" s="3">
        <f>IFERROR(__xludf.DUMMYFUNCTION("GOOGLEFINANCE(""CURRENCY:INRBRL"")*F1247"),560.23184162689)</f>
        <v>560.2318416</v>
      </c>
      <c r="J1247" s="1">
        <v>4.0</v>
      </c>
      <c r="K1247" s="1">
        <v>1602.0</v>
      </c>
      <c r="L1247" s="1" t="s">
        <v>4781</v>
      </c>
      <c r="M1247" s="7" t="s">
        <v>4782</v>
      </c>
    </row>
    <row r="1248">
      <c r="A1248" s="1" t="s">
        <v>4783</v>
      </c>
      <c r="B1248" s="1" t="s">
        <v>4784</v>
      </c>
      <c r="C1248" s="1" t="s">
        <v>3989</v>
      </c>
      <c r="D1248" s="1" t="str">
        <f t="shared" si="1"/>
        <v>Home&amp;Kitchen</v>
      </c>
      <c r="E1248" s="1" t="str">
        <f t="shared" si="2"/>
        <v>HomeStorage&amp;Organization</v>
      </c>
      <c r="F1248" s="1">
        <v>351.0</v>
      </c>
      <c r="G1248" s="5">
        <v>1099.0</v>
      </c>
      <c r="H1248" s="6">
        <f t="shared" si="3"/>
        <v>0.6806187443</v>
      </c>
      <c r="I1248" s="3">
        <f>IFERROR(__xludf.DUMMYFUNCTION("GOOGLEFINANCE(""CURRENCY:INRBRL"")*F1248"),21.376386173609998)</f>
        <v>21.37638617</v>
      </c>
      <c r="J1248" s="1">
        <v>4.51</v>
      </c>
      <c r="K1248" s="1">
        <v>147.0</v>
      </c>
      <c r="L1248" s="1" t="s">
        <v>4785</v>
      </c>
      <c r="M1248" s="7" t="s">
        <v>4786</v>
      </c>
    </row>
    <row r="1249">
      <c r="A1249" s="1" t="s">
        <v>4787</v>
      </c>
      <c r="B1249" s="1" t="s">
        <v>4788</v>
      </c>
      <c r="C1249" s="1" t="s">
        <v>4789</v>
      </c>
      <c r="D1249" s="1" t="str">
        <f t="shared" si="1"/>
        <v>Health&amp;PersonalCare</v>
      </c>
      <c r="E1249" s="1" t="str">
        <f t="shared" si="2"/>
        <v>HomeMedicalSupplies&amp;Equipment</v>
      </c>
      <c r="F1249" s="1">
        <v>899.0</v>
      </c>
      <c r="G1249" s="5">
        <v>1899.0</v>
      </c>
      <c r="H1249" s="6">
        <f t="shared" si="3"/>
        <v>0.5265929437</v>
      </c>
      <c r="I1249" s="3">
        <f>IFERROR(__xludf.DUMMYFUNCTION("GOOGLEFINANCE(""CURRENCY:INRBRL"")*F1249"),54.75034521389)</f>
        <v>54.75034521</v>
      </c>
      <c r="J1249" s="1">
        <v>4.0</v>
      </c>
      <c r="K1249" s="1">
        <v>3663.0</v>
      </c>
      <c r="L1249" s="1" t="s">
        <v>4790</v>
      </c>
      <c r="M1249" s="7" t="s">
        <v>4791</v>
      </c>
    </row>
    <row r="1250">
      <c r="A1250" s="1" t="s">
        <v>4792</v>
      </c>
      <c r="B1250" s="1" t="s">
        <v>4793</v>
      </c>
      <c r="C1250" s="1" t="s">
        <v>3937</v>
      </c>
      <c r="D1250" s="1" t="str">
        <f t="shared" si="1"/>
        <v>Home&amp;Kitchen</v>
      </c>
      <c r="E1250" s="1" t="str">
        <f t="shared" si="2"/>
        <v>Kitchen&amp;HomeAppliances</v>
      </c>
      <c r="F1250" s="5">
        <v>1349.0</v>
      </c>
      <c r="G1250" s="5">
        <v>1859.0</v>
      </c>
      <c r="H1250" s="6">
        <f t="shared" si="3"/>
        <v>0.2743410436</v>
      </c>
      <c r="I1250" s="3">
        <f>IFERROR(__xludf.DUMMYFUNCTION("GOOGLEFINANCE(""CURRENCY:INRBRL"")*F1250"),82.15596851339)</f>
        <v>82.15596851</v>
      </c>
      <c r="J1250" s="1">
        <v>4.5</v>
      </c>
      <c r="K1250" s="1">
        <v>638.0</v>
      </c>
      <c r="L1250" s="1" t="s">
        <v>4794</v>
      </c>
      <c r="M1250" s="7" t="s">
        <v>4795</v>
      </c>
    </row>
    <row r="1251">
      <c r="A1251" s="1" t="s">
        <v>4796</v>
      </c>
      <c r="B1251" s="1" t="s">
        <v>4797</v>
      </c>
      <c r="C1251" s="1" t="s">
        <v>4427</v>
      </c>
      <c r="D1251" s="1" t="str">
        <f t="shared" si="1"/>
        <v>Home&amp;Kitchen</v>
      </c>
      <c r="E1251" s="1" t="str">
        <f t="shared" si="2"/>
        <v>Kitchen&amp;HomeAppliances</v>
      </c>
      <c r="F1251" s="5">
        <v>6236.0</v>
      </c>
      <c r="G1251" s="5">
        <v>9999.0</v>
      </c>
      <c r="H1251" s="6">
        <f t="shared" si="3"/>
        <v>0.3763376338</v>
      </c>
      <c r="I1251" s="3">
        <f>IFERROR(__xludf.DUMMYFUNCTION("GOOGLEFINANCE(""CURRENCY:INRBRL"")*F1251"),379.78103754596)</f>
        <v>379.7810375</v>
      </c>
      <c r="J1251" s="1">
        <v>4.49</v>
      </c>
      <c r="K1251" s="1">
        <v>3552.0</v>
      </c>
      <c r="L1251" s="1" t="s">
        <v>4798</v>
      </c>
      <c r="M1251" s="7" t="s">
        <v>4799</v>
      </c>
    </row>
    <row r="1252">
      <c r="A1252" s="1" t="s">
        <v>4800</v>
      </c>
      <c r="B1252" s="1" t="s">
        <v>4801</v>
      </c>
      <c r="C1252" s="1" t="s">
        <v>3904</v>
      </c>
      <c r="D1252" s="1" t="str">
        <f t="shared" si="1"/>
        <v>Home&amp;Kitchen</v>
      </c>
      <c r="E1252" s="1" t="str">
        <f t="shared" si="2"/>
        <v>Kitchen&amp;HomeAppliances</v>
      </c>
      <c r="F1252" s="5">
        <v>2742.0</v>
      </c>
      <c r="G1252" s="5">
        <v>3995.0</v>
      </c>
      <c r="H1252" s="6">
        <f t="shared" si="3"/>
        <v>0.3136420526</v>
      </c>
      <c r="I1252" s="3">
        <f>IFERROR(__xludf.DUMMYFUNCTION("GOOGLEFINANCE(""CURRENCY:INRBRL"")*F1252"),166.99159797162)</f>
        <v>166.991598</v>
      </c>
      <c r="J1252" s="1">
        <v>4.5</v>
      </c>
      <c r="K1252" s="1">
        <v>11148.0</v>
      </c>
      <c r="L1252" s="1" t="s">
        <v>4802</v>
      </c>
      <c r="M1252" s="7" t="s">
        <v>4803</v>
      </c>
    </row>
    <row r="1253">
      <c r="A1253" s="1" t="s">
        <v>4804</v>
      </c>
      <c r="B1253" s="1" t="s">
        <v>4805</v>
      </c>
      <c r="C1253" s="1" t="s">
        <v>4558</v>
      </c>
      <c r="D1253" s="1" t="str">
        <f t="shared" si="1"/>
        <v>Home&amp;Kitchen</v>
      </c>
      <c r="E1253" s="1" t="str">
        <f t="shared" si="2"/>
        <v>Kitchen&amp;HomeAppliances</v>
      </c>
      <c r="F1253" s="1">
        <v>721.0</v>
      </c>
      <c r="G1253" s="5">
        <v>1499.0</v>
      </c>
      <c r="H1253" s="6">
        <f t="shared" si="3"/>
        <v>0.5190126751</v>
      </c>
      <c r="I1253" s="3">
        <f>IFERROR(__xludf.DUMMYFUNCTION("GOOGLEFINANCE(""CURRENCY:INRBRL"")*F1253"),43.90989866431)</f>
        <v>43.90989866</v>
      </c>
      <c r="J1253" s="1">
        <v>4.49</v>
      </c>
      <c r="K1253" s="1">
        <v>2449.0</v>
      </c>
      <c r="L1253" s="1" t="s">
        <v>4806</v>
      </c>
      <c r="M1253" s="7" t="s">
        <v>4807</v>
      </c>
    </row>
    <row r="1254">
      <c r="A1254" s="1" t="s">
        <v>4808</v>
      </c>
      <c r="B1254" s="1" t="s">
        <v>4809</v>
      </c>
      <c r="C1254" s="1" t="s">
        <v>3994</v>
      </c>
      <c r="D1254" s="1" t="str">
        <f t="shared" si="1"/>
        <v>Home&amp;Kitchen</v>
      </c>
      <c r="E1254" s="1" t="str">
        <f t="shared" si="2"/>
        <v>Kitchen&amp;HomeAppliances</v>
      </c>
      <c r="F1254" s="5">
        <v>2903.0</v>
      </c>
      <c r="G1254" s="5">
        <v>3295.0</v>
      </c>
      <c r="H1254" s="6">
        <f t="shared" si="3"/>
        <v>0.1189681335</v>
      </c>
      <c r="I1254" s="3">
        <f>IFERROR(__xludf.DUMMYFUNCTION("GOOGLEFINANCE(""CURRENCY:INRBRL"")*F1254"),176.79672097433)</f>
        <v>176.796721</v>
      </c>
      <c r="J1254" s="1">
        <v>4.5</v>
      </c>
      <c r="K1254" s="1">
        <v>2299.0</v>
      </c>
      <c r="L1254" s="1" t="s">
        <v>4810</v>
      </c>
      <c r="M1254" s="7" t="s">
        <v>4811</v>
      </c>
    </row>
    <row r="1255">
      <c r="A1255" s="1" t="s">
        <v>4812</v>
      </c>
      <c r="B1255" s="1" t="s">
        <v>4813</v>
      </c>
      <c r="C1255" s="1" t="s">
        <v>4115</v>
      </c>
      <c r="D1255" s="1" t="str">
        <f t="shared" si="1"/>
        <v>Home&amp;Kitchen</v>
      </c>
      <c r="E1255" s="1" t="str">
        <f t="shared" si="2"/>
        <v>Kitchen&amp;HomeAppliances</v>
      </c>
      <c r="F1255" s="5">
        <v>1656.0</v>
      </c>
      <c r="G1255" s="5">
        <v>2695.0</v>
      </c>
      <c r="H1255" s="6">
        <f t="shared" si="3"/>
        <v>0.385528757</v>
      </c>
      <c r="I1255" s="3">
        <f>IFERROR(__xludf.DUMMYFUNCTION("GOOGLEFINANCE(""CURRENCY:INRBRL"")*F1255"),100.85269374216)</f>
        <v>100.8526937</v>
      </c>
      <c r="J1255" s="1">
        <v>4.5</v>
      </c>
      <c r="K1255" s="1">
        <v>6027.0</v>
      </c>
      <c r="L1255" s="1" t="s">
        <v>4814</v>
      </c>
      <c r="M1255" s="7" t="s">
        <v>4815</v>
      </c>
    </row>
    <row r="1256">
      <c r="A1256" s="1" t="s">
        <v>4816</v>
      </c>
      <c r="B1256" s="1" t="s">
        <v>4817</v>
      </c>
      <c r="C1256" s="1" t="s">
        <v>4049</v>
      </c>
      <c r="D1256" s="1" t="str">
        <f t="shared" si="1"/>
        <v>Home&amp;Kitchen</v>
      </c>
      <c r="E1256" s="1" t="str">
        <f t="shared" si="2"/>
        <v>Kitchen&amp;HomeAppliances</v>
      </c>
      <c r="F1256" s="5">
        <v>1399.0</v>
      </c>
      <c r="G1256" s="5">
        <v>2299.0</v>
      </c>
      <c r="H1256" s="6">
        <f t="shared" si="3"/>
        <v>0.3914745542</v>
      </c>
      <c r="I1256" s="3">
        <f>IFERROR(__xludf.DUMMYFUNCTION("GOOGLEFINANCE(""CURRENCY:INRBRL"")*F1256"),85.20103776889)</f>
        <v>85.20103777</v>
      </c>
      <c r="J1256" s="1">
        <v>4.5</v>
      </c>
      <c r="K1256" s="1">
        <v>461.0</v>
      </c>
      <c r="L1256" s="1" t="s">
        <v>4818</v>
      </c>
      <c r="M1256" s="7" t="s">
        <v>4819</v>
      </c>
    </row>
    <row r="1257">
      <c r="A1257" s="1" t="s">
        <v>4820</v>
      </c>
      <c r="B1257" s="1" t="s">
        <v>4821</v>
      </c>
      <c r="C1257" s="1" t="s">
        <v>4062</v>
      </c>
      <c r="D1257" s="1" t="str">
        <f t="shared" si="1"/>
        <v>Home&amp;Kitchen</v>
      </c>
      <c r="E1257" s="1" t="str">
        <f t="shared" si="2"/>
        <v>Kitchen&amp;HomeAppliances</v>
      </c>
      <c r="F1257" s="5">
        <v>2079.0</v>
      </c>
      <c r="G1257" s="5">
        <v>3099.0</v>
      </c>
      <c r="H1257" s="6">
        <f t="shared" si="3"/>
        <v>0.3291384318</v>
      </c>
      <c r="I1257" s="3">
        <f>IFERROR(__xludf.DUMMYFUNCTION("GOOGLEFINANCE(""CURRENCY:INRBRL"")*F1257"),126.61397964369)</f>
        <v>126.6139796</v>
      </c>
      <c r="J1257" s="1">
        <v>4.49</v>
      </c>
      <c r="K1257" s="1">
        <v>282.0</v>
      </c>
      <c r="L1257" s="1" t="s">
        <v>4822</v>
      </c>
      <c r="M1257" s="7" t="s">
        <v>4823</v>
      </c>
    </row>
    <row r="1258">
      <c r="A1258" s="1" t="s">
        <v>4824</v>
      </c>
      <c r="B1258" s="1" t="s">
        <v>4825</v>
      </c>
      <c r="C1258" s="1" t="s">
        <v>3971</v>
      </c>
      <c r="D1258" s="1" t="str">
        <f t="shared" si="1"/>
        <v>Home&amp;Kitchen</v>
      </c>
      <c r="E1258" s="1" t="str">
        <f t="shared" si="2"/>
        <v>Heating,Cooling&amp;AirQuality</v>
      </c>
      <c r="F1258" s="1">
        <v>999.0</v>
      </c>
      <c r="G1258" s="5">
        <v>1075.0</v>
      </c>
      <c r="H1258" s="6">
        <f t="shared" si="3"/>
        <v>0.07069767442</v>
      </c>
      <c r="I1258" s="3">
        <f>IFERROR(__xludf.DUMMYFUNCTION("GOOGLEFINANCE(""CURRENCY:INRBRL"")*F1258"),60.84048372489)</f>
        <v>60.84048372</v>
      </c>
      <c r="J1258" s="1">
        <v>4.49</v>
      </c>
      <c r="K1258" s="1">
        <v>9275.0</v>
      </c>
      <c r="L1258" s="1" t="s">
        <v>4826</v>
      </c>
      <c r="M1258" s="7" t="s">
        <v>4827</v>
      </c>
    </row>
    <row r="1259">
      <c r="A1259" s="1" t="s">
        <v>4828</v>
      </c>
      <c r="B1259" s="1" t="s">
        <v>4829</v>
      </c>
      <c r="C1259" s="1" t="s">
        <v>4024</v>
      </c>
      <c r="D1259" s="1" t="str">
        <f t="shared" si="1"/>
        <v>Home&amp;Kitchen</v>
      </c>
      <c r="E1259" s="1" t="str">
        <f t="shared" si="2"/>
        <v>Kitchen&amp;HomeAppliances</v>
      </c>
      <c r="F1259" s="5">
        <v>3179.0</v>
      </c>
      <c r="G1259" s="5">
        <v>6999.0</v>
      </c>
      <c r="H1259" s="6">
        <f t="shared" si="3"/>
        <v>0.545792256</v>
      </c>
      <c r="I1259" s="3">
        <f>IFERROR(__xludf.DUMMYFUNCTION("GOOGLEFINANCE(""CURRENCY:INRBRL"")*F1259"),193.60550326469)</f>
        <v>193.6055033</v>
      </c>
      <c r="J1259" s="1">
        <v>4.0</v>
      </c>
      <c r="K1259" s="1">
        <v>743.0</v>
      </c>
      <c r="L1259" s="1" t="s">
        <v>4830</v>
      </c>
      <c r="M1259" s="7" t="s">
        <v>4831</v>
      </c>
    </row>
    <row r="1260">
      <c r="A1260" s="1" t="s">
        <v>4832</v>
      </c>
      <c r="B1260" s="1" t="s">
        <v>4833</v>
      </c>
      <c r="C1260" s="1" t="s">
        <v>3919</v>
      </c>
      <c r="D1260" s="1" t="str">
        <f t="shared" si="1"/>
        <v>Home&amp;Kitchen</v>
      </c>
      <c r="E1260" s="1" t="str">
        <f t="shared" si="2"/>
        <v>Heating,Cooling&amp;AirQuality</v>
      </c>
      <c r="F1260" s="5">
        <v>1049.0</v>
      </c>
      <c r="G1260" s="5">
        <v>2499.0</v>
      </c>
      <c r="H1260" s="6">
        <f t="shared" si="3"/>
        <v>0.5802320928</v>
      </c>
      <c r="I1260" s="3">
        <f>IFERROR(__xludf.DUMMYFUNCTION("GOOGLEFINANCE(""CURRENCY:INRBRL"")*F1260"),63.885552980389996)</f>
        <v>63.88555298</v>
      </c>
      <c r="J1260" s="1">
        <v>4.51</v>
      </c>
      <c r="K1260" s="1">
        <v>328.0</v>
      </c>
      <c r="L1260" s="1" t="s">
        <v>4834</v>
      </c>
      <c r="M1260" s="7" t="s">
        <v>4835</v>
      </c>
    </row>
    <row r="1261">
      <c r="A1261" s="1" t="s">
        <v>4836</v>
      </c>
      <c r="B1261" s="1" t="s">
        <v>4837</v>
      </c>
      <c r="C1261" s="1" t="s">
        <v>3919</v>
      </c>
      <c r="D1261" s="1" t="str">
        <f t="shared" si="1"/>
        <v>Home&amp;Kitchen</v>
      </c>
      <c r="E1261" s="1" t="str">
        <f t="shared" si="2"/>
        <v>Heating,Cooling&amp;AirQuality</v>
      </c>
      <c r="F1261" s="5">
        <v>3599.0</v>
      </c>
      <c r="G1261" s="5">
        <v>7299.0</v>
      </c>
      <c r="H1261" s="6">
        <f t="shared" si="3"/>
        <v>0.506918756</v>
      </c>
      <c r="I1261" s="3">
        <f>IFERROR(__xludf.DUMMYFUNCTION("GOOGLEFINANCE(""CURRENCY:INRBRL"")*F1261"),219.18408501089)</f>
        <v>219.184085</v>
      </c>
      <c r="J1261" s="1">
        <v>4.52</v>
      </c>
      <c r="K1261" s="1">
        <v>942.0</v>
      </c>
      <c r="L1261" s="1" t="s">
        <v>4838</v>
      </c>
      <c r="M1261" s="7" t="s">
        <v>4839</v>
      </c>
    </row>
    <row r="1262">
      <c r="A1262" s="1" t="s">
        <v>4840</v>
      </c>
      <c r="B1262" s="1" t="s">
        <v>4841</v>
      </c>
      <c r="C1262" s="1" t="s">
        <v>4842</v>
      </c>
      <c r="D1262" s="1" t="str">
        <f t="shared" si="1"/>
        <v>Home&amp;Kitchen</v>
      </c>
      <c r="E1262" s="1" t="str">
        <f t="shared" si="2"/>
        <v>Kitchen&amp;HomeAppliances</v>
      </c>
      <c r="F1262" s="5">
        <v>4799.0</v>
      </c>
      <c r="G1262" s="5">
        <v>5795.0</v>
      </c>
      <c r="H1262" s="6">
        <f t="shared" si="3"/>
        <v>0.1718723037</v>
      </c>
      <c r="I1262" s="3">
        <f>IFERROR(__xludf.DUMMYFUNCTION("GOOGLEFINANCE(""CURRENCY:INRBRL"")*F1262"),292.26574714289)</f>
        <v>292.2657471</v>
      </c>
      <c r="J1262" s="1">
        <v>4.52</v>
      </c>
      <c r="K1262" s="1">
        <v>3815.0</v>
      </c>
      <c r="L1262" s="1" t="s">
        <v>4843</v>
      </c>
      <c r="M1262" s="7" t="s">
        <v>4844</v>
      </c>
    </row>
    <row r="1263">
      <c r="A1263" s="1" t="s">
        <v>4845</v>
      </c>
      <c r="B1263" s="1" t="s">
        <v>4846</v>
      </c>
      <c r="C1263" s="1" t="s">
        <v>3914</v>
      </c>
      <c r="D1263" s="1" t="str">
        <f t="shared" si="1"/>
        <v>Home&amp;Kitchen</v>
      </c>
      <c r="E1263" s="1" t="str">
        <f t="shared" si="2"/>
        <v>Kitchen&amp;HomeAppliances</v>
      </c>
      <c r="F1263" s="5">
        <v>1699.0</v>
      </c>
      <c r="G1263" s="5">
        <v>3398.0</v>
      </c>
      <c r="H1263" s="6">
        <f t="shared" si="3"/>
        <v>0.5</v>
      </c>
      <c r="I1263" s="3">
        <f>IFERROR(__xludf.DUMMYFUNCTION("GOOGLEFINANCE(""CURRENCY:INRBRL"")*F1263"),103.47145330189)</f>
        <v>103.4714533</v>
      </c>
      <c r="J1263" s="1">
        <v>4.51</v>
      </c>
      <c r="K1263" s="1">
        <v>7988.0</v>
      </c>
      <c r="L1263" s="1" t="s">
        <v>4847</v>
      </c>
      <c r="M1263" s="7" t="s">
        <v>4848</v>
      </c>
    </row>
    <row r="1264">
      <c r="A1264" s="1" t="s">
        <v>4849</v>
      </c>
      <c r="B1264" s="1" t="s">
        <v>4850</v>
      </c>
      <c r="C1264" s="1" t="s">
        <v>3937</v>
      </c>
      <c r="D1264" s="1" t="str">
        <f t="shared" si="1"/>
        <v>Home&amp;Kitchen</v>
      </c>
      <c r="E1264" s="1" t="str">
        <f t="shared" si="2"/>
        <v>Kitchen&amp;HomeAppliances</v>
      </c>
      <c r="F1264" s="1">
        <v>664.0</v>
      </c>
      <c r="G1264" s="5">
        <v>1499.0</v>
      </c>
      <c r="H1264" s="6">
        <f t="shared" si="3"/>
        <v>0.5570380254</v>
      </c>
      <c r="I1264" s="3">
        <f>IFERROR(__xludf.DUMMYFUNCTION("GOOGLEFINANCE(""CURRENCY:INRBRL"")*F1264"),40.43851971304)</f>
        <v>40.43851971</v>
      </c>
      <c r="J1264" s="1">
        <v>4.49</v>
      </c>
      <c r="K1264" s="1">
        <v>925.0</v>
      </c>
      <c r="L1264" s="1" t="s">
        <v>4851</v>
      </c>
      <c r="M1264" s="7" t="s">
        <v>4852</v>
      </c>
    </row>
    <row r="1265">
      <c r="A1265" s="1" t="s">
        <v>4853</v>
      </c>
      <c r="B1265" s="1" t="s">
        <v>4854</v>
      </c>
      <c r="C1265" s="1" t="s">
        <v>4855</v>
      </c>
      <c r="D1265" s="1" t="str">
        <f t="shared" si="1"/>
        <v>Home&amp;Kitchen</v>
      </c>
      <c r="E1265" s="1" t="str">
        <f t="shared" si="2"/>
        <v>Heating,Cooling&amp;AirQuality</v>
      </c>
      <c r="F1265" s="1">
        <v>948.0</v>
      </c>
      <c r="G1265" s="5">
        <v>1629.0</v>
      </c>
      <c r="H1265" s="6">
        <f t="shared" si="3"/>
        <v>0.4180478821</v>
      </c>
      <c r="I1265" s="3">
        <f>IFERROR(__xludf.DUMMYFUNCTION("GOOGLEFINANCE(""CURRENCY:INRBRL"")*F1265"),57.734513084279996)</f>
        <v>57.73451308</v>
      </c>
      <c r="J1265" s="1">
        <v>4.49</v>
      </c>
      <c r="K1265" s="1">
        <v>437.0</v>
      </c>
      <c r="L1265" s="1" t="s">
        <v>4856</v>
      </c>
      <c r="M1265" s="7" t="s">
        <v>4857</v>
      </c>
    </row>
    <row r="1266">
      <c r="A1266" s="1" t="s">
        <v>4858</v>
      </c>
      <c r="B1266" s="1" t="s">
        <v>4859</v>
      </c>
      <c r="C1266" s="1" t="s">
        <v>3909</v>
      </c>
      <c r="D1266" s="1" t="str">
        <f t="shared" si="1"/>
        <v>Home&amp;Kitchen</v>
      </c>
      <c r="E1266" s="1" t="str">
        <f t="shared" si="2"/>
        <v>Kitchen&amp;HomeAppliances</v>
      </c>
      <c r="F1266" s="1">
        <v>850.0</v>
      </c>
      <c r="G1266" s="1">
        <v>999.0</v>
      </c>
      <c r="H1266" s="6">
        <f t="shared" si="3"/>
        <v>0.1491491491</v>
      </c>
      <c r="I1266" s="3">
        <f>IFERROR(__xludf.DUMMYFUNCTION("GOOGLEFINANCE(""CURRENCY:INRBRL"")*F1266"),51.7661773435)</f>
        <v>51.76617734</v>
      </c>
      <c r="J1266" s="1">
        <v>4.49</v>
      </c>
      <c r="K1266" s="1">
        <v>7619.0</v>
      </c>
      <c r="L1266" s="1" t="s">
        <v>4860</v>
      </c>
      <c r="M1266" s="7" t="s">
        <v>4861</v>
      </c>
    </row>
    <row r="1267">
      <c r="A1267" s="1" t="s">
        <v>4862</v>
      </c>
      <c r="B1267" s="1" t="s">
        <v>4863</v>
      </c>
      <c r="C1267" s="1" t="s">
        <v>4304</v>
      </c>
      <c r="D1267" s="1" t="str">
        <f t="shared" si="1"/>
        <v>Home&amp;Kitchen</v>
      </c>
      <c r="E1267" s="1" t="str">
        <f t="shared" si="2"/>
        <v>Kitchen&amp;HomeAppliances</v>
      </c>
      <c r="F1267" s="1">
        <v>600.0</v>
      </c>
      <c r="G1267" s="1">
        <v>640.0</v>
      </c>
      <c r="H1267" s="6">
        <f t="shared" si="3"/>
        <v>0.0625</v>
      </c>
      <c r="I1267" s="3">
        <f>IFERROR(__xludf.DUMMYFUNCTION("GOOGLEFINANCE(""CURRENCY:INRBRL"")*F1267"),36.540831065999996)</f>
        <v>36.54083107</v>
      </c>
      <c r="J1267" s="1">
        <v>4.51</v>
      </c>
      <c r="K1267" s="1">
        <v>2593.0</v>
      </c>
      <c r="L1267" s="1" t="s">
        <v>4864</v>
      </c>
      <c r="M1267" s="7" t="s">
        <v>4865</v>
      </c>
    </row>
    <row r="1268">
      <c r="A1268" s="1" t="s">
        <v>4866</v>
      </c>
      <c r="B1268" s="1" t="s">
        <v>4867</v>
      </c>
      <c r="C1268" s="1" t="s">
        <v>3846</v>
      </c>
      <c r="D1268" s="1" t="str">
        <f t="shared" si="1"/>
        <v>Home&amp;Kitchen</v>
      </c>
      <c r="E1268" s="1" t="str">
        <f t="shared" si="2"/>
        <v>Heating,Cooling&amp;AirQuality</v>
      </c>
      <c r="F1268" s="5">
        <v>3711.0</v>
      </c>
      <c r="G1268" s="5">
        <v>4495.0</v>
      </c>
      <c r="H1268" s="6">
        <f t="shared" si="3"/>
        <v>0.1744160178</v>
      </c>
      <c r="I1268" s="3">
        <f>IFERROR(__xludf.DUMMYFUNCTION("GOOGLEFINANCE(""CURRENCY:INRBRL"")*F1268"),226.00504014320998)</f>
        <v>226.0050401</v>
      </c>
      <c r="J1268" s="1">
        <v>4.5</v>
      </c>
      <c r="K1268" s="1">
        <v>356.0</v>
      </c>
      <c r="L1268" s="1" t="s">
        <v>4868</v>
      </c>
      <c r="M1268" s="7" t="s">
        <v>4869</v>
      </c>
    </row>
    <row r="1269">
      <c r="A1269" s="1" t="s">
        <v>4870</v>
      </c>
      <c r="B1269" s="1" t="s">
        <v>4871</v>
      </c>
      <c r="C1269" s="1" t="s">
        <v>3861</v>
      </c>
      <c r="D1269" s="1" t="str">
        <f t="shared" si="1"/>
        <v>Home&amp;Kitchen</v>
      </c>
      <c r="E1269" s="1" t="str">
        <f t="shared" si="2"/>
        <v>Kitchen&amp;HomeAppliances</v>
      </c>
      <c r="F1269" s="1">
        <v>799.0</v>
      </c>
      <c r="G1269" s="5">
        <v>2999.0</v>
      </c>
      <c r="H1269" s="6">
        <f t="shared" si="3"/>
        <v>0.7335778593</v>
      </c>
      <c r="I1269" s="3">
        <f>IFERROR(__xludf.DUMMYFUNCTION("GOOGLEFINANCE(""CURRENCY:INRBRL"")*F1269"),48.66020670289)</f>
        <v>48.6602067</v>
      </c>
      <c r="J1269" s="1">
        <v>4.51</v>
      </c>
      <c r="K1269" s="1">
        <v>63.0</v>
      </c>
      <c r="L1269" s="1" t="s">
        <v>4872</v>
      </c>
      <c r="M1269" s="7" t="s">
        <v>4873</v>
      </c>
    </row>
    <row r="1270">
      <c r="A1270" s="1" t="s">
        <v>4874</v>
      </c>
      <c r="B1270" s="1" t="s">
        <v>4875</v>
      </c>
      <c r="C1270" s="1" t="s">
        <v>4299</v>
      </c>
      <c r="D1270" s="1" t="str">
        <f t="shared" si="1"/>
        <v>Home&amp;Kitchen</v>
      </c>
      <c r="E1270" s="1" t="str">
        <f t="shared" si="2"/>
        <v>Kitchen&amp;HomeAppliances</v>
      </c>
      <c r="F1270" s="1">
        <v>980.0</v>
      </c>
      <c r="G1270" s="1">
        <v>980.0</v>
      </c>
      <c r="H1270" s="6">
        <f t="shared" si="3"/>
        <v>0</v>
      </c>
      <c r="I1270" s="3">
        <f>IFERROR(__xludf.DUMMYFUNCTION("GOOGLEFINANCE(""CURRENCY:INRBRL"")*F1270"),59.683357407799996)</f>
        <v>59.68335741</v>
      </c>
      <c r="J1270" s="1">
        <v>4.5</v>
      </c>
      <c r="K1270" s="1">
        <v>474.0</v>
      </c>
      <c r="L1270" s="1" t="s">
        <v>4876</v>
      </c>
      <c r="M1270" s="7" t="s">
        <v>4877</v>
      </c>
    </row>
    <row r="1271">
      <c r="A1271" s="1" t="s">
        <v>4878</v>
      </c>
      <c r="B1271" s="1" t="s">
        <v>4879</v>
      </c>
      <c r="C1271" s="1" t="s">
        <v>3989</v>
      </c>
      <c r="D1271" s="1" t="str">
        <f t="shared" si="1"/>
        <v>Home&amp;Kitchen</v>
      </c>
      <c r="E1271" s="1" t="str">
        <f t="shared" si="2"/>
        <v>HomeStorage&amp;Organization</v>
      </c>
      <c r="F1271" s="1">
        <v>351.0</v>
      </c>
      <c r="G1271" s="1">
        <v>899.0</v>
      </c>
      <c r="H1271" s="6">
        <f t="shared" si="3"/>
        <v>0.6095661846</v>
      </c>
      <c r="I1271" s="3">
        <f>IFERROR(__xludf.DUMMYFUNCTION("GOOGLEFINANCE(""CURRENCY:INRBRL"")*F1271"),21.376386173609998)</f>
        <v>21.37638617</v>
      </c>
      <c r="J1271" s="1">
        <v>4.52</v>
      </c>
      <c r="K1271" s="1">
        <v>296.0</v>
      </c>
      <c r="L1271" s="1" t="s">
        <v>4880</v>
      </c>
      <c r="M1271" s="7" t="s">
        <v>4881</v>
      </c>
    </row>
    <row r="1272">
      <c r="A1272" s="1" t="s">
        <v>4882</v>
      </c>
      <c r="B1272" s="1" t="s">
        <v>4883</v>
      </c>
      <c r="C1272" s="1" t="s">
        <v>4884</v>
      </c>
      <c r="D1272" s="1" t="str">
        <f t="shared" si="1"/>
        <v>Home&amp;Kitchen</v>
      </c>
      <c r="E1272" s="1" t="str">
        <f t="shared" si="2"/>
        <v>Kitchen&amp;HomeAppliances</v>
      </c>
      <c r="F1272" s="1">
        <v>229.0</v>
      </c>
      <c r="G1272" s="1">
        <v>499.0</v>
      </c>
      <c r="H1272" s="6">
        <f t="shared" si="3"/>
        <v>0.5410821643</v>
      </c>
      <c r="I1272" s="3">
        <f>IFERROR(__xludf.DUMMYFUNCTION("GOOGLEFINANCE(""CURRENCY:INRBRL"")*F1272"),13.94641719019)</f>
        <v>13.94641719</v>
      </c>
      <c r="J1272" s="1">
        <v>4.5</v>
      </c>
      <c r="K1272" s="1">
        <v>185.0</v>
      </c>
      <c r="L1272" s="1" t="s">
        <v>4885</v>
      </c>
      <c r="M1272" s="7" t="s">
        <v>4886</v>
      </c>
    </row>
    <row r="1273">
      <c r="A1273" s="1" t="s">
        <v>4887</v>
      </c>
      <c r="B1273" s="1" t="s">
        <v>4888</v>
      </c>
      <c r="C1273" s="1" t="s">
        <v>3994</v>
      </c>
      <c r="D1273" s="1" t="str">
        <f t="shared" si="1"/>
        <v>Home&amp;Kitchen</v>
      </c>
      <c r="E1273" s="1" t="str">
        <f t="shared" si="2"/>
        <v>Kitchen&amp;HomeAppliances</v>
      </c>
      <c r="F1273" s="5">
        <v>3349.0</v>
      </c>
      <c r="G1273" s="5">
        <v>3995.0</v>
      </c>
      <c r="H1273" s="6">
        <f t="shared" si="3"/>
        <v>0.1617021277</v>
      </c>
      <c r="I1273" s="3">
        <f>IFERROR(__xludf.DUMMYFUNCTION("GOOGLEFINANCE(""CURRENCY:INRBRL"")*F1273"),203.95873873339)</f>
        <v>203.9587387</v>
      </c>
      <c r="J1273" s="1">
        <v>4.5</v>
      </c>
      <c r="K1273" s="1">
        <v>1954.0</v>
      </c>
      <c r="L1273" s="1" t="s">
        <v>4889</v>
      </c>
      <c r="M1273" s="7" t="s">
        <v>4890</v>
      </c>
    </row>
    <row r="1274">
      <c r="A1274" s="1" t="s">
        <v>4891</v>
      </c>
      <c r="B1274" s="1" t="s">
        <v>4892</v>
      </c>
      <c r="C1274" s="1" t="s">
        <v>3942</v>
      </c>
      <c r="D1274" s="1" t="str">
        <f t="shared" si="1"/>
        <v>Home&amp;Kitchen</v>
      </c>
      <c r="E1274" s="1" t="str">
        <f t="shared" si="2"/>
        <v>Heating,Cooling&amp;AirQuality</v>
      </c>
      <c r="F1274" s="5">
        <v>5499.0</v>
      </c>
      <c r="G1274" s="5">
        <v>11499.0</v>
      </c>
      <c r="H1274" s="6">
        <f t="shared" si="3"/>
        <v>0.521784503</v>
      </c>
      <c r="I1274" s="3">
        <f>IFERROR(__xludf.DUMMYFUNCTION("GOOGLEFINANCE(""CURRENCY:INRBRL"")*F1274"),334.89671671989)</f>
        <v>334.8967167</v>
      </c>
      <c r="J1274" s="1">
        <v>4.52</v>
      </c>
      <c r="K1274" s="1">
        <v>959.0</v>
      </c>
      <c r="L1274" s="1" t="s">
        <v>4893</v>
      </c>
      <c r="M1274" s="7" t="s">
        <v>4894</v>
      </c>
    </row>
    <row r="1275">
      <c r="A1275" s="1" t="s">
        <v>4895</v>
      </c>
      <c r="B1275" s="1" t="s">
        <v>4896</v>
      </c>
      <c r="C1275" s="1" t="s">
        <v>3856</v>
      </c>
      <c r="D1275" s="1" t="str">
        <f t="shared" si="1"/>
        <v>Home&amp;Kitchen</v>
      </c>
      <c r="E1275" s="1" t="str">
        <f t="shared" si="2"/>
        <v>Kitchen&amp;HomeAppliances</v>
      </c>
      <c r="F1275" s="1">
        <v>299.0</v>
      </c>
      <c r="G1275" s="1">
        <v>499.0</v>
      </c>
      <c r="H1275" s="6">
        <f t="shared" si="3"/>
        <v>0.4008016032</v>
      </c>
      <c r="I1275" s="3">
        <f>IFERROR(__xludf.DUMMYFUNCTION("GOOGLEFINANCE(""CURRENCY:INRBRL"")*F1275"),18.209514147889998)</f>
        <v>18.20951415</v>
      </c>
      <c r="J1275" s="1">
        <v>4.52</v>
      </c>
      <c r="K1275" s="1">
        <v>1015.0</v>
      </c>
      <c r="L1275" s="1" t="s">
        <v>4897</v>
      </c>
      <c r="M1275" s="7" t="s">
        <v>4898</v>
      </c>
    </row>
    <row r="1276">
      <c r="A1276" s="1" t="s">
        <v>4899</v>
      </c>
      <c r="B1276" s="1" t="s">
        <v>4900</v>
      </c>
      <c r="C1276" s="1" t="s">
        <v>4901</v>
      </c>
      <c r="D1276" s="1" t="str">
        <f t="shared" si="1"/>
        <v>Home&amp;Kitchen</v>
      </c>
      <c r="E1276" s="1" t="str">
        <f t="shared" si="2"/>
        <v>Heating,Cooling&amp;AirQuality</v>
      </c>
      <c r="F1276" s="5">
        <v>2249.0</v>
      </c>
      <c r="G1276" s="5">
        <v>3549.0</v>
      </c>
      <c r="H1276" s="6">
        <f t="shared" si="3"/>
        <v>0.3663003663</v>
      </c>
      <c r="I1276" s="3">
        <f>IFERROR(__xludf.DUMMYFUNCTION("GOOGLEFINANCE(""CURRENCY:INRBRL"")*F1276"),136.96721511239)</f>
        <v>136.9672151</v>
      </c>
      <c r="J1276" s="1">
        <v>4.0</v>
      </c>
      <c r="K1276" s="1">
        <v>3973.0</v>
      </c>
      <c r="L1276" s="1" t="s">
        <v>4902</v>
      </c>
      <c r="M1276" s="7" t="s">
        <v>4903</v>
      </c>
    </row>
    <row r="1277">
      <c r="A1277" s="1" t="s">
        <v>4904</v>
      </c>
      <c r="B1277" s="1" t="s">
        <v>4905</v>
      </c>
      <c r="C1277" s="1" t="s">
        <v>4049</v>
      </c>
      <c r="D1277" s="1" t="str">
        <f t="shared" si="1"/>
        <v>Home&amp;Kitchen</v>
      </c>
      <c r="E1277" s="1" t="str">
        <f t="shared" si="2"/>
        <v>Kitchen&amp;HomeAppliances</v>
      </c>
      <c r="F1277" s="1">
        <v>699.0</v>
      </c>
      <c r="G1277" s="5">
        <v>1599.0</v>
      </c>
      <c r="H1277" s="6">
        <f t="shared" si="3"/>
        <v>0.5628517824</v>
      </c>
      <c r="I1277" s="3">
        <f>IFERROR(__xludf.DUMMYFUNCTION("GOOGLEFINANCE(""CURRENCY:INRBRL"")*F1277"),42.57006819189)</f>
        <v>42.57006819</v>
      </c>
      <c r="J1277" s="1">
        <v>4.51</v>
      </c>
      <c r="K1277" s="1">
        <v>23.0</v>
      </c>
      <c r="L1277" s="1" t="s">
        <v>4906</v>
      </c>
      <c r="M1277" s="7" t="s">
        <v>4907</v>
      </c>
    </row>
    <row r="1278">
      <c r="A1278" s="1" t="s">
        <v>4908</v>
      </c>
      <c r="B1278" s="1" t="s">
        <v>4909</v>
      </c>
      <c r="C1278" s="1" t="s">
        <v>3846</v>
      </c>
      <c r="D1278" s="1" t="str">
        <f t="shared" si="1"/>
        <v>Home&amp;Kitchen</v>
      </c>
      <c r="E1278" s="1" t="str">
        <f t="shared" si="2"/>
        <v>Heating,Cooling&amp;AirQuality</v>
      </c>
      <c r="F1278" s="5">
        <v>1235.0</v>
      </c>
      <c r="G1278" s="5">
        <v>1499.0</v>
      </c>
      <c r="H1278" s="6">
        <f t="shared" si="3"/>
        <v>0.1761174116</v>
      </c>
      <c r="I1278" s="3">
        <f>IFERROR(__xludf.DUMMYFUNCTION("GOOGLEFINANCE(""CURRENCY:INRBRL"")*F1278"),75.21321061085)</f>
        <v>75.21321061</v>
      </c>
      <c r="J1278" s="1">
        <v>4.49</v>
      </c>
      <c r="K1278" s="1">
        <v>203.0</v>
      </c>
      <c r="L1278" s="1" t="s">
        <v>4910</v>
      </c>
      <c r="M1278" s="7" t="s">
        <v>4911</v>
      </c>
    </row>
    <row r="1279">
      <c r="A1279" s="1" t="s">
        <v>4912</v>
      </c>
      <c r="B1279" s="1" t="s">
        <v>4913</v>
      </c>
      <c r="C1279" s="1" t="s">
        <v>4115</v>
      </c>
      <c r="D1279" s="1" t="str">
        <f t="shared" si="1"/>
        <v>Home&amp;Kitchen</v>
      </c>
      <c r="E1279" s="1" t="str">
        <f t="shared" si="2"/>
        <v>Kitchen&amp;HomeAppliances</v>
      </c>
      <c r="F1279" s="5">
        <v>1349.0</v>
      </c>
      <c r="G1279" s="5">
        <v>2999.0</v>
      </c>
      <c r="H1279" s="6">
        <f t="shared" si="3"/>
        <v>0.5501833945</v>
      </c>
      <c r="I1279" s="3">
        <f>IFERROR(__xludf.DUMMYFUNCTION("GOOGLEFINANCE(""CURRENCY:INRBRL"")*F1279"),82.15596851339)</f>
        <v>82.15596851</v>
      </c>
      <c r="J1279" s="1">
        <v>4.51</v>
      </c>
      <c r="K1279" s="1">
        <v>441.0</v>
      </c>
      <c r="L1279" s="1" t="s">
        <v>4914</v>
      </c>
      <c r="M1279" s="7" t="s">
        <v>4915</v>
      </c>
    </row>
    <row r="1280">
      <c r="A1280" s="1" t="s">
        <v>4916</v>
      </c>
      <c r="B1280" s="1" t="s">
        <v>4917</v>
      </c>
      <c r="C1280" s="1" t="s">
        <v>3942</v>
      </c>
      <c r="D1280" s="1" t="str">
        <f t="shared" si="1"/>
        <v>Home&amp;Kitchen</v>
      </c>
      <c r="E1280" s="1" t="str">
        <f t="shared" si="2"/>
        <v>Heating,Cooling&amp;AirQuality</v>
      </c>
      <c r="F1280" s="5">
        <v>6799.0</v>
      </c>
      <c r="G1280" s="5">
        <v>11499.0</v>
      </c>
      <c r="H1280" s="6">
        <f t="shared" si="3"/>
        <v>0.408731194</v>
      </c>
      <c r="I1280" s="3">
        <f>IFERROR(__xludf.DUMMYFUNCTION("GOOGLEFINANCE(""CURRENCY:INRBRL"")*F1280"),414.06851736288996)</f>
        <v>414.0685174</v>
      </c>
      <c r="J1280" s="1">
        <v>4.49</v>
      </c>
      <c r="K1280" s="1">
        <v>10308.0</v>
      </c>
      <c r="L1280" s="1" t="s">
        <v>4918</v>
      </c>
      <c r="M1280" s="7" t="s">
        <v>4919</v>
      </c>
    </row>
    <row r="1281">
      <c r="A1281" s="1" t="s">
        <v>4920</v>
      </c>
      <c r="B1281" s="1" t="s">
        <v>4921</v>
      </c>
      <c r="C1281" s="1" t="s">
        <v>4024</v>
      </c>
      <c r="D1281" s="1" t="str">
        <f t="shared" si="1"/>
        <v>Home&amp;Kitchen</v>
      </c>
      <c r="E1281" s="1" t="str">
        <f t="shared" si="2"/>
        <v>Kitchen&amp;HomeAppliances</v>
      </c>
      <c r="F1281" s="5">
        <v>2099.0</v>
      </c>
      <c r="G1281" s="5">
        <v>2499.0</v>
      </c>
      <c r="H1281" s="6">
        <f t="shared" si="3"/>
        <v>0.1600640256</v>
      </c>
      <c r="I1281" s="3">
        <f>IFERROR(__xludf.DUMMYFUNCTION("GOOGLEFINANCE(""CURRENCY:INRBRL"")*F1281"),127.83200734588999)</f>
        <v>127.8320073</v>
      </c>
      <c r="J1281" s="1">
        <v>0.0</v>
      </c>
      <c r="K1281" s="1">
        <v>992.0</v>
      </c>
      <c r="L1281" s="1" t="s">
        <v>4922</v>
      </c>
      <c r="M1281" s="7" t="s">
        <v>4923</v>
      </c>
    </row>
    <row r="1282">
      <c r="A1282" s="1" t="s">
        <v>4924</v>
      </c>
      <c r="B1282" s="1" t="s">
        <v>4925</v>
      </c>
      <c r="C1282" s="1" t="s">
        <v>4062</v>
      </c>
      <c r="D1282" s="1" t="str">
        <f t="shared" si="1"/>
        <v>Home&amp;Kitchen</v>
      </c>
      <c r="E1282" s="1" t="str">
        <f t="shared" si="2"/>
        <v>Kitchen&amp;HomeAppliances</v>
      </c>
      <c r="F1282" s="5">
        <v>1699.0</v>
      </c>
      <c r="G1282" s="5">
        <v>1975.0</v>
      </c>
      <c r="H1282" s="6">
        <f t="shared" si="3"/>
        <v>0.1397468354</v>
      </c>
      <c r="I1282" s="3">
        <f>IFERROR(__xludf.DUMMYFUNCTION("GOOGLEFINANCE(""CURRENCY:INRBRL"")*F1282"),103.47145330189)</f>
        <v>103.4714533</v>
      </c>
      <c r="J1282" s="1">
        <v>4.49</v>
      </c>
      <c r="K1282" s="1">
        <v>4716.0</v>
      </c>
      <c r="L1282" s="1" t="s">
        <v>4926</v>
      </c>
      <c r="M1282" s="7" t="s">
        <v>4927</v>
      </c>
    </row>
    <row r="1283">
      <c r="A1283" s="1" t="s">
        <v>4928</v>
      </c>
      <c r="B1283" s="1" t="s">
        <v>4929</v>
      </c>
      <c r="C1283" s="1" t="s">
        <v>3851</v>
      </c>
      <c r="D1283" s="1" t="str">
        <f t="shared" si="1"/>
        <v>Home&amp;Kitchen</v>
      </c>
      <c r="E1283" s="1" t="str">
        <f t="shared" si="2"/>
        <v>Heating,Cooling&amp;AirQuality</v>
      </c>
      <c r="F1283" s="5">
        <v>1069.0</v>
      </c>
      <c r="G1283" s="5">
        <v>1699.0</v>
      </c>
      <c r="H1283" s="6">
        <f t="shared" si="3"/>
        <v>0.3708063567</v>
      </c>
      <c r="I1283" s="3">
        <f>IFERROR(__xludf.DUMMYFUNCTION("GOOGLEFINANCE(""CURRENCY:INRBRL"")*F1283"),65.10358068258999)</f>
        <v>65.10358068</v>
      </c>
      <c r="J1283" s="1">
        <v>4.52</v>
      </c>
      <c r="K1283" s="1">
        <v>313.0</v>
      </c>
      <c r="L1283" s="1" t="s">
        <v>4930</v>
      </c>
      <c r="M1283" s="7" t="s">
        <v>4931</v>
      </c>
    </row>
    <row r="1284">
      <c r="A1284" s="1" t="s">
        <v>4932</v>
      </c>
      <c r="B1284" s="1" t="s">
        <v>4933</v>
      </c>
      <c r="C1284" s="1" t="s">
        <v>3851</v>
      </c>
      <c r="D1284" s="1" t="str">
        <f t="shared" si="1"/>
        <v>Home&amp;Kitchen</v>
      </c>
      <c r="E1284" s="1" t="str">
        <f t="shared" si="2"/>
        <v>Heating,Cooling&amp;AirQuality</v>
      </c>
      <c r="F1284" s="5">
        <v>1349.0</v>
      </c>
      <c r="G1284" s="5">
        <v>2495.0</v>
      </c>
      <c r="H1284" s="6">
        <f t="shared" si="3"/>
        <v>0.4593186373</v>
      </c>
      <c r="I1284" s="3">
        <f>IFERROR(__xludf.DUMMYFUNCTION("GOOGLEFINANCE(""CURRENCY:INRBRL"")*F1284"),82.15596851339)</f>
        <v>82.15596851</v>
      </c>
      <c r="J1284" s="1">
        <v>4.51</v>
      </c>
      <c r="K1284" s="1">
        <v>166.0</v>
      </c>
      <c r="L1284" s="1" t="s">
        <v>4934</v>
      </c>
      <c r="M1284" s="7" t="s">
        <v>4935</v>
      </c>
    </row>
    <row r="1285">
      <c r="A1285" s="1" t="s">
        <v>4936</v>
      </c>
      <c r="B1285" s="1" t="s">
        <v>4937</v>
      </c>
      <c r="C1285" s="1" t="s">
        <v>3971</v>
      </c>
      <c r="D1285" s="1" t="str">
        <f t="shared" si="1"/>
        <v>Home&amp;Kitchen</v>
      </c>
      <c r="E1285" s="1" t="str">
        <f t="shared" si="2"/>
        <v>Heating,Cooling&amp;AirQuality</v>
      </c>
      <c r="F1285" s="5">
        <v>1499.0</v>
      </c>
      <c r="G1285" s="5">
        <v>3499.0</v>
      </c>
      <c r="H1285" s="6">
        <f t="shared" si="3"/>
        <v>0.5715918834</v>
      </c>
      <c r="I1285" s="3">
        <f>IFERROR(__xludf.DUMMYFUNCTION("GOOGLEFINANCE(""CURRENCY:INRBRL"")*F1285"),91.29117627989)</f>
        <v>91.29117628</v>
      </c>
      <c r="J1285" s="1">
        <v>4.49</v>
      </c>
      <c r="K1285" s="1">
        <v>303.0</v>
      </c>
      <c r="L1285" s="1" t="s">
        <v>4938</v>
      </c>
      <c r="M1285" s="7" t="s">
        <v>4939</v>
      </c>
    </row>
    <row r="1286">
      <c r="A1286" s="1" t="s">
        <v>4940</v>
      </c>
      <c r="B1286" s="1" t="s">
        <v>4941</v>
      </c>
      <c r="C1286" s="1" t="s">
        <v>4062</v>
      </c>
      <c r="D1286" s="1" t="str">
        <f t="shared" si="1"/>
        <v>Home&amp;Kitchen</v>
      </c>
      <c r="E1286" s="1" t="str">
        <f t="shared" si="2"/>
        <v>Kitchen&amp;HomeAppliances</v>
      </c>
      <c r="F1286" s="5">
        <v>2092.0</v>
      </c>
      <c r="G1286" s="5">
        <v>4599.0</v>
      </c>
      <c r="H1286" s="6">
        <f t="shared" si="3"/>
        <v>0.545118504</v>
      </c>
      <c r="I1286" s="3">
        <f>IFERROR(__xludf.DUMMYFUNCTION("GOOGLEFINANCE(""CURRENCY:INRBRL"")*F1286"),127.40569765011999)</f>
        <v>127.4056977</v>
      </c>
      <c r="J1286" s="1">
        <v>4.5</v>
      </c>
      <c r="K1286" s="1">
        <v>562.0</v>
      </c>
      <c r="L1286" s="1" t="s">
        <v>4942</v>
      </c>
      <c r="M1286" s="7" t="s">
        <v>4943</v>
      </c>
    </row>
    <row r="1287">
      <c r="A1287" s="1" t="s">
        <v>4944</v>
      </c>
      <c r="B1287" s="1" t="s">
        <v>4945</v>
      </c>
      <c r="C1287" s="1" t="s">
        <v>4427</v>
      </c>
      <c r="D1287" s="1" t="str">
        <f t="shared" si="1"/>
        <v>Home&amp;Kitchen</v>
      </c>
      <c r="E1287" s="1" t="str">
        <f t="shared" si="2"/>
        <v>Kitchen&amp;HomeAppliances</v>
      </c>
      <c r="F1287" s="5">
        <v>3859.0</v>
      </c>
      <c r="G1287" s="5">
        <v>10295.0</v>
      </c>
      <c r="H1287" s="6">
        <f t="shared" si="3"/>
        <v>0.6251578436</v>
      </c>
      <c r="I1287" s="3">
        <f>IFERROR(__xludf.DUMMYFUNCTION("GOOGLEFINANCE(""CURRENCY:INRBRL"")*F1287"),235.01844513948998)</f>
        <v>235.0184451</v>
      </c>
      <c r="J1287" s="1">
        <v>4.52</v>
      </c>
      <c r="K1287" s="1">
        <v>8095.0</v>
      </c>
      <c r="L1287" s="1" t="s">
        <v>4946</v>
      </c>
      <c r="M1287" s="7" t="s">
        <v>4947</v>
      </c>
    </row>
    <row r="1288">
      <c r="A1288" s="1" t="s">
        <v>4948</v>
      </c>
      <c r="B1288" s="1" t="s">
        <v>4949</v>
      </c>
      <c r="C1288" s="1" t="s">
        <v>4011</v>
      </c>
      <c r="D1288" s="1" t="str">
        <f t="shared" si="1"/>
        <v>Home&amp;Kitchen</v>
      </c>
      <c r="E1288" s="1" t="str">
        <f t="shared" si="2"/>
        <v>Kitchen&amp;HomeAppliances</v>
      </c>
      <c r="F1288" s="1">
        <v>499.0</v>
      </c>
      <c r="G1288" s="5">
        <v>2199.0</v>
      </c>
      <c r="H1288" s="6">
        <f t="shared" si="3"/>
        <v>0.7730786721</v>
      </c>
      <c r="I1288" s="3">
        <f>IFERROR(__xludf.DUMMYFUNCTION("GOOGLEFINANCE(""CURRENCY:INRBRL"")*F1288"),30.38979116989)</f>
        <v>30.38979117</v>
      </c>
      <c r="J1288" s="1">
        <v>4.51</v>
      </c>
      <c r="K1288" s="1">
        <v>109.0</v>
      </c>
      <c r="L1288" s="1" t="s">
        <v>4950</v>
      </c>
      <c r="M1288" s="7" t="s">
        <v>4951</v>
      </c>
    </row>
    <row r="1289">
      <c r="A1289" s="1" t="s">
        <v>4952</v>
      </c>
      <c r="B1289" s="1" t="s">
        <v>4953</v>
      </c>
      <c r="C1289" s="1" t="s">
        <v>4158</v>
      </c>
      <c r="D1289" s="1" t="str">
        <f t="shared" si="1"/>
        <v>Home&amp;Kitchen</v>
      </c>
      <c r="E1289" s="1" t="str">
        <f t="shared" si="2"/>
        <v>Heating,Cooling&amp;AirQuality</v>
      </c>
      <c r="F1289" s="5">
        <v>1804.0</v>
      </c>
      <c r="G1289" s="5">
        <v>2399.0</v>
      </c>
      <c r="H1289" s="6">
        <f t="shared" si="3"/>
        <v>0.2480200083</v>
      </c>
      <c r="I1289" s="3">
        <f>IFERROR(__xludf.DUMMYFUNCTION("GOOGLEFINANCE(""CURRENCY:INRBRL"")*F1289"),109.86609873844)</f>
        <v>109.8660987</v>
      </c>
      <c r="J1289" s="1">
        <v>4.0</v>
      </c>
      <c r="K1289" s="1">
        <v>15382.0</v>
      </c>
      <c r="L1289" s="1" t="s">
        <v>4954</v>
      </c>
      <c r="M1289" s="7" t="s">
        <v>4955</v>
      </c>
    </row>
    <row r="1290">
      <c r="A1290" s="1" t="s">
        <v>4956</v>
      </c>
      <c r="B1290" s="1" t="s">
        <v>4957</v>
      </c>
      <c r="C1290" s="1" t="s">
        <v>4011</v>
      </c>
      <c r="D1290" s="1" t="str">
        <f t="shared" si="1"/>
        <v>Home&amp;Kitchen</v>
      </c>
      <c r="E1290" s="1" t="str">
        <f t="shared" si="2"/>
        <v>Kitchen&amp;HomeAppliances</v>
      </c>
      <c r="F1290" s="5">
        <v>6525.0</v>
      </c>
      <c r="G1290" s="5">
        <v>8819.0</v>
      </c>
      <c r="H1290" s="6">
        <f t="shared" si="3"/>
        <v>0.260120195</v>
      </c>
      <c r="I1290" s="3">
        <f>IFERROR(__xludf.DUMMYFUNCTION("GOOGLEFINANCE(""CURRENCY:INRBRL"")*F1290"),397.38153784275)</f>
        <v>397.3815378</v>
      </c>
      <c r="J1290" s="1">
        <v>4.51</v>
      </c>
      <c r="K1290" s="1">
        <v>5137.0</v>
      </c>
      <c r="L1290" s="1" t="s">
        <v>4958</v>
      </c>
      <c r="M1290" s="7" t="s">
        <v>4959</v>
      </c>
    </row>
    <row r="1291">
      <c r="A1291" s="1" t="s">
        <v>4960</v>
      </c>
      <c r="B1291" s="1" t="s">
        <v>4961</v>
      </c>
      <c r="C1291" s="1" t="s">
        <v>4488</v>
      </c>
      <c r="D1291" s="1" t="str">
        <f t="shared" si="1"/>
        <v>Home&amp;Kitchen</v>
      </c>
      <c r="E1291" s="1" t="str">
        <f t="shared" si="2"/>
        <v>Kitchen&amp;HomeAppliances</v>
      </c>
      <c r="F1291" s="5">
        <v>4999.0</v>
      </c>
      <c r="G1291" s="5">
        <v>24999.0</v>
      </c>
      <c r="H1291" s="6">
        <f t="shared" si="3"/>
        <v>0.8000320013</v>
      </c>
      <c r="I1291" s="3">
        <f>IFERROR(__xludf.DUMMYFUNCTION("GOOGLEFINANCE(""CURRENCY:INRBRL"")*F1291"),304.44602416489)</f>
        <v>304.4460242</v>
      </c>
      <c r="J1291" s="1">
        <v>4.51</v>
      </c>
      <c r="K1291" s="1">
        <v>124.0</v>
      </c>
      <c r="L1291" s="1" t="s">
        <v>4962</v>
      </c>
      <c r="M1291" s="7" t="s">
        <v>4963</v>
      </c>
    </row>
    <row r="1292">
      <c r="A1292" s="1" t="s">
        <v>4964</v>
      </c>
      <c r="B1292" s="1" t="s">
        <v>4965</v>
      </c>
      <c r="C1292" s="1" t="s">
        <v>4290</v>
      </c>
      <c r="D1292" s="1" t="str">
        <f t="shared" si="1"/>
        <v>Home&amp;Kitchen</v>
      </c>
      <c r="E1292" s="1" t="str">
        <f t="shared" si="2"/>
        <v>Kitchen&amp;HomeAppliances</v>
      </c>
      <c r="F1292" s="5">
        <v>1189.0</v>
      </c>
      <c r="G1292" s="5">
        <v>2399.0</v>
      </c>
      <c r="H1292" s="6">
        <f t="shared" si="3"/>
        <v>0.5043768237</v>
      </c>
      <c r="I1292" s="3">
        <f>IFERROR(__xludf.DUMMYFUNCTION("GOOGLEFINANCE(""CURRENCY:INRBRL"")*F1292"),72.41174689579)</f>
        <v>72.4117469</v>
      </c>
      <c r="J1292" s="1">
        <v>4.49</v>
      </c>
      <c r="K1292" s="1">
        <v>618.0</v>
      </c>
      <c r="L1292" s="1" t="s">
        <v>4966</v>
      </c>
      <c r="M1292" s="7" t="s">
        <v>4967</v>
      </c>
    </row>
    <row r="1293">
      <c r="A1293" s="1" t="s">
        <v>4968</v>
      </c>
      <c r="B1293" s="1" t="s">
        <v>4969</v>
      </c>
      <c r="C1293" s="1" t="s">
        <v>3851</v>
      </c>
      <c r="D1293" s="1" t="str">
        <f t="shared" si="1"/>
        <v>Home&amp;Kitchen</v>
      </c>
      <c r="E1293" s="1" t="str">
        <f t="shared" si="2"/>
        <v>Heating,Cooling&amp;AirQuality</v>
      </c>
      <c r="F1293" s="5">
        <v>2599.0</v>
      </c>
      <c r="G1293" s="5">
        <v>4199.0</v>
      </c>
      <c r="H1293" s="6">
        <f t="shared" si="3"/>
        <v>0.3810431055</v>
      </c>
      <c r="I1293" s="3">
        <f>IFERROR(__xludf.DUMMYFUNCTION("GOOGLEFINANCE(""CURRENCY:INRBRL"")*F1293"),158.28269990088998)</f>
        <v>158.2826999</v>
      </c>
      <c r="J1293" s="1">
        <v>4.49</v>
      </c>
      <c r="K1293" s="1">
        <v>63.0</v>
      </c>
      <c r="L1293" s="1" t="s">
        <v>4970</v>
      </c>
      <c r="M1293" s="7" t="s">
        <v>4971</v>
      </c>
    </row>
    <row r="1294">
      <c r="A1294" s="1" t="s">
        <v>4972</v>
      </c>
      <c r="B1294" s="1" t="s">
        <v>4973</v>
      </c>
      <c r="C1294" s="1" t="s">
        <v>3851</v>
      </c>
      <c r="D1294" s="1" t="str">
        <f t="shared" si="1"/>
        <v>Home&amp;Kitchen</v>
      </c>
      <c r="E1294" s="1" t="str">
        <f t="shared" si="2"/>
        <v>Heating,Cooling&amp;AirQuality</v>
      </c>
      <c r="F1294" s="1">
        <v>899.0</v>
      </c>
      <c r="G1294" s="5">
        <v>1599.0</v>
      </c>
      <c r="H1294" s="6">
        <f t="shared" si="3"/>
        <v>0.4377736085</v>
      </c>
      <c r="I1294" s="3">
        <f>IFERROR(__xludf.DUMMYFUNCTION("GOOGLEFINANCE(""CURRENCY:INRBRL"")*F1294"),54.75034521389)</f>
        <v>54.75034521</v>
      </c>
      <c r="J1294" s="1">
        <v>4.5</v>
      </c>
      <c r="K1294" s="1">
        <v>15.0</v>
      </c>
      <c r="L1294" s="1" t="s">
        <v>4974</v>
      </c>
      <c r="M1294" s="7" t="s">
        <v>4975</v>
      </c>
    </row>
    <row r="1295">
      <c r="A1295" s="1" t="s">
        <v>4976</v>
      </c>
      <c r="B1295" s="1" t="s">
        <v>4977</v>
      </c>
      <c r="C1295" s="1" t="s">
        <v>3851</v>
      </c>
      <c r="D1295" s="1" t="str">
        <f t="shared" si="1"/>
        <v>Home&amp;Kitchen</v>
      </c>
      <c r="E1295" s="1" t="str">
        <f t="shared" si="2"/>
        <v>Heating,Cooling&amp;AirQuality</v>
      </c>
      <c r="F1295" s="1">
        <v>998.0</v>
      </c>
      <c r="G1295" s="5">
        <v>2999.0</v>
      </c>
      <c r="H1295" s="6">
        <f t="shared" si="3"/>
        <v>0.6672224075</v>
      </c>
      <c r="I1295" s="3">
        <f>IFERROR(__xludf.DUMMYFUNCTION("GOOGLEFINANCE(""CURRENCY:INRBRL"")*F1295"),60.77958233978)</f>
        <v>60.77958234</v>
      </c>
      <c r="J1295" s="1">
        <v>4.51</v>
      </c>
      <c r="K1295" s="1">
        <v>9.0</v>
      </c>
      <c r="L1295" s="1" t="s">
        <v>4978</v>
      </c>
      <c r="M1295" s="7" t="s">
        <v>4979</v>
      </c>
    </row>
    <row r="1296">
      <c r="A1296" s="1" t="s">
        <v>4980</v>
      </c>
      <c r="B1296" s="1" t="s">
        <v>4981</v>
      </c>
      <c r="C1296" s="1" t="s">
        <v>3989</v>
      </c>
      <c r="D1296" s="1" t="str">
        <f t="shared" si="1"/>
        <v>Home&amp;Kitchen</v>
      </c>
      <c r="E1296" s="1" t="str">
        <f t="shared" si="2"/>
        <v>HomeStorage&amp;Organization</v>
      </c>
      <c r="F1296" s="1">
        <v>998.06</v>
      </c>
      <c r="G1296" s="5">
        <v>1282.0</v>
      </c>
      <c r="H1296" s="6">
        <f t="shared" si="3"/>
        <v>0.2214820593</v>
      </c>
      <c r="I1296" s="3">
        <f>IFERROR(__xludf.DUMMYFUNCTION("GOOGLEFINANCE(""CURRENCY:INRBRL"")*F1296"),60.783236422886596)</f>
        <v>60.78323642</v>
      </c>
      <c r="J1296" s="1">
        <v>4.5</v>
      </c>
      <c r="K1296" s="1">
        <v>7274.0</v>
      </c>
      <c r="L1296" s="1" t="s">
        <v>4982</v>
      </c>
      <c r="M1296" s="7" t="s">
        <v>4983</v>
      </c>
    </row>
    <row r="1297">
      <c r="A1297" s="1" t="s">
        <v>4984</v>
      </c>
      <c r="B1297" s="1" t="s">
        <v>4985</v>
      </c>
      <c r="C1297" s="1" t="s">
        <v>4158</v>
      </c>
      <c r="D1297" s="1" t="str">
        <f t="shared" si="1"/>
        <v>Home&amp;Kitchen</v>
      </c>
      <c r="E1297" s="1" t="str">
        <f t="shared" si="2"/>
        <v>Heating,Cooling&amp;AirQuality</v>
      </c>
      <c r="F1297" s="5">
        <v>1099.0</v>
      </c>
      <c r="G1297" s="5">
        <v>1999.0</v>
      </c>
      <c r="H1297" s="6">
        <f t="shared" si="3"/>
        <v>0.4502251126</v>
      </c>
      <c r="I1297" s="3">
        <f>IFERROR(__xludf.DUMMYFUNCTION("GOOGLEFINANCE(""CURRENCY:INRBRL"")*F1297"),66.93062223589)</f>
        <v>66.93062224</v>
      </c>
      <c r="J1297" s="1">
        <v>4.52</v>
      </c>
      <c r="K1297" s="1">
        <v>5911.0</v>
      </c>
      <c r="L1297" s="1" t="s">
        <v>4986</v>
      </c>
      <c r="M1297" s="7" t="s">
        <v>4987</v>
      </c>
    </row>
    <row r="1298">
      <c r="A1298" s="1" t="s">
        <v>4988</v>
      </c>
      <c r="B1298" s="1" t="s">
        <v>4989</v>
      </c>
      <c r="C1298" s="1" t="s">
        <v>4196</v>
      </c>
      <c r="D1298" s="1" t="str">
        <f t="shared" si="1"/>
        <v>Home&amp;Kitchen</v>
      </c>
      <c r="E1298" s="1" t="str">
        <f t="shared" si="2"/>
        <v>Kitchen&amp;HomeAppliances</v>
      </c>
      <c r="F1298" s="5">
        <v>5999.0</v>
      </c>
      <c r="G1298" s="5">
        <v>9999.0</v>
      </c>
      <c r="H1298" s="6">
        <f t="shared" si="3"/>
        <v>0.400040004</v>
      </c>
      <c r="I1298" s="3">
        <f>IFERROR(__xludf.DUMMYFUNCTION("GOOGLEFINANCE(""CURRENCY:INRBRL"")*F1298"),365.34740927488997)</f>
        <v>365.3474093</v>
      </c>
      <c r="J1298" s="1">
        <v>4.5</v>
      </c>
      <c r="K1298" s="1">
        <v>170.0</v>
      </c>
      <c r="L1298" s="1" t="s">
        <v>4990</v>
      </c>
      <c r="M1298" s="7" t="s">
        <v>4991</v>
      </c>
    </row>
    <row r="1299">
      <c r="A1299" s="1" t="s">
        <v>4992</v>
      </c>
      <c r="B1299" s="1" t="s">
        <v>4993</v>
      </c>
      <c r="C1299" s="1" t="s">
        <v>4427</v>
      </c>
      <c r="D1299" s="1" t="str">
        <f t="shared" si="1"/>
        <v>Home&amp;Kitchen</v>
      </c>
      <c r="E1299" s="1" t="str">
        <f t="shared" si="2"/>
        <v>Kitchen&amp;HomeAppliances</v>
      </c>
      <c r="F1299" s="5">
        <v>8886.0</v>
      </c>
      <c r="G1299" s="5">
        <v>11849.0</v>
      </c>
      <c r="H1299" s="6">
        <f t="shared" si="3"/>
        <v>0.2500632965</v>
      </c>
      <c r="I1299" s="3">
        <f>IFERROR(__xludf.DUMMYFUNCTION("GOOGLEFINANCE(""CURRENCY:INRBRL"")*F1299"),541.16970808746)</f>
        <v>541.1697081</v>
      </c>
      <c r="J1299" s="1">
        <v>4.5</v>
      </c>
      <c r="K1299" s="1">
        <v>3065.0</v>
      </c>
      <c r="L1299" s="1" t="s">
        <v>4994</v>
      </c>
      <c r="M1299" s="7" t="s">
        <v>4995</v>
      </c>
    </row>
    <row r="1300">
      <c r="A1300" s="1" t="s">
        <v>4996</v>
      </c>
      <c r="B1300" s="1" t="s">
        <v>4997</v>
      </c>
      <c r="C1300" s="1" t="s">
        <v>3856</v>
      </c>
      <c r="D1300" s="1" t="str">
        <f t="shared" si="1"/>
        <v>Home&amp;Kitchen</v>
      </c>
      <c r="E1300" s="1" t="str">
        <f t="shared" si="2"/>
        <v>Kitchen&amp;HomeAppliances</v>
      </c>
      <c r="F1300" s="1">
        <v>475.0</v>
      </c>
      <c r="G1300" s="1">
        <v>999.0</v>
      </c>
      <c r="H1300" s="6">
        <f t="shared" si="3"/>
        <v>0.5245245245</v>
      </c>
      <c r="I1300" s="3">
        <f>IFERROR(__xludf.DUMMYFUNCTION("GOOGLEFINANCE(""CURRENCY:INRBRL"")*F1300"),28.92815792725)</f>
        <v>28.92815793</v>
      </c>
      <c r="J1300" s="1">
        <v>4.49</v>
      </c>
      <c r="K1300" s="1">
        <v>1021.0</v>
      </c>
      <c r="L1300" s="1" t="s">
        <v>4998</v>
      </c>
      <c r="M1300" s="7" t="s">
        <v>4999</v>
      </c>
    </row>
    <row r="1301">
      <c r="A1301" s="1" t="s">
        <v>5000</v>
      </c>
      <c r="B1301" s="1" t="s">
        <v>5001</v>
      </c>
      <c r="C1301" s="1" t="s">
        <v>3984</v>
      </c>
      <c r="D1301" s="1" t="str">
        <f t="shared" si="1"/>
        <v>Home&amp;Kitchen</v>
      </c>
      <c r="E1301" s="1" t="str">
        <f t="shared" si="2"/>
        <v>Kitchen&amp;HomeAppliances</v>
      </c>
      <c r="F1301" s="5">
        <v>4995.0</v>
      </c>
      <c r="G1301" s="5">
        <v>20049.0</v>
      </c>
      <c r="H1301" s="6">
        <f t="shared" si="3"/>
        <v>0.750860392</v>
      </c>
      <c r="I1301" s="3">
        <f>IFERROR(__xludf.DUMMYFUNCTION("GOOGLEFINANCE(""CURRENCY:INRBRL"")*F1301"),304.20241862445)</f>
        <v>304.2024186</v>
      </c>
      <c r="J1301" s="1">
        <v>4.51</v>
      </c>
      <c r="K1301" s="1">
        <v>3964.0</v>
      </c>
      <c r="L1301" s="1" t="s">
        <v>5002</v>
      </c>
      <c r="M1301" s="7" t="s">
        <v>5003</v>
      </c>
    </row>
    <row r="1302">
      <c r="A1302" s="1" t="s">
        <v>5004</v>
      </c>
      <c r="B1302" s="1" t="s">
        <v>5005</v>
      </c>
      <c r="C1302" s="1" t="s">
        <v>4488</v>
      </c>
      <c r="D1302" s="1" t="str">
        <f t="shared" si="1"/>
        <v>Home&amp;Kitchen</v>
      </c>
      <c r="E1302" s="1" t="str">
        <f t="shared" si="2"/>
        <v>Kitchen&amp;HomeAppliances</v>
      </c>
      <c r="F1302" s="5">
        <v>13999.0</v>
      </c>
      <c r="G1302" s="5">
        <v>24849.0</v>
      </c>
      <c r="H1302" s="6">
        <f t="shared" si="3"/>
        <v>0.4366372892</v>
      </c>
      <c r="I1302" s="3">
        <f>IFERROR(__xludf.DUMMYFUNCTION("GOOGLEFINANCE(""CURRENCY:INRBRL"")*F1302"),852.5584901548899)</f>
        <v>852.5584902</v>
      </c>
      <c r="J1302" s="1">
        <v>4.5</v>
      </c>
      <c r="K1302" s="1">
        <v>8948.0</v>
      </c>
      <c r="L1302" s="1" t="s">
        <v>5006</v>
      </c>
      <c r="M1302" s="7" t="s">
        <v>5007</v>
      </c>
    </row>
    <row r="1303">
      <c r="A1303" s="1" t="s">
        <v>5008</v>
      </c>
      <c r="B1303" s="1" t="s">
        <v>5009</v>
      </c>
      <c r="C1303" s="1" t="s">
        <v>4488</v>
      </c>
      <c r="D1303" s="1" t="str">
        <f t="shared" si="1"/>
        <v>Home&amp;Kitchen</v>
      </c>
      <c r="E1303" s="1" t="str">
        <f t="shared" si="2"/>
        <v>Kitchen&amp;HomeAppliances</v>
      </c>
      <c r="F1303" s="5">
        <v>8499.0</v>
      </c>
      <c r="G1303" s="5">
        <v>16499.0</v>
      </c>
      <c r="H1303" s="6">
        <f t="shared" si="3"/>
        <v>0.4848778714</v>
      </c>
      <c r="I1303" s="3">
        <f>IFERROR(__xludf.DUMMYFUNCTION("GOOGLEFINANCE(""CURRENCY:INRBRL"")*F1303"),517.60087204989)</f>
        <v>517.600872</v>
      </c>
      <c r="J1303" s="1">
        <v>4.5</v>
      </c>
      <c r="K1303" s="1">
        <v>97.0</v>
      </c>
      <c r="L1303" s="1" t="s">
        <v>5010</v>
      </c>
      <c r="M1303" s="7" t="s">
        <v>5011</v>
      </c>
    </row>
    <row r="1304">
      <c r="A1304" s="1" t="s">
        <v>5012</v>
      </c>
      <c r="B1304" s="1" t="s">
        <v>5013</v>
      </c>
      <c r="C1304" s="1" t="s">
        <v>3909</v>
      </c>
      <c r="D1304" s="1" t="str">
        <f t="shared" si="1"/>
        <v>Home&amp;Kitchen</v>
      </c>
      <c r="E1304" s="1" t="str">
        <f t="shared" si="2"/>
        <v>Kitchen&amp;HomeAppliances</v>
      </c>
      <c r="F1304" s="1">
        <v>949.0</v>
      </c>
      <c r="G1304" s="1">
        <v>975.0</v>
      </c>
      <c r="H1304" s="6">
        <f t="shared" si="3"/>
        <v>0.02666666667</v>
      </c>
      <c r="I1304" s="3">
        <f>IFERROR(__xludf.DUMMYFUNCTION("GOOGLEFINANCE(""CURRENCY:INRBRL"")*F1304"),57.795414469389996)</f>
        <v>57.79541447</v>
      </c>
      <c r="J1304" s="1">
        <v>4.5</v>
      </c>
      <c r="K1304" s="1">
        <v>7223.0</v>
      </c>
      <c r="L1304" s="1" t="s">
        <v>5014</v>
      </c>
      <c r="M1304" s="7" t="s">
        <v>5015</v>
      </c>
    </row>
    <row r="1305">
      <c r="A1305" s="1" t="s">
        <v>5016</v>
      </c>
      <c r="B1305" s="1" t="s">
        <v>5017</v>
      </c>
      <c r="C1305" s="1" t="s">
        <v>3989</v>
      </c>
      <c r="D1305" s="1" t="str">
        <f t="shared" si="1"/>
        <v>Home&amp;Kitchen</v>
      </c>
      <c r="E1305" s="1" t="str">
        <f t="shared" si="2"/>
        <v>HomeStorage&amp;Organization</v>
      </c>
      <c r="F1305" s="1">
        <v>395.0</v>
      </c>
      <c r="G1305" s="1">
        <v>499.0</v>
      </c>
      <c r="H1305" s="6">
        <f t="shared" si="3"/>
        <v>0.2084168337</v>
      </c>
      <c r="I1305" s="3">
        <f>IFERROR(__xludf.DUMMYFUNCTION("GOOGLEFINANCE(""CURRENCY:INRBRL"")*F1305"),24.05604711845)</f>
        <v>24.05604712</v>
      </c>
      <c r="J1305" s="1">
        <v>4.0</v>
      </c>
      <c r="K1305" s="1">
        <v>330.0</v>
      </c>
      <c r="L1305" s="1" t="s">
        <v>5018</v>
      </c>
      <c r="M1305" s="7" t="s">
        <v>5019</v>
      </c>
    </row>
    <row r="1306">
      <c r="A1306" s="1" t="s">
        <v>5020</v>
      </c>
      <c r="B1306" s="1" t="s">
        <v>5021</v>
      </c>
      <c r="C1306" s="1" t="s">
        <v>5022</v>
      </c>
      <c r="D1306" s="1" t="str">
        <f t="shared" si="1"/>
        <v>Home&amp;Kitchen</v>
      </c>
      <c r="E1306" s="1" t="str">
        <f t="shared" si="2"/>
        <v>Kitchen&amp;HomeAppliances</v>
      </c>
      <c r="F1306" s="1">
        <v>635.0</v>
      </c>
      <c r="G1306" s="1">
        <v>635.0</v>
      </c>
      <c r="H1306" s="6">
        <f t="shared" si="3"/>
        <v>0</v>
      </c>
      <c r="I1306" s="3">
        <f>IFERROR(__xludf.DUMMYFUNCTION("GOOGLEFINANCE(""CURRENCY:INRBRL"")*F1306"),38.672379544849996)</f>
        <v>38.67237954</v>
      </c>
      <c r="J1306" s="1">
        <v>4.5</v>
      </c>
      <c r="K1306" s="1">
        <v>457.0</v>
      </c>
      <c r="L1306" s="1" t="s">
        <v>5023</v>
      </c>
      <c r="M1306" s="7" t="s">
        <v>5024</v>
      </c>
    </row>
    <row r="1307">
      <c r="A1307" s="1" t="s">
        <v>5025</v>
      </c>
      <c r="B1307" s="1" t="s">
        <v>5026</v>
      </c>
      <c r="C1307" s="1" t="s">
        <v>3909</v>
      </c>
      <c r="D1307" s="1" t="str">
        <f t="shared" si="1"/>
        <v>Home&amp;Kitchen</v>
      </c>
      <c r="E1307" s="1" t="str">
        <f t="shared" si="2"/>
        <v>Kitchen&amp;HomeAppliances</v>
      </c>
      <c r="F1307" s="1">
        <v>717.0</v>
      </c>
      <c r="G1307" s="5">
        <v>1399.0</v>
      </c>
      <c r="H1307" s="6">
        <f t="shared" si="3"/>
        <v>0.487491065</v>
      </c>
      <c r="I1307" s="3">
        <f>IFERROR(__xludf.DUMMYFUNCTION("GOOGLEFINANCE(""CURRENCY:INRBRL"")*F1307"),43.66629312387)</f>
        <v>43.66629312</v>
      </c>
      <c r="J1307" s="1">
        <v>4.0</v>
      </c>
      <c r="K1307" s="1">
        <v>4867.0</v>
      </c>
      <c r="L1307" s="1" t="s">
        <v>5027</v>
      </c>
      <c r="M1307" s="7" t="s">
        <v>5028</v>
      </c>
    </row>
    <row r="1308">
      <c r="A1308" s="1" t="s">
        <v>5029</v>
      </c>
      <c r="B1308" s="1" t="s">
        <v>5030</v>
      </c>
      <c r="C1308" s="1" t="s">
        <v>5031</v>
      </c>
      <c r="D1308" s="1" t="str">
        <f t="shared" si="1"/>
        <v>Home&amp;Kitchen</v>
      </c>
      <c r="E1308" s="1" t="str">
        <f t="shared" si="2"/>
        <v>Kitchen&amp;HomeAppliances</v>
      </c>
      <c r="F1308" s="5">
        <v>27899.0</v>
      </c>
      <c r="G1308" s="5">
        <v>59999.0</v>
      </c>
      <c r="H1308" s="6">
        <f t="shared" si="3"/>
        <v>0.5350089168</v>
      </c>
      <c r="I1308" s="3">
        <f>IFERROR(__xludf.DUMMYFUNCTION("GOOGLEFINANCE(""CURRENCY:INRBRL"")*F1308"),1699.0877431838899)</f>
        <v>1699.087743</v>
      </c>
      <c r="J1308" s="1">
        <v>4.5</v>
      </c>
      <c r="K1308" s="1">
        <v>5298.0</v>
      </c>
      <c r="L1308" s="1" t="s">
        <v>5032</v>
      </c>
      <c r="M1308" s="7" t="s">
        <v>5033</v>
      </c>
    </row>
    <row r="1309">
      <c r="A1309" s="1" t="s">
        <v>5034</v>
      </c>
      <c r="B1309" s="1" t="s">
        <v>5035</v>
      </c>
      <c r="C1309" s="1" t="s">
        <v>4304</v>
      </c>
      <c r="D1309" s="1" t="str">
        <f t="shared" si="1"/>
        <v>Home&amp;Kitchen</v>
      </c>
      <c r="E1309" s="1" t="str">
        <f t="shared" si="2"/>
        <v>Kitchen&amp;HomeAppliances</v>
      </c>
      <c r="F1309" s="1">
        <v>649.0</v>
      </c>
      <c r="G1309" s="1">
        <v>670.0</v>
      </c>
      <c r="H1309" s="6">
        <f t="shared" si="3"/>
        <v>0.03134328358</v>
      </c>
      <c r="I1309" s="3">
        <f>IFERROR(__xludf.DUMMYFUNCTION("GOOGLEFINANCE(""CURRENCY:INRBRL"")*F1309"),39.52499893639)</f>
        <v>39.52499894</v>
      </c>
      <c r="J1309" s="1">
        <v>4.49</v>
      </c>
      <c r="K1309" s="1">
        <v>7786.0</v>
      </c>
      <c r="L1309" s="1" t="s">
        <v>5036</v>
      </c>
      <c r="M1309" s="7" t="s">
        <v>5037</v>
      </c>
    </row>
    <row r="1310">
      <c r="A1310" s="1" t="s">
        <v>5038</v>
      </c>
      <c r="B1310" s="1" t="s">
        <v>5039</v>
      </c>
      <c r="C1310" s="1" t="s">
        <v>4299</v>
      </c>
      <c r="D1310" s="1" t="str">
        <f t="shared" si="1"/>
        <v>Home&amp;Kitchen</v>
      </c>
      <c r="E1310" s="1" t="str">
        <f t="shared" si="2"/>
        <v>Kitchen&amp;HomeAppliances</v>
      </c>
      <c r="F1310" s="1">
        <v>193.0</v>
      </c>
      <c r="G1310" s="1">
        <v>399.0</v>
      </c>
      <c r="H1310" s="6">
        <f t="shared" si="3"/>
        <v>0.5162907268</v>
      </c>
      <c r="I1310" s="3">
        <f>IFERROR(__xludf.DUMMYFUNCTION("GOOGLEFINANCE(""CURRENCY:INRBRL"")*F1310"),11.753967326229999)</f>
        <v>11.75396733</v>
      </c>
      <c r="J1310" s="1">
        <v>4.51</v>
      </c>
      <c r="K1310" s="1">
        <v>37.0</v>
      </c>
      <c r="L1310" s="1" t="s">
        <v>5040</v>
      </c>
      <c r="M1310" s="7" t="s">
        <v>5041</v>
      </c>
    </row>
    <row r="1311">
      <c r="A1311" s="1" t="s">
        <v>5042</v>
      </c>
      <c r="B1311" s="1" t="s">
        <v>5043</v>
      </c>
      <c r="C1311" s="1" t="s">
        <v>3851</v>
      </c>
      <c r="D1311" s="1" t="str">
        <f t="shared" si="1"/>
        <v>Home&amp;Kitchen</v>
      </c>
      <c r="E1311" s="1" t="str">
        <f t="shared" si="2"/>
        <v>Heating,Cooling&amp;AirQuality</v>
      </c>
      <c r="F1311" s="5">
        <v>1299.0</v>
      </c>
      <c r="G1311" s="5">
        <v>2495.0</v>
      </c>
      <c r="H1311" s="6">
        <f t="shared" si="3"/>
        <v>0.4793587174</v>
      </c>
      <c r="I1311" s="3">
        <f>IFERROR(__xludf.DUMMYFUNCTION("GOOGLEFINANCE(""CURRENCY:INRBRL"")*F1311"),79.11089925789)</f>
        <v>79.11089926</v>
      </c>
      <c r="J1311" s="1">
        <v>2.0</v>
      </c>
      <c r="K1311" s="1">
        <v>2.0</v>
      </c>
      <c r="L1311" s="1" t="s">
        <v>5044</v>
      </c>
      <c r="M1311" s="7" t="s">
        <v>5045</v>
      </c>
    </row>
    <row r="1312">
      <c r="A1312" s="1" t="s">
        <v>5046</v>
      </c>
      <c r="B1312" s="1" t="s">
        <v>5047</v>
      </c>
      <c r="C1312" s="1" t="s">
        <v>3914</v>
      </c>
      <c r="D1312" s="1" t="str">
        <f t="shared" si="1"/>
        <v>Home&amp;Kitchen</v>
      </c>
      <c r="E1312" s="1" t="str">
        <f t="shared" si="2"/>
        <v>Kitchen&amp;HomeAppliances</v>
      </c>
      <c r="F1312" s="5">
        <v>2449.0</v>
      </c>
      <c r="G1312" s="1">
        <v>3399.0</v>
      </c>
      <c r="H1312" s="6">
        <f t="shared" si="3"/>
        <v>0.2794939688</v>
      </c>
      <c r="I1312" s="3">
        <f>IFERROR(__xludf.DUMMYFUNCTION("GOOGLEFINANCE(""CURRENCY:INRBRL"")*F1312"),149.14749213439)</f>
        <v>149.1474921</v>
      </c>
      <c r="J1312" s="1">
        <v>4.0</v>
      </c>
      <c r="K1312" s="1">
        <v>5206.0</v>
      </c>
      <c r="L1312" s="1" t="s">
        <v>5048</v>
      </c>
      <c r="M1312" s="7" t="s">
        <v>5049</v>
      </c>
    </row>
    <row r="1313">
      <c r="A1313" s="1" t="s">
        <v>5050</v>
      </c>
      <c r="B1313" s="1" t="s">
        <v>5051</v>
      </c>
      <c r="C1313" s="1" t="s">
        <v>3919</v>
      </c>
      <c r="D1313" s="1" t="str">
        <f t="shared" si="1"/>
        <v>Home&amp;Kitchen</v>
      </c>
      <c r="E1313" s="1" t="str">
        <f t="shared" si="2"/>
        <v>Heating,Cooling&amp;AirQuality</v>
      </c>
      <c r="F1313" s="5">
        <v>1049.0</v>
      </c>
      <c r="G1313" s="5">
        <v>2499.0</v>
      </c>
      <c r="H1313" s="6">
        <f t="shared" si="3"/>
        <v>0.5802320928</v>
      </c>
      <c r="I1313" s="3">
        <f>IFERROR(__xludf.DUMMYFUNCTION("GOOGLEFINANCE(""CURRENCY:INRBRL"")*F1313"),63.885552980389996)</f>
        <v>63.88555298</v>
      </c>
      <c r="J1313" s="1">
        <v>4.51</v>
      </c>
      <c r="K1313" s="1">
        <v>638.0</v>
      </c>
      <c r="L1313" s="1" t="s">
        <v>4834</v>
      </c>
      <c r="M1313" s="7" t="s">
        <v>5052</v>
      </c>
    </row>
    <row r="1314">
      <c r="A1314" s="1" t="s">
        <v>5053</v>
      </c>
      <c r="B1314" s="1" t="s">
        <v>5054</v>
      </c>
      <c r="C1314" s="1" t="s">
        <v>4855</v>
      </c>
      <c r="D1314" s="1" t="str">
        <f t="shared" si="1"/>
        <v>Home&amp;Kitchen</v>
      </c>
      <c r="E1314" s="1" t="str">
        <f t="shared" si="2"/>
        <v>Heating,Cooling&amp;AirQuality</v>
      </c>
      <c r="F1314" s="5">
        <v>2399.0</v>
      </c>
      <c r="G1314" s="5">
        <v>4199.0</v>
      </c>
      <c r="H1314" s="6">
        <f t="shared" si="3"/>
        <v>0.4286734937</v>
      </c>
      <c r="I1314" s="3">
        <f>IFERROR(__xludf.DUMMYFUNCTION("GOOGLEFINANCE(""CURRENCY:INRBRL"")*F1314"),146.10242287889)</f>
        <v>146.1024229</v>
      </c>
      <c r="J1314" s="1">
        <v>4.51</v>
      </c>
      <c r="K1314" s="1">
        <v>397.0</v>
      </c>
      <c r="L1314" s="1" t="s">
        <v>5055</v>
      </c>
      <c r="M1314" s="7" t="s">
        <v>5056</v>
      </c>
    </row>
    <row r="1315">
      <c r="A1315" s="1" t="s">
        <v>5057</v>
      </c>
      <c r="B1315" s="1" t="s">
        <v>5058</v>
      </c>
      <c r="C1315" s="1" t="s">
        <v>4024</v>
      </c>
      <c r="D1315" s="1" t="str">
        <f t="shared" si="1"/>
        <v>Home&amp;Kitchen</v>
      </c>
      <c r="E1315" s="1" t="str">
        <f t="shared" si="2"/>
        <v>Kitchen&amp;HomeAppliances</v>
      </c>
      <c r="F1315" s="5">
        <v>2286.0</v>
      </c>
      <c r="G1315" s="5">
        <v>4495.0</v>
      </c>
      <c r="H1315" s="6">
        <f t="shared" si="3"/>
        <v>0.4914349277</v>
      </c>
      <c r="I1315" s="3">
        <f>IFERROR(__xludf.DUMMYFUNCTION("GOOGLEFINANCE(""CURRENCY:INRBRL"")*F1315"),139.22056636146)</f>
        <v>139.2205664</v>
      </c>
      <c r="J1315" s="1">
        <v>4.52</v>
      </c>
      <c r="K1315" s="1">
        <v>326.0</v>
      </c>
      <c r="L1315" s="1" t="s">
        <v>5059</v>
      </c>
      <c r="M1315" s="7" t="s">
        <v>5060</v>
      </c>
    </row>
    <row r="1316">
      <c r="A1316" s="1" t="s">
        <v>5061</v>
      </c>
      <c r="B1316" s="1" t="s">
        <v>5062</v>
      </c>
      <c r="C1316" s="1" t="s">
        <v>4683</v>
      </c>
      <c r="D1316" s="1" t="str">
        <f t="shared" si="1"/>
        <v>Home&amp;Kitchen</v>
      </c>
      <c r="E1316" s="1" t="str">
        <f t="shared" si="2"/>
        <v>Kitchen&amp;HomeAppliances</v>
      </c>
      <c r="F1316" s="1">
        <v>499.0</v>
      </c>
      <c r="G1316" s="5">
        <v>2199.0</v>
      </c>
      <c r="H1316" s="6">
        <f t="shared" si="3"/>
        <v>0.7730786721</v>
      </c>
      <c r="I1316" s="3">
        <f>IFERROR(__xludf.DUMMYFUNCTION("GOOGLEFINANCE(""CURRENCY:INRBRL"")*F1316"),30.38979116989)</f>
        <v>30.38979117</v>
      </c>
      <c r="J1316" s="1">
        <v>4.49</v>
      </c>
      <c r="K1316" s="1">
        <v>3527.0</v>
      </c>
      <c r="L1316" s="1" t="s">
        <v>5063</v>
      </c>
      <c r="M1316" s="7" t="s">
        <v>5064</v>
      </c>
    </row>
    <row r="1317">
      <c r="A1317" s="1" t="s">
        <v>5065</v>
      </c>
      <c r="B1317" s="1" t="s">
        <v>5066</v>
      </c>
      <c r="C1317" s="1" t="s">
        <v>4153</v>
      </c>
      <c r="D1317" s="1" t="str">
        <f t="shared" si="1"/>
        <v>Home&amp;Kitchen</v>
      </c>
      <c r="E1317" s="1" t="str">
        <f t="shared" si="2"/>
        <v>Kitchen&amp;HomeAppliances</v>
      </c>
      <c r="F1317" s="1">
        <v>429.0</v>
      </c>
      <c r="G1317" s="1">
        <v>999.0</v>
      </c>
      <c r="H1317" s="6">
        <f t="shared" si="3"/>
        <v>0.5705705706</v>
      </c>
      <c r="I1317" s="3">
        <f>IFERROR(__xludf.DUMMYFUNCTION("GOOGLEFINANCE(""CURRENCY:INRBRL"")*F1317"),26.12669421219)</f>
        <v>26.12669421</v>
      </c>
      <c r="J1317" s="1">
        <v>3.0</v>
      </c>
      <c r="K1317" s="1">
        <v>617.0</v>
      </c>
      <c r="L1317" s="1" t="s">
        <v>5067</v>
      </c>
      <c r="M1317" s="7" t="s">
        <v>5068</v>
      </c>
    </row>
    <row r="1318">
      <c r="A1318" s="1" t="s">
        <v>5069</v>
      </c>
      <c r="B1318" s="1" t="s">
        <v>5070</v>
      </c>
      <c r="C1318" s="1" t="s">
        <v>4062</v>
      </c>
      <c r="D1318" s="1" t="str">
        <f t="shared" si="1"/>
        <v>Home&amp;Kitchen</v>
      </c>
      <c r="E1318" s="1" t="str">
        <f t="shared" si="2"/>
        <v>Kitchen&amp;HomeAppliances</v>
      </c>
      <c r="F1318" s="1">
        <v>299.0</v>
      </c>
      <c r="G1318" s="1">
        <v>595.0</v>
      </c>
      <c r="H1318" s="6">
        <f t="shared" si="3"/>
        <v>0.4974789916</v>
      </c>
      <c r="I1318" s="3">
        <f>IFERROR(__xludf.DUMMYFUNCTION("GOOGLEFINANCE(""CURRENCY:INRBRL"")*F1318"),18.209514147889998)</f>
        <v>18.20951415</v>
      </c>
      <c r="J1318" s="1">
        <v>4.0</v>
      </c>
      <c r="K1318" s="1">
        <v>314.0</v>
      </c>
      <c r="L1318" s="1" t="s">
        <v>5071</v>
      </c>
      <c r="M1318" s="7" t="s">
        <v>5072</v>
      </c>
    </row>
    <row r="1319">
      <c r="A1319" s="1" t="s">
        <v>5073</v>
      </c>
      <c r="B1319" s="1" t="s">
        <v>5074</v>
      </c>
      <c r="C1319" s="1" t="s">
        <v>4488</v>
      </c>
      <c r="D1319" s="1" t="str">
        <f t="shared" si="1"/>
        <v>Home&amp;Kitchen</v>
      </c>
      <c r="E1319" s="1" t="str">
        <f t="shared" si="2"/>
        <v>Kitchen&amp;HomeAppliances</v>
      </c>
      <c r="F1319" s="5">
        <v>5395.0</v>
      </c>
      <c r="G1319" s="5">
        <v>19999.0</v>
      </c>
      <c r="H1319" s="6">
        <f t="shared" si="3"/>
        <v>0.7302365118</v>
      </c>
      <c r="I1319" s="3">
        <f>IFERROR(__xludf.DUMMYFUNCTION("GOOGLEFINANCE(""CURRENCY:INRBRL"")*F1319"),328.56297266844996)</f>
        <v>328.5629727</v>
      </c>
      <c r="J1319" s="1">
        <v>4.5</v>
      </c>
      <c r="K1319" s="1">
        <v>535.0</v>
      </c>
      <c r="L1319" s="1" t="s">
        <v>5075</v>
      </c>
      <c r="M1319" s="7" t="s">
        <v>5076</v>
      </c>
    </row>
    <row r="1320">
      <c r="A1320" s="1" t="s">
        <v>5077</v>
      </c>
      <c r="B1320" s="1" t="s">
        <v>5078</v>
      </c>
      <c r="C1320" s="1" t="s">
        <v>3909</v>
      </c>
      <c r="D1320" s="1" t="str">
        <f t="shared" si="1"/>
        <v>Home&amp;Kitchen</v>
      </c>
      <c r="E1320" s="1" t="str">
        <f t="shared" si="2"/>
        <v>Kitchen&amp;HomeAppliances</v>
      </c>
      <c r="F1320" s="1">
        <v>559.0</v>
      </c>
      <c r="G1320" s="5">
        <v>1099.0</v>
      </c>
      <c r="H1320" s="6">
        <f t="shared" si="3"/>
        <v>0.491355778</v>
      </c>
      <c r="I1320" s="3">
        <f>IFERROR(__xludf.DUMMYFUNCTION("GOOGLEFINANCE(""CURRENCY:INRBRL"")*F1320"),34.04387427649)</f>
        <v>34.04387428</v>
      </c>
      <c r="J1320" s="1">
        <v>4.49</v>
      </c>
      <c r="K1320" s="1">
        <v>17325.0</v>
      </c>
      <c r="L1320" s="1" t="s">
        <v>5079</v>
      </c>
      <c r="M1320" s="7" t="s">
        <v>5080</v>
      </c>
    </row>
    <row r="1321">
      <c r="A1321" s="1" t="s">
        <v>5081</v>
      </c>
      <c r="B1321" s="1" t="s">
        <v>5082</v>
      </c>
      <c r="C1321" s="1" t="s">
        <v>3909</v>
      </c>
      <c r="D1321" s="1" t="str">
        <f t="shared" si="1"/>
        <v>Home&amp;Kitchen</v>
      </c>
      <c r="E1321" s="1" t="str">
        <f t="shared" si="2"/>
        <v>Kitchen&amp;HomeAppliances</v>
      </c>
      <c r="F1321" s="1">
        <v>660.0</v>
      </c>
      <c r="G1321" s="5">
        <v>1099.0</v>
      </c>
      <c r="H1321" s="6">
        <f t="shared" si="3"/>
        <v>0.3994540491</v>
      </c>
      <c r="I1321" s="3">
        <f>IFERROR(__xludf.DUMMYFUNCTION("GOOGLEFINANCE(""CURRENCY:INRBRL"")*F1321"),40.1949141726)</f>
        <v>40.19491417</v>
      </c>
      <c r="J1321" s="1">
        <v>4.51</v>
      </c>
      <c r="K1321" s="1">
        <v>91.0</v>
      </c>
      <c r="L1321" s="1" t="s">
        <v>5083</v>
      </c>
      <c r="M1321" s="7" t="s">
        <v>5084</v>
      </c>
    </row>
    <row r="1322">
      <c r="A1322" s="1" t="s">
        <v>5085</v>
      </c>
      <c r="B1322" s="1" t="s">
        <v>5086</v>
      </c>
      <c r="C1322" s="1" t="s">
        <v>4049</v>
      </c>
      <c r="D1322" s="1" t="str">
        <f t="shared" si="1"/>
        <v>Home&amp;Kitchen</v>
      </c>
      <c r="E1322" s="1" t="str">
        <f t="shared" si="2"/>
        <v>Kitchen&amp;HomeAppliances</v>
      </c>
      <c r="F1322" s="1">
        <v>419.0</v>
      </c>
      <c r="G1322" s="1">
        <v>999.0</v>
      </c>
      <c r="H1322" s="6">
        <f t="shared" si="3"/>
        <v>0.5805805806</v>
      </c>
      <c r="I1322" s="3">
        <f>IFERROR(__xludf.DUMMYFUNCTION("GOOGLEFINANCE(""CURRENCY:INRBRL"")*F1322"),25.517680361089997)</f>
        <v>25.51768036</v>
      </c>
      <c r="J1322" s="1">
        <v>4.5</v>
      </c>
      <c r="K1322" s="1">
        <v>227.0</v>
      </c>
      <c r="L1322" s="1" t="s">
        <v>5087</v>
      </c>
      <c r="M1322" s="7" t="s">
        <v>5088</v>
      </c>
    </row>
    <row r="1323">
      <c r="A1323" s="1" t="s">
        <v>5089</v>
      </c>
      <c r="B1323" s="1" t="s">
        <v>5090</v>
      </c>
      <c r="C1323" s="1" t="s">
        <v>3942</v>
      </c>
      <c r="D1323" s="1" t="str">
        <f t="shared" si="1"/>
        <v>Home&amp;Kitchen</v>
      </c>
      <c r="E1323" s="1" t="str">
        <f t="shared" si="2"/>
        <v>Heating,Cooling&amp;AirQuality</v>
      </c>
      <c r="F1323" s="5">
        <v>7349.0</v>
      </c>
      <c r="G1323" s="5">
        <v>10899.0</v>
      </c>
      <c r="H1323" s="6">
        <f t="shared" si="3"/>
        <v>0.3257179558</v>
      </c>
      <c r="I1323" s="3">
        <f>IFERROR(__xludf.DUMMYFUNCTION("GOOGLEFINANCE(""CURRENCY:INRBRL"")*F1323"),447.56427917339)</f>
        <v>447.5642792</v>
      </c>
      <c r="J1323" s="1">
        <v>4.5</v>
      </c>
      <c r="K1323" s="1">
        <v>11957.0</v>
      </c>
      <c r="L1323" s="1" t="s">
        <v>5091</v>
      </c>
      <c r="M1323" s="7" t="s">
        <v>5092</v>
      </c>
    </row>
    <row r="1324">
      <c r="A1324" s="1" t="s">
        <v>5093</v>
      </c>
      <c r="B1324" s="1" t="s">
        <v>5094</v>
      </c>
      <c r="C1324" s="1" t="s">
        <v>4158</v>
      </c>
      <c r="D1324" s="1" t="str">
        <f t="shared" si="1"/>
        <v>Home&amp;Kitchen</v>
      </c>
      <c r="E1324" s="1" t="str">
        <f t="shared" si="2"/>
        <v>Heating,Cooling&amp;AirQuality</v>
      </c>
      <c r="F1324" s="5">
        <v>2899.0</v>
      </c>
      <c r="G1324" s="5">
        <v>4005.0</v>
      </c>
      <c r="H1324" s="6">
        <f t="shared" si="3"/>
        <v>0.2761548065</v>
      </c>
      <c r="I1324" s="3">
        <f>IFERROR(__xludf.DUMMYFUNCTION("GOOGLEFINANCE(""CURRENCY:INRBRL"")*F1324"),176.55311543388999)</f>
        <v>176.5531154</v>
      </c>
      <c r="J1324" s="1">
        <v>4.5</v>
      </c>
      <c r="K1324" s="1">
        <v>714.0</v>
      </c>
      <c r="L1324" s="1" t="s">
        <v>5095</v>
      </c>
      <c r="M1324" s="7" t="s">
        <v>5096</v>
      </c>
    </row>
    <row r="1325">
      <c r="A1325" s="1" t="s">
        <v>5097</v>
      </c>
      <c r="B1325" s="1" t="s">
        <v>5098</v>
      </c>
      <c r="C1325" s="1" t="s">
        <v>4024</v>
      </c>
      <c r="D1325" s="1" t="str">
        <f t="shared" si="1"/>
        <v>Home&amp;Kitchen</v>
      </c>
      <c r="E1325" s="1" t="str">
        <f t="shared" si="2"/>
        <v>Kitchen&amp;HomeAppliances</v>
      </c>
      <c r="F1325" s="5">
        <v>1799.0</v>
      </c>
      <c r="G1325" s="5">
        <v>3295.0</v>
      </c>
      <c r="H1325" s="6">
        <f t="shared" si="3"/>
        <v>0.4540212443</v>
      </c>
      <c r="I1325" s="3">
        <f>IFERROR(__xludf.DUMMYFUNCTION("GOOGLEFINANCE(""CURRENCY:INRBRL"")*F1325"),109.56159181289)</f>
        <v>109.5615918</v>
      </c>
      <c r="J1325" s="1">
        <v>4.51</v>
      </c>
      <c r="K1325" s="1">
        <v>687.0</v>
      </c>
      <c r="L1325" s="1" t="s">
        <v>5099</v>
      </c>
      <c r="M1325" s="7" t="s">
        <v>5100</v>
      </c>
    </row>
    <row r="1326">
      <c r="A1326" s="1" t="s">
        <v>5101</v>
      </c>
      <c r="B1326" s="1" t="s">
        <v>5102</v>
      </c>
      <c r="C1326" s="1" t="s">
        <v>4062</v>
      </c>
      <c r="D1326" s="1" t="str">
        <f t="shared" si="1"/>
        <v>Home&amp;Kitchen</v>
      </c>
      <c r="E1326" s="1" t="str">
        <f t="shared" si="2"/>
        <v>Kitchen&amp;HomeAppliances</v>
      </c>
      <c r="F1326" s="5">
        <v>1474.0</v>
      </c>
      <c r="G1326" s="5">
        <v>4649.0</v>
      </c>
      <c r="H1326" s="6">
        <f t="shared" si="3"/>
        <v>0.6829425683</v>
      </c>
      <c r="I1326" s="3">
        <f>IFERROR(__xludf.DUMMYFUNCTION("GOOGLEFINANCE(""CURRENCY:INRBRL"")*F1326"),89.76864165213999)</f>
        <v>89.76864165</v>
      </c>
      <c r="J1326" s="1">
        <v>4.49</v>
      </c>
      <c r="K1326" s="1">
        <v>1045.0</v>
      </c>
      <c r="L1326" s="1" t="s">
        <v>5103</v>
      </c>
      <c r="M1326" s="7" t="s">
        <v>5104</v>
      </c>
    </row>
    <row r="1327">
      <c r="A1327" s="1" t="s">
        <v>5105</v>
      </c>
      <c r="B1327" s="1" t="s">
        <v>5106</v>
      </c>
      <c r="C1327" s="1" t="s">
        <v>4488</v>
      </c>
      <c r="D1327" s="1" t="str">
        <f t="shared" si="1"/>
        <v>Home&amp;Kitchen</v>
      </c>
      <c r="E1327" s="1" t="str">
        <f t="shared" si="2"/>
        <v>Kitchen&amp;HomeAppliances</v>
      </c>
      <c r="F1327" s="5">
        <v>15999.0</v>
      </c>
      <c r="G1327" s="5">
        <v>24499.0</v>
      </c>
      <c r="H1327" s="6">
        <f t="shared" si="3"/>
        <v>0.3469529369</v>
      </c>
      <c r="I1327" s="3">
        <f>IFERROR(__xludf.DUMMYFUNCTION("GOOGLEFINANCE(""CURRENCY:INRBRL"")*F1327"),974.36126037489)</f>
        <v>974.3612604</v>
      </c>
      <c r="J1327" s="1">
        <v>4.0</v>
      </c>
      <c r="K1327" s="1">
        <v>11206.0</v>
      </c>
      <c r="L1327" s="1" t="s">
        <v>5107</v>
      </c>
      <c r="M1327" s="7" t="s">
        <v>5108</v>
      </c>
    </row>
    <row r="1328">
      <c r="A1328" s="1" t="s">
        <v>5109</v>
      </c>
      <c r="B1328" s="1" t="s">
        <v>5110</v>
      </c>
      <c r="C1328" s="1" t="s">
        <v>3919</v>
      </c>
      <c r="D1328" s="1" t="str">
        <f t="shared" si="1"/>
        <v>Home&amp;Kitchen</v>
      </c>
      <c r="E1328" s="1" t="str">
        <f t="shared" si="2"/>
        <v>Heating,Cooling&amp;AirQuality</v>
      </c>
      <c r="F1328" s="5">
        <v>3645.0</v>
      </c>
      <c r="G1328" s="5">
        <v>6069.0</v>
      </c>
      <c r="H1328" s="6">
        <f t="shared" si="3"/>
        <v>0.3994068216</v>
      </c>
      <c r="I1328" s="3">
        <f>IFERROR(__xludf.DUMMYFUNCTION("GOOGLEFINANCE(""CURRENCY:INRBRL"")*F1328"),221.98554872595)</f>
        <v>221.9855487</v>
      </c>
      <c r="J1328" s="1">
        <v>4.5</v>
      </c>
      <c r="K1328" s="1">
        <v>561.0</v>
      </c>
      <c r="L1328" s="1" t="s">
        <v>5111</v>
      </c>
      <c r="M1328" s="7" t="s">
        <v>5112</v>
      </c>
    </row>
    <row r="1329">
      <c r="A1329" s="1" t="s">
        <v>5113</v>
      </c>
      <c r="B1329" s="1" t="s">
        <v>5114</v>
      </c>
      <c r="C1329" s="1" t="s">
        <v>3904</v>
      </c>
      <c r="D1329" s="1" t="str">
        <f t="shared" si="1"/>
        <v>Home&amp;Kitchen</v>
      </c>
      <c r="E1329" s="1" t="str">
        <f t="shared" si="2"/>
        <v>Kitchen&amp;HomeAppliances</v>
      </c>
      <c r="F1329" s="1">
        <v>375.0</v>
      </c>
      <c r="G1329" s="1">
        <v>999.0</v>
      </c>
      <c r="H1329" s="6">
        <f t="shared" si="3"/>
        <v>0.6246246246</v>
      </c>
      <c r="I1329" s="3">
        <f>IFERROR(__xludf.DUMMYFUNCTION("GOOGLEFINANCE(""CURRENCY:INRBRL"")*F1329"),22.83801941625)</f>
        <v>22.83801942</v>
      </c>
      <c r="J1329" s="1">
        <v>4.51</v>
      </c>
      <c r="K1329" s="1">
        <v>1988.0</v>
      </c>
      <c r="L1329" s="1" t="s">
        <v>5115</v>
      </c>
      <c r="M1329" s="7" t="s">
        <v>5116</v>
      </c>
    </row>
    <row r="1330">
      <c r="A1330" s="1" t="s">
        <v>5117</v>
      </c>
      <c r="B1330" s="1" t="s">
        <v>5118</v>
      </c>
      <c r="C1330" s="1" t="s">
        <v>4325</v>
      </c>
      <c r="D1330" s="1" t="str">
        <f t="shared" si="1"/>
        <v>Home&amp;Kitchen</v>
      </c>
      <c r="E1330" s="1" t="str">
        <f t="shared" si="2"/>
        <v>Kitchen&amp;HomeAppliances</v>
      </c>
      <c r="F1330" s="5">
        <v>2976.0</v>
      </c>
      <c r="G1330" s="5">
        <v>3945.0</v>
      </c>
      <c r="H1330" s="6">
        <f t="shared" si="3"/>
        <v>0.2456273764</v>
      </c>
      <c r="I1330" s="3">
        <f>IFERROR(__xludf.DUMMYFUNCTION("GOOGLEFINANCE(""CURRENCY:INRBRL"")*F1330"),181.24252208736)</f>
        <v>181.2425221</v>
      </c>
      <c r="J1330" s="1">
        <v>4.5</v>
      </c>
      <c r="K1330" s="1">
        <v>374.0</v>
      </c>
      <c r="L1330" s="1" t="s">
        <v>5119</v>
      </c>
      <c r="M1330" s="7" t="s">
        <v>5120</v>
      </c>
    </row>
    <row r="1331">
      <c r="A1331" s="1" t="s">
        <v>5121</v>
      </c>
      <c r="B1331" s="1" t="s">
        <v>5122</v>
      </c>
      <c r="C1331" s="1" t="s">
        <v>4884</v>
      </c>
      <c r="D1331" s="1" t="str">
        <f t="shared" si="1"/>
        <v>Home&amp;Kitchen</v>
      </c>
      <c r="E1331" s="1" t="str">
        <f t="shared" si="2"/>
        <v>Kitchen&amp;HomeAppliances</v>
      </c>
      <c r="F1331" s="5">
        <v>1099.0</v>
      </c>
      <c r="G1331" s="5">
        <v>1499.0</v>
      </c>
      <c r="H1331" s="6">
        <f t="shared" si="3"/>
        <v>0.266844563</v>
      </c>
      <c r="I1331" s="3">
        <f>IFERROR(__xludf.DUMMYFUNCTION("GOOGLEFINANCE(""CURRENCY:INRBRL"")*F1331"),66.93062223589)</f>
        <v>66.93062224</v>
      </c>
      <c r="J1331" s="1">
        <v>4.49</v>
      </c>
      <c r="K1331" s="1">
        <v>4401.0</v>
      </c>
      <c r="L1331" s="1" t="s">
        <v>5123</v>
      </c>
      <c r="M1331" s="7" t="s">
        <v>5124</v>
      </c>
    </row>
    <row r="1332">
      <c r="A1332" s="1" t="s">
        <v>5125</v>
      </c>
      <c r="B1332" s="1" t="s">
        <v>5126</v>
      </c>
      <c r="C1332" s="1" t="s">
        <v>3994</v>
      </c>
      <c r="D1332" s="1" t="str">
        <f t="shared" si="1"/>
        <v>Home&amp;Kitchen</v>
      </c>
      <c r="E1332" s="1" t="str">
        <f t="shared" si="2"/>
        <v>Kitchen&amp;HomeAppliances</v>
      </c>
      <c r="F1332" s="5">
        <v>2575.0</v>
      </c>
      <c r="G1332" s="5">
        <v>6699.0</v>
      </c>
      <c r="H1332" s="6">
        <f t="shared" si="3"/>
        <v>0.6156142708</v>
      </c>
      <c r="I1332" s="3">
        <f>IFERROR(__xludf.DUMMYFUNCTION("GOOGLEFINANCE(""CURRENCY:INRBRL"")*F1332"),156.82106665825)</f>
        <v>156.8210667</v>
      </c>
      <c r="J1332" s="1">
        <v>4.5</v>
      </c>
      <c r="K1332" s="1">
        <v>611.0</v>
      </c>
      <c r="L1332" s="1" t="s">
        <v>5127</v>
      </c>
      <c r="M1332" s="7" t="s">
        <v>5128</v>
      </c>
    </row>
    <row r="1333">
      <c r="A1333" s="1" t="s">
        <v>5129</v>
      </c>
      <c r="B1333" s="1" t="s">
        <v>5130</v>
      </c>
      <c r="C1333" s="1" t="s">
        <v>3914</v>
      </c>
      <c r="D1333" s="1" t="str">
        <f t="shared" si="1"/>
        <v>Home&amp;Kitchen</v>
      </c>
      <c r="E1333" s="1" t="str">
        <f t="shared" si="2"/>
        <v>Kitchen&amp;HomeAppliances</v>
      </c>
      <c r="F1333" s="5">
        <v>1649.0</v>
      </c>
      <c r="G1333" s="5">
        <v>2799.0</v>
      </c>
      <c r="H1333" s="6">
        <f t="shared" si="3"/>
        <v>0.4108610218</v>
      </c>
      <c r="I1333" s="3">
        <f>IFERROR(__xludf.DUMMYFUNCTION("GOOGLEFINANCE(""CURRENCY:INRBRL"")*F1333"),100.42638404639)</f>
        <v>100.426384</v>
      </c>
      <c r="J1333" s="1">
        <v>4.52</v>
      </c>
      <c r="K1333" s="1">
        <v>2162.0</v>
      </c>
      <c r="L1333" s="1" t="s">
        <v>5131</v>
      </c>
      <c r="M1333" s="7" t="s">
        <v>5132</v>
      </c>
    </row>
    <row r="1334">
      <c r="A1334" s="1" t="s">
        <v>5133</v>
      </c>
      <c r="B1334" s="1" t="s">
        <v>5134</v>
      </c>
      <c r="C1334" s="1" t="s">
        <v>3904</v>
      </c>
      <c r="D1334" s="1" t="str">
        <f t="shared" si="1"/>
        <v>Home&amp;Kitchen</v>
      </c>
      <c r="E1334" s="1" t="str">
        <f t="shared" si="2"/>
        <v>Kitchen&amp;HomeAppliances</v>
      </c>
      <c r="F1334" s="1">
        <v>799.0</v>
      </c>
      <c r="G1334" s="5">
        <v>1699.0</v>
      </c>
      <c r="H1334" s="6">
        <f t="shared" si="3"/>
        <v>0.5297233667</v>
      </c>
      <c r="I1334" s="3">
        <f>IFERROR(__xludf.DUMMYFUNCTION("GOOGLEFINANCE(""CURRENCY:INRBRL"")*F1334"),48.66020670289)</f>
        <v>48.6602067</v>
      </c>
      <c r="J1334" s="1">
        <v>4.0</v>
      </c>
      <c r="K1334" s="1">
        <v>97.0</v>
      </c>
      <c r="L1334" s="1" t="s">
        <v>5135</v>
      </c>
      <c r="M1334" s="7" t="s">
        <v>5136</v>
      </c>
    </row>
    <row r="1335">
      <c r="A1335" s="1" t="s">
        <v>5137</v>
      </c>
      <c r="B1335" s="1" t="s">
        <v>5138</v>
      </c>
      <c r="C1335" s="1" t="s">
        <v>3904</v>
      </c>
      <c r="D1335" s="1" t="str">
        <f t="shared" si="1"/>
        <v>Home&amp;Kitchen</v>
      </c>
      <c r="E1335" s="1" t="str">
        <f t="shared" si="2"/>
        <v>Kitchen&amp;HomeAppliances</v>
      </c>
      <c r="F1335" s="1">
        <v>765.0</v>
      </c>
      <c r="G1335" s="1">
        <v>970.0</v>
      </c>
      <c r="H1335" s="6">
        <f t="shared" si="3"/>
        <v>0.2113402062</v>
      </c>
      <c r="I1335" s="3">
        <f>IFERROR(__xludf.DUMMYFUNCTION("GOOGLEFINANCE(""CURRENCY:INRBRL"")*F1335"),46.58955960915)</f>
        <v>46.58955961</v>
      </c>
      <c r="J1335" s="1">
        <v>4.5</v>
      </c>
      <c r="K1335" s="1">
        <v>6055.0</v>
      </c>
      <c r="L1335" s="1" t="s">
        <v>5139</v>
      </c>
      <c r="M1335" s="7" t="s">
        <v>5140</v>
      </c>
    </row>
    <row r="1336">
      <c r="A1336" s="1" t="s">
        <v>5141</v>
      </c>
      <c r="B1336" s="1" t="s">
        <v>5142</v>
      </c>
      <c r="C1336" s="1" t="s">
        <v>3856</v>
      </c>
      <c r="D1336" s="1" t="str">
        <f t="shared" si="1"/>
        <v>Home&amp;Kitchen</v>
      </c>
      <c r="E1336" s="1" t="str">
        <f t="shared" si="2"/>
        <v>Kitchen&amp;HomeAppliances</v>
      </c>
      <c r="F1336" s="1">
        <v>999.0</v>
      </c>
      <c r="G1336" s="5">
        <v>1499.0</v>
      </c>
      <c r="H1336" s="6">
        <f t="shared" si="3"/>
        <v>0.3335557038</v>
      </c>
      <c r="I1336" s="3">
        <f>IFERROR(__xludf.DUMMYFUNCTION("GOOGLEFINANCE(""CURRENCY:INRBRL"")*F1336"),60.84048372489)</f>
        <v>60.84048372</v>
      </c>
      <c r="J1336" s="1">
        <v>4.5</v>
      </c>
      <c r="K1336" s="1">
        <v>386.0</v>
      </c>
      <c r="L1336" s="1" t="s">
        <v>5143</v>
      </c>
      <c r="M1336" s="7" t="s">
        <v>5144</v>
      </c>
    </row>
    <row r="1337">
      <c r="A1337" s="1" t="s">
        <v>5145</v>
      </c>
      <c r="B1337" s="1" t="s">
        <v>5146</v>
      </c>
      <c r="C1337" s="1" t="s">
        <v>5147</v>
      </c>
      <c r="D1337" s="1" t="str">
        <f t="shared" si="1"/>
        <v>Home&amp;Kitchen</v>
      </c>
      <c r="E1337" s="1" t="str">
        <f t="shared" si="2"/>
        <v>Kitchen&amp;HomeAppliances</v>
      </c>
      <c r="F1337" s="1">
        <v>587.0</v>
      </c>
      <c r="G1337" s="5">
        <v>1295.0</v>
      </c>
      <c r="H1337" s="6">
        <f t="shared" si="3"/>
        <v>0.5467181467</v>
      </c>
      <c r="I1337" s="3">
        <f>IFERROR(__xludf.DUMMYFUNCTION("GOOGLEFINANCE(""CURRENCY:INRBRL"")*F1337"),35.74911305957)</f>
        <v>35.74911306</v>
      </c>
      <c r="J1337" s="1">
        <v>4.49</v>
      </c>
      <c r="K1337" s="1">
        <v>557.0</v>
      </c>
      <c r="L1337" s="1" t="s">
        <v>5148</v>
      </c>
      <c r="M1337" s="7" t="s">
        <v>5149</v>
      </c>
    </row>
    <row r="1338">
      <c r="A1338" s="1" t="s">
        <v>5150</v>
      </c>
      <c r="B1338" s="1" t="s">
        <v>5151</v>
      </c>
      <c r="C1338" s="1" t="s">
        <v>5152</v>
      </c>
      <c r="D1338" s="1" t="str">
        <f t="shared" si="1"/>
        <v>Home&amp;Kitchen</v>
      </c>
      <c r="E1338" s="1" t="str">
        <f t="shared" si="2"/>
        <v>Kitchen&amp;HomeAppliances</v>
      </c>
      <c r="F1338" s="5">
        <v>12609.0</v>
      </c>
      <c r="G1338" s="5">
        <v>23999.0</v>
      </c>
      <c r="H1338" s="6">
        <f t="shared" si="3"/>
        <v>0.4746031085</v>
      </c>
      <c r="I1338" s="3">
        <f>IFERROR(__xludf.DUMMYFUNCTION("GOOGLEFINANCE(""CURRENCY:INRBRL"")*F1338"),767.90556485199)</f>
        <v>767.9055649</v>
      </c>
      <c r="J1338" s="1">
        <v>4.5</v>
      </c>
      <c r="K1338" s="1">
        <v>2288.0</v>
      </c>
      <c r="L1338" s="1" t="s">
        <v>5153</v>
      </c>
      <c r="M1338" s="7" t="s">
        <v>5154</v>
      </c>
    </row>
    <row r="1339">
      <c r="A1339" s="1" t="s">
        <v>5155</v>
      </c>
      <c r="B1339" s="1" t="s">
        <v>5156</v>
      </c>
      <c r="C1339" s="1" t="s">
        <v>3909</v>
      </c>
      <c r="D1339" s="1" t="str">
        <f t="shared" si="1"/>
        <v>Home&amp;Kitchen</v>
      </c>
      <c r="E1339" s="1" t="str">
        <f t="shared" si="2"/>
        <v>Kitchen&amp;HomeAppliances</v>
      </c>
      <c r="F1339" s="1">
        <v>699.0</v>
      </c>
      <c r="G1339" s="1">
        <v>850.0</v>
      </c>
      <c r="H1339" s="6">
        <f t="shared" si="3"/>
        <v>0.1776470588</v>
      </c>
      <c r="I1339" s="3">
        <f>IFERROR(__xludf.DUMMYFUNCTION("GOOGLEFINANCE(""CURRENCY:INRBRL"")*F1339"),42.57006819189)</f>
        <v>42.57006819</v>
      </c>
      <c r="J1339" s="1">
        <v>4.49</v>
      </c>
      <c r="K1339" s="1">
        <v>1106.0</v>
      </c>
      <c r="L1339" s="1" t="s">
        <v>5157</v>
      </c>
      <c r="M1339" s="7" t="s">
        <v>5158</v>
      </c>
    </row>
    <row r="1340">
      <c r="A1340" s="1" t="s">
        <v>5159</v>
      </c>
      <c r="B1340" s="1" t="s">
        <v>5160</v>
      </c>
      <c r="C1340" s="1" t="s">
        <v>4171</v>
      </c>
      <c r="D1340" s="1" t="str">
        <f t="shared" si="1"/>
        <v>Home&amp;Kitchen</v>
      </c>
      <c r="E1340" s="1" t="str">
        <f t="shared" si="2"/>
        <v>Kitchen&amp;HomeAppliances</v>
      </c>
      <c r="F1340" s="5">
        <v>3799.0</v>
      </c>
      <c r="G1340" s="5">
        <v>5999.0</v>
      </c>
      <c r="H1340" s="6">
        <f t="shared" si="3"/>
        <v>0.366727788</v>
      </c>
      <c r="I1340" s="3">
        <f>IFERROR(__xludf.DUMMYFUNCTION("GOOGLEFINANCE(""CURRENCY:INRBRL"")*F1340"),231.36436203289)</f>
        <v>231.364362</v>
      </c>
      <c r="J1340" s="1">
        <v>4.5</v>
      </c>
      <c r="K1340" s="1">
        <v>11935.0</v>
      </c>
      <c r="L1340" s="1" t="s">
        <v>5161</v>
      </c>
      <c r="M1340" s="7" t="s">
        <v>5162</v>
      </c>
    </row>
    <row r="1341">
      <c r="A1341" s="1" t="s">
        <v>5163</v>
      </c>
      <c r="B1341" s="1" t="s">
        <v>5164</v>
      </c>
      <c r="C1341" s="1" t="s">
        <v>3971</v>
      </c>
      <c r="D1341" s="1" t="str">
        <f t="shared" si="1"/>
        <v>Home&amp;Kitchen</v>
      </c>
      <c r="E1341" s="1" t="str">
        <f t="shared" si="2"/>
        <v>Heating,Cooling&amp;AirQuality</v>
      </c>
      <c r="F1341" s="1">
        <v>640.0</v>
      </c>
      <c r="G1341" s="5">
        <v>1099.0</v>
      </c>
      <c r="H1341" s="6">
        <f t="shared" si="3"/>
        <v>0.4176524113</v>
      </c>
      <c r="I1341" s="3">
        <f>IFERROR(__xludf.DUMMYFUNCTION("GOOGLEFINANCE(""CURRENCY:INRBRL"")*F1341"),38.9768864704)</f>
        <v>38.97688647</v>
      </c>
      <c r="J1341" s="1">
        <v>4.49</v>
      </c>
      <c r="K1341" s="1">
        <v>5059.0</v>
      </c>
      <c r="L1341" s="1" t="s">
        <v>5165</v>
      </c>
      <c r="M1341" s="7" t="s">
        <v>5166</v>
      </c>
    </row>
    <row r="1342">
      <c r="A1342" s="1" t="s">
        <v>5167</v>
      </c>
      <c r="B1342" s="1" t="s">
        <v>5168</v>
      </c>
      <c r="C1342" s="1" t="s">
        <v>3851</v>
      </c>
      <c r="D1342" s="1" t="str">
        <f t="shared" si="1"/>
        <v>Home&amp;Kitchen</v>
      </c>
      <c r="E1342" s="1" t="str">
        <f t="shared" si="2"/>
        <v>Heating,Cooling&amp;AirQuality</v>
      </c>
      <c r="F1342" s="1">
        <v>979.0</v>
      </c>
      <c r="G1342" s="5">
        <v>1999.0</v>
      </c>
      <c r="H1342" s="6">
        <f t="shared" si="3"/>
        <v>0.5102551276</v>
      </c>
      <c r="I1342" s="3">
        <f>IFERROR(__xludf.DUMMYFUNCTION("GOOGLEFINANCE(""CURRENCY:INRBRL"")*F1342"),59.622456022689995)</f>
        <v>59.62245602</v>
      </c>
      <c r="J1342" s="1">
        <v>4.52</v>
      </c>
      <c r="K1342" s="1">
        <v>157.0</v>
      </c>
      <c r="L1342" s="1" t="s">
        <v>5169</v>
      </c>
      <c r="M1342" s="7" t="s">
        <v>5170</v>
      </c>
    </row>
    <row r="1343">
      <c r="A1343" s="1" t="s">
        <v>5171</v>
      </c>
      <c r="B1343" s="1" t="s">
        <v>5172</v>
      </c>
      <c r="C1343" s="1" t="s">
        <v>3919</v>
      </c>
      <c r="D1343" s="1" t="str">
        <f t="shared" si="1"/>
        <v>Home&amp;Kitchen</v>
      </c>
      <c r="E1343" s="1" t="str">
        <f t="shared" si="2"/>
        <v>Heating,Cooling&amp;AirQuality</v>
      </c>
      <c r="F1343" s="5">
        <v>5365.0</v>
      </c>
      <c r="G1343" s="5">
        <v>7445.0</v>
      </c>
      <c r="H1343" s="6">
        <f t="shared" si="3"/>
        <v>0.2793821357</v>
      </c>
      <c r="I1343" s="3">
        <f>IFERROR(__xludf.DUMMYFUNCTION("GOOGLEFINANCE(""CURRENCY:INRBRL"")*F1343"),326.73593111515)</f>
        <v>326.7359311</v>
      </c>
      <c r="J1343" s="1">
        <v>4.52</v>
      </c>
      <c r="K1343" s="1">
        <v>3584.0</v>
      </c>
      <c r="L1343" s="1" t="s">
        <v>5173</v>
      </c>
      <c r="M1343" s="7" t="s">
        <v>5174</v>
      </c>
    </row>
    <row r="1344">
      <c r="A1344" s="1" t="s">
        <v>5175</v>
      </c>
      <c r="B1344" s="1" t="s">
        <v>5176</v>
      </c>
      <c r="C1344" s="1" t="s">
        <v>3994</v>
      </c>
      <c r="D1344" s="1" t="str">
        <f t="shared" si="1"/>
        <v>Home&amp;Kitchen</v>
      </c>
      <c r="E1344" s="1" t="str">
        <f t="shared" si="2"/>
        <v>Kitchen&amp;HomeAppliances</v>
      </c>
      <c r="F1344" s="5">
        <v>3199.0</v>
      </c>
      <c r="G1344" s="5">
        <v>3499.0</v>
      </c>
      <c r="H1344" s="6">
        <f t="shared" si="3"/>
        <v>0.08573878251</v>
      </c>
      <c r="I1344" s="3">
        <f>IFERROR(__xludf.DUMMYFUNCTION("GOOGLEFINANCE(""CURRENCY:INRBRL"")*F1344"),194.82353096689)</f>
        <v>194.823531</v>
      </c>
      <c r="J1344" s="1">
        <v>4.5</v>
      </c>
      <c r="K1344" s="1">
        <v>1899.0</v>
      </c>
      <c r="L1344" s="1" t="s">
        <v>5177</v>
      </c>
      <c r="M1344" s="7" t="s">
        <v>5178</v>
      </c>
    </row>
    <row r="1345">
      <c r="A1345" s="1" t="s">
        <v>5179</v>
      </c>
      <c r="B1345" s="1" t="s">
        <v>5180</v>
      </c>
      <c r="C1345" s="1" t="s">
        <v>4596</v>
      </c>
      <c r="D1345" s="1" t="str">
        <f t="shared" si="1"/>
        <v>Home&amp;Kitchen</v>
      </c>
      <c r="E1345" s="1" t="str">
        <f t="shared" si="2"/>
        <v>Kitchen&amp;HomeAppliances</v>
      </c>
      <c r="F1345" s="1">
        <v>979.0</v>
      </c>
      <c r="G1345" s="5">
        <v>1395.0</v>
      </c>
      <c r="H1345" s="6">
        <f t="shared" si="3"/>
        <v>0.2982078853</v>
      </c>
      <c r="I1345" s="3">
        <f>IFERROR(__xludf.DUMMYFUNCTION("GOOGLEFINANCE(""CURRENCY:INRBRL"")*F1345"),59.622456022689995)</f>
        <v>59.62245602</v>
      </c>
      <c r="J1345" s="1">
        <v>4.5</v>
      </c>
      <c r="K1345" s="1">
        <v>15252.0</v>
      </c>
      <c r="L1345" s="1" t="s">
        <v>5181</v>
      </c>
      <c r="M1345" s="7" t="s">
        <v>5182</v>
      </c>
    </row>
    <row r="1346">
      <c r="A1346" s="1" t="s">
        <v>5183</v>
      </c>
      <c r="B1346" s="1" t="s">
        <v>5184</v>
      </c>
      <c r="C1346" s="1" t="s">
        <v>3846</v>
      </c>
      <c r="D1346" s="1" t="str">
        <f t="shared" si="1"/>
        <v>Home&amp;Kitchen</v>
      </c>
      <c r="E1346" s="1" t="str">
        <f t="shared" si="2"/>
        <v>Heating,Cooling&amp;AirQuality</v>
      </c>
      <c r="F1346" s="1">
        <v>929.0</v>
      </c>
      <c r="G1346" s="5">
        <v>2199.0</v>
      </c>
      <c r="H1346" s="6">
        <f t="shared" si="3"/>
        <v>0.5775352433</v>
      </c>
      <c r="I1346" s="3">
        <f>IFERROR(__xludf.DUMMYFUNCTION("GOOGLEFINANCE(""CURRENCY:INRBRL"")*F1346"),56.57738676719)</f>
        <v>56.57738677</v>
      </c>
      <c r="J1346" s="1">
        <v>4.51</v>
      </c>
      <c r="K1346" s="1">
        <v>4.0</v>
      </c>
      <c r="L1346" s="1" t="s">
        <v>5185</v>
      </c>
      <c r="M1346" s="7" t="s">
        <v>5186</v>
      </c>
    </row>
    <row r="1347">
      <c r="A1347" s="1" t="s">
        <v>5187</v>
      </c>
      <c r="B1347" s="1" t="s">
        <v>5188</v>
      </c>
      <c r="C1347" s="1" t="s">
        <v>4617</v>
      </c>
      <c r="D1347" s="1" t="str">
        <f t="shared" si="1"/>
        <v>Home&amp;Kitchen</v>
      </c>
      <c r="E1347" s="1" t="str">
        <f t="shared" si="2"/>
        <v>Kitchen&amp;HomeAppliances</v>
      </c>
      <c r="F1347" s="5">
        <v>3699.0</v>
      </c>
      <c r="G1347" s="5">
        <v>4329.0</v>
      </c>
      <c r="H1347" s="6">
        <f t="shared" si="3"/>
        <v>0.1455301455</v>
      </c>
      <c r="I1347" s="3">
        <f>IFERROR(__xludf.DUMMYFUNCTION("GOOGLEFINANCE(""CURRENCY:INRBRL"")*F1347"),225.27422352188998)</f>
        <v>225.2742235</v>
      </c>
      <c r="J1347" s="1">
        <v>4.51</v>
      </c>
      <c r="K1347" s="1">
        <v>1662.0</v>
      </c>
      <c r="L1347" s="1" t="s">
        <v>5189</v>
      </c>
      <c r="M1347" s="7" t="s">
        <v>5190</v>
      </c>
    </row>
    <row r="1348">
      <c r="A1348" s="1" t="s">
        <v>5191</v>
      </c>
      <c r="B1348" s="1" t="s">
        <v>5192</v>
      </c>
      <c r="C1348" s="1" t="s">
        <v>3914</v>
      </c>
      <c r="D1348" s="1" t="str">
        <f t="shared" si="1"/>
        <v>Home&amp;Kitchen</v>
      </c>
      <c r="E1348" s="1" t="str">
        <f t="shared" si="2"/>
        <v>Kitchen&amp;HomeAppliances</v>
      </c>
      <c r="F1348" s="5">
        <v>2033.0</v>
      </c>
      <c r="G1348" s="5">
        <v>4295.0</v>
      </c>
      <c r="H1348" s="6">
        <f t="shared" si="3"/>
        <v>0.5266589057</v>
      </c>
      <c r="I1348" s="3">
        <f>IFERROR(__xludf.DUMMYFUNCTION("GOOGLEFINANCE(""CURRENCY:INRBRL"")*F1348"),123.81251592862999)</f>
        <v>123.8125159</v>
      </c>
      <c r="J1348" s="1">
        <v>4.5</v>
      </c>
      <c r="K1348" s="1">
        <v>422.0</v>
      </c>
      <c r="L1348" s="1" t="s">
        <v>5193</v>
      </c>
      <c r="M1348" s="7" t="s">
        <v>5194</v>
      </c>
    </row>
    <row r="1349">
      <c r="A1349" s="1" t="s">
        <v>5195</v>
      </c>
      <c r="B1349" s="1" t="s">
        <v>5196</v>
      </c>
      <c r="C1349" s="1" t="s">
        <v>3846</v>
      </c>
      <c r="D1349" s="1" t="str">
        <f t="shared" si="1"/>
        <v>Home&amp;Kitchen</v>
      </c>
      <c r="E1349" s="1" t="str">
        <f t="shared" si="2"/>
        <v>Heating,Cooling&amp;AirQuality</v>
      </c>
      <c r="F1349" s="5">
        <v>9495.0</v>
      </c>
      <c r="G1349" s="5">
        <v>18999.0</v>
      </c>
      <c r="H1349" s="6">
        <f t="shared" si="3"/>
        <v>0.5002368546</v>
      </c>
      <c r="I1349" s="3">
        <f>IFERROR(__xludf.DUMMYFUNCTION("GOOGLEFINANCE(""CURRENCY:INRBRL"")*F1349"),578.25865161945)</f>
        <v>578.2586516</v>
      </c>
      <c r="J1349" s="1">
        <v>4.5</v>
      </c>
      <c r="K1349" s="1">
        <v>79.0</v>
      </c>
      <c r="L1349" s="1" t="s">
        <v>5197</v>
      </c>
      <c r="M1349" s="7" t="s">
        <v>5198</v>
      </c>
    </row>
    <row r="1350">
      <c r="A1350" s="1" t="s">
        <v>5199</v>
      </c>
      <c r="B1350" s="1" t="s">
        <v>5200</v>
      </c>
      <c r="C1350" s="1" t="s">
        <v>3942</v>
      </c>
      <c r="D1350" s="1" t="str">
        <f t="shared" si="1"/>
        <v>Home&amp;Kitchen</v>
      </c>
      <c r="E1350" s="1" t="str">
        <f t="shared" si="2"/>
        <v>Heating,Cooling&amp;AirQuality</v>
      </c>
      <c r="F1350" s="5">
        <v>7799.0</v>
      </c>
      <c r="G1350" s="5">
        <v>12499.0</v>
      </c>
      <c r="H1350" s="6">
        <f t="shared" si="3"/>
        <v>0.3760300824</v>
      </c>
      <c r="I1350" s="3">
        <f>IFERROR(__xludf.DUMMYFUNCTION("GOOGLEFINANCE(""CURRENCY:INRBRL"")*F1350"),474.96990247289)</f>
        <v>474.9699025</v>
      </c>
      <c r="J1350" s="1">
        <v>4.0</v>
      </c>
      <c r="K1350" s="1">
        <v>516.0</v>
      </c>
      <c r="L1350" s="1" t="s">
        <v>5201</v>
      </c>
      <c r="M1350" s="7" t="s">
        <v>5202</v>
      </c>
    </row>
    <row r="1351">
      <c r="A1351" s="1" t="s">
        <v>5203</v>
      </c>
      <c r="B1351" s="1" t="s">
        <v>5204</v>
      </c>
      <c r="C1351" s="1" t="s">
        <v>3841</v>
      </c>
      <c r="D1351" s="1" t="str">
        <f t="shared" si="1"/>
        <v>Home&amp;Kitchen</v>
      </c>
      <c r="E1351" s="1" t="str">
        <f t="shared" si="2"/>
        <v>Kitchen&amp;HomeAppliances</v>
      </c>
      <c r="F1351" s="1">
        <v>949.0</v>
      </c>
      <c r="G1351" s="5">
        <v>2385.0</v>
      </c>
      <c r="H1351" s="6">
        <f t="shared" si="3"/>
        <v>0.6020964361</v>
      </c>
      <c r="I1351" s="3">
        <f>IFERROR(__xludf.DUMMYFUNCTION("GOOGLEFINANCE(""CURRENCY:INRBRL"")*F1351"),57.795414469389996)</f>
        <v>57.79541447</v>
      </c>
      <c r="J1351" s="1">
        <v>4.49</v>
      </c>
      <c r="K1351" s="1">
        <v>2311.0</v>
      </c>
      <c r="L1351" s="1" t="s">
        <v>5205</v>
      </c>
      <c r="M1351" s="7" t="s">
        <v>5206</v>
      </c>
    </row>
    <row r="1352">
      <c r="A1352" s="1" t="s">
        <v>5207</v>
      </c>
      <c r="B1352" s="1" t="s">
        <v>5208</v>
      </c>
      <c r="C1352" s="1" t="s">
        <v>3919</v>
      </c>
      <c r="D1352" s="1" t="str">
        <f t="shared" si="1"/>
        <v>Home&amp;Kitchen</v>
      </c>
      <c r="E1352" s="1" t="str">
        <f t="shared" si="2"/>
        <v>Heating,Cooling&amp;AirQuality</v>
      </c>
      <c r="F1352" s="5">
        <v>2799.0</v>
      </c>
      <c r="G1352" s="5">
        <v>4899.0</v>
      </c>
      <c r="H1352" s="6">
        <f t="shared" si="3"/>
        <v>0.42865891</v>
      </c>
      <c r="I1352" s="3">
        <f>IFERROR(__xludf.DUMMYFUNCTION("GOOGLEFINANCE(""CURRENCY:INRBRL"")*F1352"),170.46297692289)</f>
        <v>170.4629769</v>
      </c>
      <c r="J1352" s="1">
        <v>4.52</v>
      </c>
      <c r="K1352" s="1">
        <v>588.0</v>
      </c>
      <c r="L1352" s="1" t="s">
        <v>5209</v>
      </c>
      <c r="M1352" s="7" t="s">
        <v>5210</v>
      </c>
    </row>
    <row r="1353">
      <c r="A1353" s="1" t="s">
        <v>5211</v>
      </c>
      <c r="B1353" s="1" t="s">
        <v>5212</v>
      </c>
      <c r="C1353" s="1" t="s">
        <v>3909</v>
      </c>
      <c r="D1353" s="1" t="str">
        <f t="shared" si="1"/>
        <v>Home&amp;Kitchen</v>
      </c>
      <c r="E1353" s="1" t="str">
        <f t="shared" si="2"/>
        <v>Kitchen&amp;HomeAppliances</v>
      </c>
      <c r="F1353" s="1">
        <v>645.0</v>
      </c>
      <c r="G1353" s="5">
        <v>1099.0</v>
      </c>
      <c r="H1353" s="6">
        <f t="shared" si="3"/>
        <v>0.4131028207</v>
      </c>
      <c r="I1353" s="3">
        <f>IFERROR(__xludf.DUMMYFUNCTION("GOOGLEFINANCE(""CURRENCY:INRBRL"")*F1353"),39.28139339595)</f>
        <v>39.2813934</v>
      </c>
      <c r="J1353" s="1">
        <v>4.0</v>
      </c>
      <c r="K1353" s="1">
        <v>3271.0</v>
      </c>
      <c r="L1353" s="1" t="s">
        <v>5213</v>
      </c>
      <c r="M1353" s="7" t="s">
        <v>5214</v>
      </c>
    </row>
    <row r="1354">
      <c r="A1354" s="1" t="s">
        <v>5215</v>
      </c>
      <c r="B1354" s="1" t="s">
        <v>5216</v>
      </c>
      <c r="C1354" s="1" t="s">
        <v>3914</v>
      </c>
      <c r="D1354" s="1" t="str">
        <f t="shared" si="1"/>
        <v>Home&amp;Kitchen</v>
      </c>
      <c r="E1354" s="1" t="str">
        <f t="shared" si="2"/>
        <v>Kitchen&amp;HomeAppliances</v>
      </c>
      <c r="F1354" s="5">
        <v>2237.81</v>
      </c>
      <c r="G1354" s="5">
        <v>3899.0</v>
      </c>
      <c r="H1354" s="6">
        <f t="shared" si="3"/>
        <v>0.4260553988</v>
      </c>
      <c r="I1354" s="3">
        <f>IFERROR(__xludf.DUMMYFUNCTION("GOOGLEFINANCE(""CURRENCY:INRBRL"")*F1354"),136.2857286130091)</f>
        <v>136.2857286</v>
      </c>
      <c r="J1354" s="1">
        <v>4.52</v>
      </c>
      <c r="K1354" s="1">
        <v>11004.0</v>
      </c>
      <c r="L1354" s="1" t="s">
        <v>5217</v>
      </c>
      <c r="M1354" s="7" t="s">
        <v>5218</v>
      </c>
    </row>
    <row r="1355">
      <c r="A1355" s="1" t="s">
        <v>5219</v>
      </c>
      <c r="B1355" s="1" t="s">
        <v>5220</v>
      </c>
      <c r="C1355" s="1" t="s">
        <v>3942</v>
      </c>
      <c r="D1355" s="1" t="str">
        <f t="shared" si="1"/>
        <v>Home&amp;Kitchen</v>
      </c>
      <c r="E1355" s="1" t="str">
        <f t="shared" si="2"/>
        <v>Heating,Cooling&amp;AirQuality</v>
      </c>
      <c r="F1355" s="5">
        <v>8699.0</v>
      </c>
      <c r="G1355" s="5">
        <v>16899.0</v>
      </c>
      <c r="H1355" s="6">
        <f t="shared" si="3"/>
        <v>0.4852358128</v>
      </c>
      <c r="I1355" s="3">
        <f>IFERROR(__xludf.DUMMYFUNCTION("GOOGLEFINANCE(""CURRENCY:INRBRL"")*F1355"),529.78114907189)</f>
        <v>529.7811491</v>
      </c>
      <c r="J1355" s="1">
        <v>4.5</v>
      </c>
      <c r="K1355" s="1">
        <v>3195.0</v>
      </c>
      <c r="L1355" s="1" t="s">
        <v>5221</v>
      </c>
      <c r="M1355" s="7" t="s">
        <v>5222</v>
      </c>
    </row>
    <row r="1356">
      <c r="A1356" s="1" t="s">
        <v>5223</v>
      </c>
      <c r="B1356" s="1" t="s">
        <v>5224</v>
      </c>
      <c r="C1356" s="1" t="s">
        <v>5225</v>
      </c>
      <c r="D1356" s="1" t="str">
        <f t="shared" si="1"/>
        <v>Home&amp;Kitchen</v>
      </c>
      <c r="E1356" s="1" t="str">
        <f t="shared" si="2"/>
        <v>Heating,Cooling&amp;AirQuality</v>
      </c>
      <c r="F1356" s="5">
        <v>42989.0</v>
      </c>
      <c r="G1356" s="5">
        <v>75989.0</v>
      </c>
      <c r="H1356" s="6">
        <f t="shared" si="3"/>
        <v>0.4342733817</v>
      </c>
      <c r="I1356" s="3">
        <f>IFERROR(__xludf.DUMMYFUNCTION("GOOGLEFINANCE(""CURRENCY:INRBRL"")*F1356"),2618.08964449379)</f>
        <v>2618.089644</v>
      </c>
      <c r="J1356" s="1">
        <v>4.5</v>
      </c>
      <c r="K1356" s="1">
        <v>3231.0</v>
      </c>
      <c r="L1356" s="1" t="s">
        <v>5226</v>
      </c>
      <c r="M1356" s="7" t="s">
        <v>5227</v>
      </c>
    </row>
    <row r="1357">
      <c r="A1357" s="1" t="s">
        <v>5228</v>
      </c>
      <c r="B1357" s="1" t="s">
        <v>5229</v>
      </c>
      <c r="C1357" s="1" t="s">
        <v>4299</v>
      </c>
      <c r="D1357" s="1" t="str">
        <f t="shared" si="1"/>
        <v>Home&amp;Kitchen</v>
      </c>
      <c r="E1357" s="1" t="str">
        <f t="shared" si="2"/>
        <v>Kitchen&amp;HomeAppliances</v>
      </c>
      <c r="F1357" s="1">
        <v>825.0</v>
      </c>
      <c r="G1357" s="1">
        <v>825.0</v>
      </c>
      <c r="H1357" s="6">
        <f t="shared" si="3"/>
        <v>0</v>
      </c>
      <c r="I1357" s="3">
        <f>IFERROR(__xludf.DUMMYFUNCTION("GOOGLEFINANCE(""CURRENCY:INRBRL"")*F1357"),50.24364271575)</f>
        <v>50.24364272</v>
      </c>
      <c r="J1357" s="1">
        <v>4.0</v>
      </c>
      <c r="K1357" s="1">
        <v>3246.0</v>
      </c>
      <c r="L1357" s="1" t="s">
        <v>5230</v>
      </c>
      <c r="M1357" s="7" t="s">
        <v>5231</v>
      </c>
    </row>
    <row r="1358">
      <c r="A1358" s="1" t="s">
        <v>5232</v>
      </c>
      <c r="B1358" s="1" t="s">
        <v>5233</v>
      </c>
      <c r="C1358" s="1" t="s">
        <v>4153</v>
      </c>
      <c r="D1358" s="1" t="str">
        <f t="shared" si="1"/>
        <v>Home&amp;Kitchen</v>
      </c>
      <c r="E1358" s="1" t="str">
        <f t="shared" si="2"/>
        <v>Kitchen&amp;HomeAppliances</v>
      </c>
      <c r="F1358" s="1">
        <v>161.0</v>
      </c>
      <c r="G1358" s="1">
        <v>300.0</v>
      </c>
      <c r="H1358" s="6">
        <f t="shared" si="3"/>
        <v>0.4633333333</v>
      </c>
      <c r="I1358" s="3">
        <f>IFERROR(__xludf.DUMMYFUNCTION("GOOGLEFINANCE(""CURRENCY:INRBRL"")*F1358"),9.80512300271)</f>
        <v>9.805123003</v>
      </c>
      <c r="J1358" s="1">
        <v>4.51</v>
      </c>
      <c r="K1358" s="1">
        <v>24.0</v>
      </c>
      <c r="L1358" s="1" t="s">
        <v>5234</v>
      </c>
      <c r="M1358" s="7" t="s">
        <v>5235</v>
      </c>
    </row>
    <row r="1359">
      <c r="A1359" s="1" t="s">
        <v>5236</v>
      </c>
      <c r="B1359" s="1" t="s">
        <v>5237</v>
      </c>
      <c r="C1359" s="1" t="s">
        <v>3887</v>
      </c>
      <c r="D1359" s="1" t="str">
        <f t="shared" si="1"/>
        <v>Home&amp;Kitchen</v>
      </c>
      <c r="E1359" s="1" t="str">
        <f t="shared" si="2"/>
        <v>Kitchen&amp;HomeAppliances</v>
      </c>
      <c r="F1359" s="1">
        <v>697.0</v>
      </c>
      <c r="G1359" s="5">
        <v>1499.0</v>
      </c>
      <c r="H1359" s="6">
        <f t="shared" si="3"/>
        <v>0.5350233489</v>
      </c>
      <c r="I1359" s="3">
        <f>IFERROR(__xludf.DUMMYFUNCTION("GOOGLEFINANCE(""CURRENCY:INRBRL"")*F1359"),42.44826542167)</f>
        <v>42.44826542</v>
      </c>
      <c r="J1359" s="1">
        <v>4.51</v>
      </c>
      <c r="K1359" s="1">
        <v>144.0</v>
      </c>
      <c r="L1359" s="1" t="s">
        <v>5238</v>
      </c>
      <c r="M1359" s="7" t="s">
        <v>5239</v>
      </c>
    </row>
    <row r="1360">
      <c r="A1360" s="1" t="s">
        <v>5240</v>
      </c>
      <c r="B1360" s="1" t="s">
        <v>5241</v>
      </c>
      <c r="C1360" s="1" t="s">
        <v>5242</v>
      </c>
      <c r="D1360" s="1" t="str">
        <f t="shared" si="1"/>
        <v>Home&amp;Kitchen</v>
      </c>
      <c r="E1360" s="1" t="str">
        <f t="shared" si="2"/>
        <v>Kitchen&amp;HomeAppliances</v>
      </c>
      <c r="F1360" s="1">
        <v>688.0</v>
      </c>
      <c r="G1360" s="1">
        <v>747.0</v>
      </c>
      <c r="H1360" s="6">
        <f t="shared" si="3"/>
        <v>0.07898259705</v>
      </c>
      <c r="I1360" s="3">
        <f>IFERROR(__xludf.DUMMYFUNCTION("GOOGLEFINANCE(""CURRENCY:INRBRL"")*F1360"),41.90015295568)</f>
        <v>41.90015296</v>
      </c>
      <c r="J1360" s="1">
        <v>4.51</v>
      </c>
      <c r="K1360" s="1">
        <v>228.0</v>
      </c>
      <c r="L1360" s="1" t="s">
        <v>5243</v>
      </c>
      <c r="M1360" s="7" t="s">
        <v>5244</v>
      </c>
    </row>
    <row r="1361">
      <c r="A1361" s="1" t="s">
        <v>5245</v>
      </c>
      <c r="B1361" s="1" t="s">
        <v>5246</v>
      </c>
      <c r="C1361" s="1" t="s">
        <v>4201</v>
      </c>
      <c r="D1361" s="1" t="str">
        <f t="shared" si="1"/>
        <v>Home&amp;Kitchen</v>
      </c>
      <c r="E1361" s="1" t="str">
        <f t="shared" si="2"/>
        <v>Heating,Cooling&amp;AirQuality</v>
      </c>
      <c r="F1361" s="5">
        <v>2199.0</v>
      </c>
      <c r="G1361" s="5">
        <v>3999.0</v>
      </c>
      <c r="H1361" s="6">
        <f t="shared" si="3"/>
        <v>0.4501125281</v>
      </c>
      <c r="I1361" s="3">
        <f>IFERROR(__xludf.DUMMYFUNCTION("GOOGLEFINANCE(""CURRENCY:INRBRL"")*F1361"),133.92214585688998)</f>
        <v>133.9221459</v>
      </c>
      <c r="J1361" s="1">
        <v>4.5</v>
      </c>
      <c r="K1361" s="1">
        <v>340.0</v>
      </c>
      <c r="L1361" s="1" t="s">
        <v>5247</v>
      </c>
      <c r="M1361" s="7" t="s">
        <v>5248</v>
      </c>
    </row>
    <row r="1362">
      <c r="A1362" s="1" t="s">
        <v>5249</v>
      </c>
      <c r="B1362" s="1" t="s">
        <v>5250</v>
      </c>
      <c r="C1362" s="1" t="s">
        <v>3851</v>
      </c>
      <c r="D1362" s="1" t="str">
        <f t="shared" si="1"/>
        <v>Home&amp;Kitchen</v>
      </c>
      <c r="E1362" s="1" t="str">
        <f t="shared" si="2"/>
        <v>Heating,Cooling&amp;AirQuality</v>
      </c>
      <c r="F1362" s="1">
        <v>6849.0</v>
      </c>
      <c r="G1362" s="5">
        <v>11989.0</v>
      </c>
      <c r="H1362" s="6">
        <f t="shared" si="3"/>
        <v>0.4287263325</v>
      </c>
      <c r="I1362" s="3">
        <f>IFERROR(__xludf.DUMMYFUNCTION("GOOGLEFINANCE(""CURRENCY:INRBRL"")*F1362"),417.11358661839)</f>
        <v>417.1135866</v>
      </c>
      <c r="J1362" s="1">
        <v>4.52</v>
      </c>
      <c r="K1362" s="1">
        <v>144.0</v>
      </c>
      <c r="L1362" s="1" t="s">
        <v>5251</v>
      </c>
      <c r="M1362" s="7" t="s">
        <v>5252</v>
      </c>
    </row>
    <row r="1363">
      <c r="A1363" s="1" t="s">
        <v>5253</v>
      </c>
      <c r="B1363" s="1" t="s">
        <v>5254</v>
      </c>
      <c r="C1363" s="1" t="s">
        <v>3919</v>
      </c>
      <c r="D1363" s="1" t="str">
        <f t="shared" si="1"/>
        <v>Home&amp;Kitchen</v>
      </c>
      <c r="E1363" s="1" t="str">
        <f t="shared" si="2"/>
        <v>Heating,Cooling&amp;AirQuality</v>
      </c>
      <c r="F1363" s="5">
        <v>2699.0</v>
      </c>
      <c r="G1363" s="5">
        <v>3799.0</v>
      </c>
      <c r="H1363" s="6">
        <f t="shared" si="3"/>
        <v>0.2895498815</v>
      </c>
      <c r="I1363" s="3">
        <f>IFERROR(__xludf.DUMMYFUNCTION("GOOGLEFINANCE(""CURRENCY:INRBRL"")*F1363"),164.37283841189)</f>
        <v>164.3728384</v>
      </c>
      <c r="J1363" s="1">
        <v>4.0</v>
      </c>
      <c r="K1363" s="1">
        <v>727.0</v>
      </c>
      <c r="L1363" s="1" t="s">
        <v>5255</v>
      </c>
      <c r="M1363" s="7" t="s">
        <v>5256</v>
      </c>
    </row>
    <row r="1364">
      <c r="A1364" s="1" t="s">
        <v>5257</v>
      </c>
      <c r="B1364" s="1" t="s">
        <v>5258</v>
      </c>
      <c r="C1364" s="1" t="s">
        <v>5259</v>
      </c>
      <c r="D1364" s="1" t="str">
        <f t="shared" si="1"/>
        <v>Home&amp;Kitchen</v>
      </c>
      <c r="E1364" s="1" t="str">
        <f t="shared" si="2"/>
        <v>Kitchen&amp;HomeAppliances</v>
      </c>
      <c r="F1364" s="1">
        <v>899.0</v>
      </c>
      <c r="G1364" s="5">
        <v>1999.0</v>
      </c>
      <c r="H1364" s="6">
        <f t="shared" si="3"/>
        <v>0.5502751376</v>
      </c>
      <c r="I1364" s="3">
        <f>IFERROR(__xludf.DUMMYFUNCTION("GOOGLEFINANCE(""CURRENCY:INRBRL"")*F1364"),54.75034521389)</f>
        <v>54.75034521</v>
      </c>
      <c r="J1364" s="1">
        <v>4.0</v>
      </c>
      <c r="K1364" s="1">
        <v>832.0</v>
      </c>
      <c r="L1364" s="1" t="s">
        <v>5260</v>
      </c>
      <c r="M1364" s="7" t="s">
        <v>5261</v>
      </c>
    </row>
    <row r="1365">
      <c r="A1365" s="1" t="s">
        <v>5262</v>
      </c>
      <c r="B1365" s="1" t="s">
        <v>5263</v>
      </c>
      <c r="C1365" s="1" t="s">
        <v>3851</v>
      </c>
      <c r="D1365" s="1" t="str">
        <f t="shared" si="1"/>
        <v>Home&amp;Kitchen</v>
      </c>
      <c r="E1365" s="1" t="str">
        <f t="shared" si="2"/>
        <v>Heating,Cooling&amp;AirQuality</v>
      </c>
      <c r="F1365" s="5">
        <v>1089.0</v>
      </c>
      <c r="G1365" s="5">
        <v>2999.0</v>
      </c>
      <c r="H1365" s="6">
        <f t="shared" si="3"/>
        <v>0.6368789597</v>
      </c>
      <c r="I1365" s="3">
        <f>IFERROR(__xludf.DUMMYFUNCTION("GOOGLEFINANCE(""CURRENCY:INRBRL"")*F1365"),66.32160838479)</f>
        <v>66.32160838</v>
      </c>
      <c r="J1365" s="1">
        <v>4.5</v>
      </c>
      <c r="K1365" s="1">
        <v>57.0</v>
      </c>
      <c r="L1365" s="1" t="s">
        <v>5264</v>
      </c>
      <c r="M1365" s="7" t="s">
        <v>5265</v>
      </c>
    </row>
    <row r="1366">
      <c r="A1366" s="1" t="s">
        <v>5266</v>
      </c>
      <c r="B1366" s="1" t="s">
        <v>5267</v>
      </c>
      <c r="C1366" s="1" t="s">
        <v>3861</v>
      </c>
      <c r="D1366" s="1" t="str">
        <f t="shared" si="1"/>
        <v>Home&amp;Kitchen</v>
      </c>
      <c r="E1366" s="1" t="str">
        <f t="shared" si="2"/>
        <v>Kitchen&amp;HomeAppliances</v>
      </c>
      <c r="F1366" s="1">
        <v>295.0</v>
      </c>
      <c r="G1366" s="1">
        <v>599.0</v>
      </c>
      <c r="H1366" s="6">
        <f t="shared" si="3"/>
        <v>0.5075125209</v>
      </c>
      <c r="I1366" s="3">
        <f>IFERROR(__xludf.DUMMYFUNCTION("GOOGLEFINANCE(""CURRENCY:INRBRL"")*F1366"),17.96590860745)</f>
        <v>17.96590861</v>
      </c>
      <c r="J1366" s="1">
        <v>4.0</v>
      </c>
      <c r="K1366" s="1">
        <v>1644.0</v>
      </c>
      <c r="L1366" s="1" t="s">
        <v>5268</v>
      </c>
      <c r="M1366" s="7" t="s">
        <v>5269</v>
      </c>
    </row>
    <row r="1367">
      <c r="A1367" s="1" t="s">
        <v>5270</v>
      </c>
      <c r="B1367" s="1" t="s">
        <v>5271</v>
      </c>
      <c r="C1367" s="1" t="s">
        <v>3937</v>
      </c>
      <c r="D1367" s="1" t="str">
        <f t="shared" si="1"/>
        <v>Home&amp;Kitchen</v>
      </c>
      <c r="E1367" s="1" t="str">
        <f t="shared" si="2"/>
        <v>Kitchen&amp;HomeAppliances</v>
      </c>
      <c r="F1367" s="1">
        <v>479.0</v>
      </c>
      <c r="G1367" s="5">
        <v>1999.0</v>
      </c>
      <c r="H1367" s="6">
        <f t="shared" si="3"/>
        <v>0.7603801901</v>
      </c>
      <c r="I1367" s="3">
        <f>IFERROR(__xludf.DUMMYFUNCTION("GOOGLEFINANCE(""CURRENCY:INRBRL"")*F1367"),29.17176346769)</f>
        <v>29.17176347</v>
      </c>
      <c r="J1367" s="1">
        <v>4.5</v>
      </c>
      <c r="K1367" s="1">
        <v>1066.0</v>
      </c>
      <c r="L1367" s="1" t="s">
        <v>5272</v>
      </c>
      <c r="M1367" s="7" t="s">
        <v>5273</v>
      </c>
    </row>
    <row r="1368">
      <c r="A1368" s="1" t="s">
        <v>5274</v>
      </c>
      <c r="B1368" s="1" t="s">
        <v>5275</v>
      </c>
      <c r="C1368" s="1" t="s">
        <v>3919</v>
      </c>
      <c r="D1368" s="1" t="str">
        <f t="shared" si="1"/>
        <v>Home&amp;Kitchen</v>
      </c>
      <c r="E1368" s="1" t="str">
        <f t="shared" si="2"/>
        <v>Heating,Cooling&amp;AirQuality</v>
      </c>
      <c r="F1368" s="5">
        <v>2949.0</v>
      </c>
      <c r="G1368" s="5">
        <v>4849.0</v>
      </c>
      <c r="H1368" s="6">
        <f t="shared" si="3"/>
        <v>0.3918333677</v>
      </c>
      <c r="I1368" s="3">
        <f>IFERROR(__xludf.DUMMYFUNCTION("GOOGLEFINANCE(""CURRENCY:INRBRL"")*F1368"),179.59818468939)</f>
        <v>179.5981847</v>
      </c>
      <c r="J1368" s="1">
        <v>4.5</v>
      </c>
      <c r="K1368" s="1">
        <v>7968.0</v>
      </c>
      <c r="L1368" s="1" t="s">
        <v>5276</v>
      </c>
      <c r="M1368" s="7" t="s">
        <v>5277</v>
      </c>
    </row>
    <row r="1369">
      <c r="A1369" s="1" t="s">
        <v>5278</v>
      </c>
      <c r="B1369" s="1" t="s">
        <v>5279</v>
      </c>
      <c r="C1369" s="1" t="s">
        <v>3971</v>
      </c>
      <c r="D1369" s="1" t="str">
        <f t="shared" si="1"/>
        <v>Home&amp;Kitchen</v>
      </c>
      <c r="E1369" s="1" t="str">
        <f t="shared" si="2"/>
        <v>Heating,Cooling&amp;AirQuality</v>
      </c>
      <c r="F1369" s="1">
        <v>335.0</v>
      </c>
      <c r="G1369" s="1">
        <v>510.0</v>
      </c>
      <c r="H1369" s="6">
        <f t="shared" si="3"/>
        <v>0.3431372549</v>
      </c>
      <c r="I1369" s="3">
        <f>IFERROR(__xludf.DUMMYFUNCTION("GOOGLEFINANCE(""CURRENCY:INRBRL"")*F1369"),20.401964011849998)</f>
        <v>20.40196401</v>
      </c>
      <c r="J1369" s="1">
        <v>4.51</v>
      </c>
      <c r="K1369" s="1">
        <v>3195.0</v>
      </c>
      <c r="L1369" s="1" t="s">
        <v>5280</v>
      </c>
      <c r="M1369" s="7" t="s">
        <v>5281</v>
      </c>
    </row>
    <row r="1370">
      <c r="A1370" s="1" t="s">
        <v>5282</v>
      </c>
      <c r="B1370" s="1" t="s">
        <v>5283</v>
      </c>
      <c r="C1370" s="1" t="s">
        <v>4290</v>
      </c>
      <c r="D1370" s="1" t="str">
        <f t="shared" si="1"/>
        <v>Home&amp;Kitchen</v>
      </c>
      <c r="E1370" s="1" t="str">
        <f t="shared" si="2"/>
        <v>Kitchen&amp;HomeAppliances</v>
      </c>
      <c r="F1370" s="1">
        <v>293.0</v>
      </c>
      <c r="G1370" s="1">
        <v>499.0</v>
      </c>
      <c r="H1370" s="6">
        <f t="shared" si="3"/>
        <v>0.4128256513</v>
      </c>
      <c r="I1370" s="3">
        <f>IFERROR(__xludf.DUMMYFUNCTION("GOOGLEFINANCE(""CURRENCY:INRBRL"")*F1370"),17.84410583723)</f>
        <v>17.84410584</v>
      </c>
      <c r="J1370" s="1">
        <v>4.49</v>
      </c>
      <c r="K1370" s="1">
        <v>1456.0</v>
      </c>
      <c r="L1370" s="1" t="s">
        <v>5284</v>
      </c>
      <c r="M1370" s="7" t="s">
        <v>5285</v>
      </c>
    </row>
    <row r="1371">
      <c r="A1371" s="1" t="s">
        <v>5286</v>
      </c>
      <c r="B1371" s="1" t="s">
        <v>5287</v>
      </c>
      <c r="C1371" s="1" t="s">
        <v>5288</v>
      </c>
      <c r="D1371" s="1" t="str">
        <f t="shared" si="1"/>
        <v>Home&amp;Kitchen</v>
      </c>
      <c r="E1371" s="1" t="str">
        <f t="shared" si="2"/>
        <v>Kitchen&amp;HomeAppliances</v>
      </c>
      <c r="F1371" s="1">
        <v>599.0</v>
      </c>
      <c r="G1371" s="5">
        <v>1299.0</v>
      </c>
      <c r="H1371" s="6">
        <f t="shared" si="3"/>
        <v>0.5388760585</v>
      </c>
      <c r="I1371" s="3">
        <f>IFERROR(__xludf.DUMMYFUNCTION("GOOGLEFINANCE(""CURRENCY:INRBRL"")*F1371"),36.479929680889995)</f>
        <v>36.47992968</v>
      </c>
      <c r="J1371" s="1">
        <v>4.5</v>
      </c>
      <c r="K1371" s="1">
        <v>590.0</v>
      </c>
      <c r="L1371" s="1" t="s">
        <v>5289</v>
      </c>
      <c r="M1371" s="7" t="s">
        <v>5290</v>
      </c>
    </row>
    <row r="1372">
      <c r="A1372" s="1" t="s">
        <v>5291</v>
      </c>
      <c r="B1372" s="1" t="s">
        <v>5292</v>
      </c>
      <c r="C1372" s="1" t="s">
        <v>4299</v>
      </c>
      <c r="D1372" s="1" t="str">
        <f t="shared" si="1"/>
        <v>Home&amp;Kitchen</v>
      </c>
      <c r="E1372" s="1" t="str">
        <f t="shared" si="2"/>
        <v>Kitchen&amp;HomeAppliances</v>
      </c>
      <c r="F1372" s="1">
        <v>499.0</v>
      </c>
      <c r="G1372" s="1">
        <v>999.0</v>
      </c>
      <c r="H1372" s="6">
        <f t="shared" si="3"/>
        <v>0.5005005005</v>
      </c>
      <c r="I1372" s="3">
        <f>IFERROR(__xludf.DUMMYFUNCTION("GOOGLEFINANCE(""CURRENCY:INRBRL"")*F1372"),30.38979116989)</f>
        <v>30.38979117</v>
      </c>
      <c r="J1372" s="1">
        <v>4.5</v>
      </c>
      <c r="K1372" s="1">
        <v>1436.0</v>
      </c>
      <c r="L1372" s="1" t="s">
        <v>5293</v>
      </c>
      <c r="M1372" s="7" t="s">
        <v>5294</v>
      </c>
    </row>
    <row r="1373">
      <c r="A1373" s="1" t="s">
        <v>5295</v>
      </c>
      <c r="B1373" s="1" t="s">
        <v>5296</v>
      </c>
      <c r="C1373" s="1" t="s">
        <v>3909</v>
      </c>
      <c r="D1373" s="1" t="str">
        <f t="shared" si="1"/>
        <v>Home&amp;Kitchen</v>
      </c>
      <c r="E1373" s="1" t="str">
        <f t="shared" si="2"/>
        <v>Kitchen&amp;HomeAppliances</v>
      </c>
      <c r="F1373" s="1">
        <v>849.0</v>
      </c>
      <c r="G1373" s="5">
        <v>1189.0</v>
      </c>
      <c r="H1373" s="6">
        <f t="shared" si="3"/>
        <v>0.2859545837</v>
      </c>
      <c r="I1373" s="3">
        <f>IFERROR(__xludf.DUMMYFUNCTION("GOOGLEFINANCE(""CURRENCY:INRBRL"")*F1373"),51.70527595839)</f>
        <v>51.70527596</v>
      </c>
      <c r="J1373" s="1">
        <v>4.5</v>
      </c>
      <c r="K1373" s="1">
        <v>4184.0</v>
      </c>
      <c r="L1373" s="1" t="s">
        <v>5297</v>
      </c>
      <c r="M1373" s="7" t="s">
        <v>5298</v>
      </c>
    </row>
    <row r="1374">
      <c r="A1374" s="1" t="s">
        <v>5299</v>
      </c>
      <c r="B1374" s="1" t="s">
        <v>5300</v>
      </c>
      <c r="C1374" s="1" t="s">
        <v>4290</v>
      </c>
      <c r="D1374" s="1" t="str">
        <f t="shared" si="1"/>
        <v>Home&amp;Kitchen</v>
      </c>
      <c r="E1374" s="1" t="str">
        <f t="shared" si="2"/>
        <v>Kitchen&amp;HomeAppliances</v>
      </c>
      <c r="F1374" s="1">
        <v>249.0</v>
      </c>
      <c r="G1374" s="1">
        <v>400.0</v>
      </c>
      <c r="H1374" s="6">
        <f t="shared" si="3"/>
        <v>0.3775</v>
      </c>
      <c r="I1374" s="3">
        <f>IFERROR(__xludf.DUMMYFUNCTION("GOOGLEFINANCE(""CURRENCY:INRBRL"")*F1374"),15.16444489239)</f>
        <v>15.16444489</v>
      </c>
      <c r="J1374" s="1">
        <v>4.49</v>
      </c>
      <c r="K1374" s="1">
        <v>693.0</v>
      </c>
      <c r="L1374" s="1" t="s">
        <v>5301</v>
      </c>
      <c r="M1374" s="7" t="s">
        <v>5302</v>
      </c>
    </row>
    <row r="1375">
      <c r="A1375" s="1" t="s">
        <v>5303</v>
      </c>
      <c r="B1375" s="1" t="s">
        <v>5304</v>
      </c>
      <c r="C1375" s="1" t="s">
        <v>4299</v>
      </c>
      <c r="D1375" s="1" t="str">
        <f t="shared" si="1"/>
        <v>Home&amp;Kitchen</v>
      </c>
      <c r="E1375" s="1" t="str">
        <f t="shared" si="2"/>
        <v>Kitchen&amp;HomeAppliances</v>
      </c>
      <c r="F1375" s="1">
        <v>185.0</v>
      </c>
      <c r="G1375" s="1">
        <v>599.0</v>
      </c>
      <c r="H1375" s="6">
        <f t="shared" si="3"/>
        <v>0.6911519199</v>
      </c>
      <c r="I1375" s="3">
        <f>IFERROR(__xludf.DUMMYFUNCTION("GOOGLEFINANCE(""CURRENCY:INRBRL"")*F1375"),11.266756245349999)</f>
        <v>11.26675625</v>
      </c>
      <c r="J1375" s="1">
        <v>4.52</v>
      </c>
      <c r="K1375" s="1">
        <v>1306.0</v>
      </c>
      <c r="L1375" s="1" t="s">
        <v>5305</v>
      </c>
      <c r="M1375" s="7" t="s">
        <v>5306</v>
      </c>
    </row>
    <row r="1376">
      <c r="A1376" s="1" t="s">
        <v>5307</v>
      </c>
      <c r="B1376" s="1" t="s">
        <v>5308</v>
      </c>
      <c r="C1376" s="1" t="s">
        <v>3851</v>
      </c>
      <c r="D1376" s="1" t="str">
        <f t="shared" si="1"/>
        <v>Home&amp;Kitchen</v>
      </c>
      <c r="E1376" s="1" t="str">
        <f t="shared" si="2"/>
        <v>Heating,Cooling&amp;AirQuality</v>
      </c>
      <c r="F1376" s="1">
        <v>778.0</v>
      </c>
      <c r="G1376" s="1">
        <v>999.0</v>
      </c>
      <c r="H1376" s="6">
        <f t="shared" si="3"/>
        <v>0.2212212212</v>
      </c>
      <c r="I1376" s="3">
        <f>IFERROR(__xludf.DUMMYFUNCTION("GOOGLEFINANCE(""CURRENCY:INRBRL"")*F1376"),47.38127761558)</f>
        <v>47.38127762</v>
      </c>
      <c r="J1376" s="1">
        <v>4.5</v>
      </c>
      <c r="K1376" s="1">
        <v>8.0</v>
      </c>
      <c r="L1376" s="1" t="s">
        <v>5309</v>
      </c>
      <c r="M1376" s="7" t="s">
        <v>5310</v>
      </c>
    </row>
    <row r="1377">
      <c r="A1377" s="1" t="s">
        <v>5311</v>
      </c>
      <c r="B1377" s="1" t="s">
        <v>5312</v>
      </c>
      <c r="C1377" s="1" t="s">
        <v>5313</v>
      </c>
      <c r="D1377" s="1" t="str">
        <f t="shared" si="1"/>
        <v>Home&amp;Kitchen</v>
      </c>
      <c r="E1377" s="1" t="str">
        <f t="shared" si="2"/>
        <v>Kitchen&amp;HomeAppliances</v>
      </c>
      <c r="F1377" s="1">
        <v>279.0</v>
      </c>
      <c r="G1377" s="1">
        <v>699.0</v>
      </c>
      <c r="H1377" s="6">
        <f t="shared" si="3"/>
        <v>0.6008583691</v>
      </c>
      <c r="I1377" s="3">
        <f>IFERROR(__xludf.DUMMYFUNCTION("GOOGLEFINANCE(""CURRENCY:INRBRL"")*F1377"),16.99148644569)</f>
        <v>16.99148645</v>
      </c>
      <c r="J1377" s="1">
        <v>4.5</v>
      </c>
      <c r="K1377" s="1">
        <v>2326.0</v>
      </c>
      <c r="L1377" s="1" t="s">
        <v>5314</v>
      </c>
      <c r="M1377" s="7" t="s">
        <v>5315</v>
      </c>
    </row>
    <row r="1378">
      <c r="A1378" s="1" t="s">
        <v>5316</v>
      </c>
      <c r="B1378" s="1" t="s">
        <v>5317</v>
      </c>
      <c r="C1378" s="1" t="s">
        <v>4299</v>
      </c>
      <c r="D1378" s="1" t="str">
        <f t="shared" si="1"/>
        <v>Home&amp;Kitchen</v>
      </c>
      <c r="E1378" s="1" t="str">
        <f t="shared" si="2"/>
        <v>Kitchen&amp;HomeAppliances</v>
      </c>
      <c r="F1378" s="1">
        <v>215.0</v>
      </c>
      <c r="G1378" s="5">
        <v>1499.0</v>
      </c>
      <c r="H1378" s="6">
        <f t="shared" si="3"/>
        <v>0.8565710474</v>
      </c>
      <c r="I1378" s="3">
        <f>IFERROR(__xludf.DUMMYFUNCTION("GOOGLEFINANCE(""CURRENCY:INRBRL"")*F1378"),13.09379779865)</f>
        <v>13.0937978</v>
      </c>
      <c r="J1378" s="1">
        <v>4.52</v>
      </c>
      <c r="K1378" s="1">
        <v>1004.0</v>
      </c>
      <c r="L1378" s="1" t="s">
        <v>5318</v>
      </c>
      <c r="M1378" s="7" t="s">
        <v>5319</v>
      </c>
    </row>
    <row r="1379">
      <c r="A1379" s="1" t="s">
        <v>5320</v>
      </c>
      <c r="B1379" s="1" t="s">
        <v>5321</v>
      </c>
      <c r="C1379" s="1" t="s">
        <v>3909</v>
      </c>
      <c r="D1379" s="1" t="str">
        <f t="shared" si="1"/>
        <v>Home&amp;Kitchen</v>
      </c>
      <c r="E1379" s="1" t="str">
        <f t="shared" si="2"/>
        <v>Kitchen&amp;HomeAppliances</v>
      </c>
      <c r="F1379" s="1">
        <v>889.0</v>
      </c>
      <c r="G1379" s="5">
        <v>1295.0</v>
      </c>
      <c r="H1379" s="6">
        <f t="shared" si="3"/>
        <v>0.3135135135</v>
      </c>
      <c r="I1379" s="3">
        <f>IFERROR(__xludf.DUMMYFUNCTION("GOOGLEFINANCE(""CURRENCY:INRBRL"")*F1379"),54.14133136279)</f>
        <v>54.14133136</v>
      </c>
      <c r="J1379" s="1">
        <v>4.5</v>
      </c>
      <c r="K1379" s="1">
        <v>64.0</v>
      </c>
      <c r="L1379" s="1" t="s">
        <v>5322</v>
      </c>
      <c r="M1379" s="7" t="s">
        <v>5323</v>
      </c>
    </row>
    <row r="1380">
      <c r="A1380" s="1" t="s">
        <v>5324</v>
      </c>
      <c r="B1380" s="1" t="s">
        <v>5325</v>
      </c>
      <c r="C1380" s="1" t="s">
        <v>3919</v>
      </c>
      <c r="D1380" s="1" t="str">
        <f t="shared" si="1"/>
        <v>Home&amp;Kitchen</v>
      </c>
      <c r="E1380" s="1" t="str">
        <f t="shared" si="2"/>
        <v>Heating,Cooling&amp;AirQuality</v>
      </c>
      <c r="F1380" s="5">
        <v>1449.0</v>
      </c>
      <c r="G1380" s="5">
        <v>4999.0</v>
      </c>
      <c r="H1380" s="6">
        <f t="shared" si="3"/>
        <v>0.7101420284</v>
      </c>
      <c r="I1380" s="3">
        <f>IFERROR(__xludf.DUMMYFUNCTION("GOOGLEFINANCE(""CURRENCY:INRBRL"")*F1380"),88.24610702439)</f>
        <v>88.24610702</v>
      </c>
      <c r="J1380" s="1">
        <v>4.51</v>
      </c>
      <c r="K1380" s="1">
        <v>63.0</v>
      </c>
      <c r="L1380" s="1" t="s">
        <v>5326</v>
      </c>
      <c r="M1380" s="7" t="s">
        <v>5327</v>
      </c>
    </row>
    <row r="1381">
      <c r="A1381" s="1" t="s">
        <v>5328</v>
      </c>
      <c r="B1381" s="1" t="s">
        <v>5329</v>
      </c>
      <c r="C1381" s="1" t="s">
        <v>3919</v>
      </c>
      <c r="D1381" s="1" t="str">
        <f t="shared" si="1"/>
        <v>Home&amp;Kitchen</v>
      </c>
      <c r="E1381" s="1" t="str">
        <f t="shared" si="2"/>
        <v>Heating,Cooling&amp;AirQuality</v>
      </c>
      <c r="F1381" s="5">
        <v>1189.0</v>
      </c>
      <c r="G1381" s="5">
        <v>2549.0</v>
      </c>
      <c r="H1381" s="6">
        <f t="shared" si="3"/>
        <v>0.5335425657</v>
      </c>
      <c r="I1381" s="3">
        <f>IFERROR(__xludf.DUMMYFUNCTION("GOOGLEFINANCE(""CURRENCY:INRBRL"")*F1381"),72.41174689579)</f>
        <v>72.4117469</v>
      </c>
      <c r="J1381" s="1">
        <v>4.51</v>
      </c>
      <c r="K1381" s="1">
        <v>1181.0</v>
      </c>
      <c r="L1381" s="1" t="s">
        <v>5330</v>
      </c>
      <c r="M1381" s="7" t="s">
        <v>5331</v>
      </c>
    </row>
    <row r="1382">
      <c r="A1382" s="1" t="s">
        <v>5332</v>
      </c>
      <c r="B1382" s="1" t="s">
        <v>5333</v>
      </c>
      <c r="C1382" s="1" t="s">
        <v>4488</v>
      </c>
      <c r="D1382" s="1" t="str">
        <f t="shared" si="1"/>
        <v>Home&amp;Kitchen</v>
      </c>
      <c r="E1382" s="1" t="str">
        <f t="shared" si="2"/>
        <v>Kitchen&amp;HomeAppliances</v>
      </c>
      <c r="F1382" s="5">
        <v>1799.0</v>
      </c>
      <c r="G1382" s="5">
        <v>1949.0</v>
      </c>
      <c r="H1382" s="6">
        <f t="shared" si="3"/>
        <v>0.07696254489</v>
      </c>
      <c r="I1382" s="3">
        <f>IFERROR(__xludf.DUMMYFUNCTION("GOOGLEFINANCE(""CURRENCY:INRBRL"")*F1382"),109.56159181289)</f>
        <v>109.5615918</v>
      </c>
      <c r="J1382" s="1">
        <v>4.52</v>
      </c>
      <c r="K1382" s="1">
        <v>1888.0</v>
      </c>
      <c r="L1382" s="1" t="s">
        <v>5334</v>
      </c>
      <c r="M1382" s="7" t="s">
        <v>5335</v>
      </c>
    </row>
    <row r="1383">
      <c r="A1383" s="1" t="s">
        <v>5336</v>
      </c>
      <c r="B1383" s="1" t="s">
        <v>5337</v>
      </c>
      <c r="C1383" s="1" t="s">
        <v>3914</v>
      </c>
      <c r="D1383" s="1" t="str">
        <f t="shared" si="1"/>
        <v>Home&amp;Kitchen</v>
      </c>
      <c r="E1383" s="1" t="str">
        <f t="shared" si="2"/>
        <v>Kitchen&amp;HomeAppliances</v>
      </c>
      <c r="F1383" s="5">
        <v>6119.0</v>
      </c>
      <c r="G1383" s="5">
        <v>8478.0</v>
      </c>
      <c r="H1383" s="6">
        <f t="shared" si="3"/>
        <v>0.2782495872</v>
      </c>
      <c r="I1383" s="3">
        <f>IFERROR(__xludf.DUMMYFUNCTION("GOOGLEFINANCE(""CURRENCY:INRBRL"")*F1383"),372.65557548809)</f>
        <v>372.6555755</v>
      </c>
      <c r="J1383" s="1">
        <v>4.51</v>
      </c>
      <c r="K1383" s="1">
        <v>655.0</v>
      </c>
      <c r="L1383" s="1" t="s">
        <v>5338</v>
      </c>
      <c r="M1383" s="7" t="s">
        <v>5339</v>
      </c>
    </row>
    <row r="1384">
      <c r="A1384" s="1" t="s">
        <v>5340</v>
      </c>
      <c r="B1384" s="1" t="s">
        <v>5341</v>
      </c>
      <c r="C1384" s="1" t="s">
        <v>3914</v>
      </c>
      <c r="D1384" s="1" t="str">
        <f t="shared" si="1"/>
        <v>Home&amp;Kitchen</v>
      </c>
      <c r="E1384" s="1" t="str">
        <f t="shared" si="2"/>
        <v>Kitchen&amp;HomeAppliances</v>
      </c>
      <c r="F1384" s="5">
        <v>1799.0</v>
      </c>
      <c r="G1384" s="5">
        <v>3299.0</v>
      </c>
      <c r="H1384" s="6">
        <f t="shared" si="3"/>
        <v>0.4546832373</v>
      </c>
      <c r="I1384" s="3">
        <f>IFERROR(__xludf.DUMMYFUNCTION("GOOGLEFINANCE(""CURRENCY:INRBRL"")*F1384"),109.56159181289)</f>
        <v>109.5615918</v>
      </c>
      <c r="J1384" s="1">
        <v>4.51</v>
      </c>
      <c r="K1384" s="1">
        <v>1846.0</v>
      </c>
      <c r="L1384" s="1" t="s">
        <v>5342</v>
      </c>
      <c r="M1384" s="7" t="s">
        <v>5343</v>
      </c>
    </row>
    <row r="1385">
      <c r="A1385" s="1" t="s">
        <v>5344</v>
      </c>
      <c r="B1385" s="1" t="s">
        <v>5345</v>
      </c>
      <c r="C1385" s="1" t="s">
        <v>3914</v>
      </c>
      <c r="D1385" s="1" t="str">
        <f t="shared" si="1"/>
        <v>Home&amp;Kitchen</v>
      </c>
      <c r="E1385" s="1" t="str">
        <f t="shared" si="2"/>
        <v>Kitchen&amp;HomeAppliances</v>
      </c>
      <c r="F1385" s="5">
        <v>2199.0</v>
      </c>
      <c r="G1385" s="5">
        <v>3895.0</v>
      </c>
      <c r="H1385" s="6">
        <f t="shared" si="3"/>
        <v>0.4354300385</v>
      </c>
      <c r="I1385" s="3">
        <f>IFERROR(__xludf.DUMMYFUNCTION("GOOGLEFINANCE(""CURRENCY:INRBRL"")*F1385"),133.92214585688998)</f>
        <v>133.9221459</v>
      </c>
      <c r="J1385" s="1">
        <v>4.52</v>
      </c>
      <c r="K1385" s="1">
        <v>1085.0</v>
      </c>
      <c r="L1385" s="1" t="s">
        <v>5346</v>
      </c>
      <c r="M1385" s="7" t="s">
        <v>5347</v>
      </c>
    </row>
    <row r="1386">
      <c r="A1386" s="1" t="s">
        <v>5348</v>
      </c>
      <c r="B1386" s="1" t="s">
        <v>5349</v>
      </c>
      <c r="C1386" s="1" t="s">
        <v>4325</v>
      </c>
      <c r="D1386" s="1" t="str">
        <f t="shared" si="1"/>
        <v>Home&amp;Kitchen</v>
      </c>
      <c r="E1386" s="1" t="str">
        <f t="shared" si="2"/>
        <v>Kitchen&amp;HomeAppliances</v>
      </c>
      <c r="F1386" s="5">
        <v>3685.0</v>
      </c>
      <c r="G1386" s="5">
        <v>5495.0</v>
      </c>
      <c r="H1386" s="6">
        <f t="shared" si="3"/>
        <v>0.3293903549</v>
      </c>
      <c r="I1386" s="3">
        <f>IFERROR(__xludf.DUMMYFUNCTION("GOOGLEFINANCE(""CURRENCY:INRBRL"")*F1386"),224.42160413035)</f>
        <v>224.4216041</v>
      </c>
      <c r="J1386" s="1">
        <v>4.49</v>
      </c>
      <c r="K1386" s="1">
        <v>290.0</v>
      </c>
      <c r="L1386" s="1" t="s">
        <v>5350</v>
      </c>
      <c r="M1386" s="7" t="s">
        <v>5351</v>
      </c>
    </row>
    <row r="1387">
      <c r="A1387" s="1" t="s">
        <v>5352</v>
      </c>
      <c r="B1387" s="1" t="s">
        <v>5353</v>
      </c>
      <c r="C1387" s="1" t="s">
        <v>4011</v>
      </c>
      <c r="D1387" s="1" t="str">
        <f t="shared" si="1"/>
        <v>Home&amp;Kitchen</v>
      </c>
      <c r="E1387" s="1" t="str">
        <f t="shared" si="2"/>
        <v>Kitchen&amp;HomeAppliances</v>
      </c>
      <c r="F1387" s="1">
        <v>649.0</v>
      </c>
      <c r="G1387" s="1">
        <v>999.0</v>
      </c>
      <c r="H1387" s="6">
        <f t="shared" si="3"/>
        <v>0.3503503504</v>
      </c>
      <c r="I1387" s="3">
        <f>IFERROR(__xludf.DUMMYFUNCTION("GOOGLEFINANCE(""CURRENCY:INRBRL"")*F1387"),39.52499893639)</f>
        <v>39.52499894</v>
      </c>
      <c r="J1387" s="1">
        <v>4.51</v>
      </c>
      <c r="K1387" s="1">
        <v>4.0</v>
      </c>
      <c r="L1387" s="1" t="s">
        <v>5354</v>
      </c>
      <c r="M1387" s="7" t="s">
        <v>5355</v>
      </c>
    </row>
    <row r="1388">
      <c r="A1388" s="1" t="s">
        <v>5356</v>
      </c>
      <c r="B1388" s="1" t="s">
        <v>5357</v>
      </c>
      <c r="C1388" s="1" t="s">
        <v>4622</v>
      </c>
      <c r="D1388" s="1" t="str">
        <f t="shared" si="1"/>
        <v>Home&amp;Kitchen</v>
      </c>
      <c r="E1388" s="1" t="str">
        <f t="shared" si="2"/>
        <v>Kitchen&amp;HomeAppliances</v>
      </c>
      <c r="F1388" s="5">
        <v>8599.0</v>
      </c>
      <c r="G1388" s="5">
        <v>8995.0</v>
      </c>
      <c r="H1388" s="6">
        <f t="shared" si="3"/>
        <v>0.04402445803</v>
      </c>
      <c r="I1388" s="3">
        <f>IFERROR(__xludf.DUMMYFUNCTION("GOOGLEFINANCE(""CURRENCY:INRBRL"")*F1388"),523.6910105608899)</f>
        <v>523.6910106</v>
      </c>
      <c r="J1388" s="1">
        <v>4.5</v>
      </c>
      <c r="K1388" s="1">
        <v>9734.0</v>
      </c>
      <c r="L1388" s="1" t="s">
        <v>5358</v>
      </c>
      <c r="M1388" s="7" t="s">
        <v>5359</v>
      </c>
    </row>
    <row r="1389">
      <c r="A1389" s="1" t="s">
        <v>5360</v>
      </c>
      <c r="B1389" s="1" t="s">
        <v>5361</v>
      </c>
      <c r="C1389" s="1" t="s">
        <v>3909</v>
      </c>
      <c r="D1389" s="1" t="str">
        <f t="shared" si="1"/>
        <v>Home&amp;Kitchen</v>
      </c>
      <c r="E1389" s="1" t="str">
        <f t="shared" si="2"/>
        <v>Kitchen&amp;HomeAppliances</v>
      </c>
      <c r="F1389" s="5">
        <v>1109.0</v>
      </c>
      <c r="G1389" s="5">
        <v>1599.0</v>
      </c>
      <c r="H1389" s="6">
        <f t="shared" si="3"/>
        <v>0.306441526</v>
      </c>
      <c r="I1389" s="3">
        <f>IFERROR(__xludf.DUMMYFUNCTION("GOOGLEFINANCE(""CURRENCY:INRBRL"")*F1389"),67.53963608699)</f>
        <v>67.53963609</v>
      </c>
      <c r="J1389" s="1">
        <v>4.5</v>
      </c>
      <c r="K1389" s="1">
        <v>4022.0</v>
      </c>
      <c r="L1389" s="1" t="s">
        <v>5362</v>
      </c>
      <c r="M1389" s="7" t="s">
        <v>5363</v>
      </c>
    </row>
    <row r="1390">
      <c r="A1390" s="1" t="s">
        <v>5364</v>
      </c>
      <c r="B1390" s="1" t="s">
        <v>5365</v>
      </c>
      <c r="C1390" s="1" t="s">
        <v>3919</v>
      </c>
      <c r="D1390" s="1" t="str">
        <f t="shared" si="1"/>
        <v>Home&amp;Kitchen</v>
      </c>
      <c r="E1390" s="1" t="str">
        <f t="shared" si="2"/>
        <v>Heating,Cooling&amp;AirQuality</v>
      </c>
      <c r="F1390" s="5">
        <v>1499.0</v>
      </c>
      <c r="G1390" s="5">
        <v>3499.0</v>
      </c>
      <c r="H1390" s="6">
        <f t="shared" si="3"/>
        <v>0.5715918834</v>
      </c>
      <c r="I1390" s="3">
        <f>IFERROR(__xludf.DUMMYFUNCTION("GOOGLEFINANCE(""CURRENCY:INRBRL"")*F1390"),91.29117627989)</f>
        <v>91.29117628</v>
      </c>
      <c r="J1390" s="1">
        <v>4.51</v>
      </c>
      <c r="K1390" s="1">
        <v>2591.0</v>
      </c>
      <c r="L1390" s="1" t="s">
        <v>5366</v>
      </c>
      <c r="M1390" s="7" t="s">
        <v>5367</v>
      </c>
    </row>
    <row r="1391">
      <c r="A1391" s="1" t="s">
        <v>5368</v>
      </c>
      <c r="B1391" s="1" t="s">
        <v>5369</v>
      </c>
      <c r="C1391" s="1" t="s">
        <v>3861</v>
      </c>
      <c r="D1391" s="1" t="str">
        <f t="shared" si="1"/>
        <v>Home&amp;Kitchen</v>
      </c>
      <c r="E1391" s="1" t="str">
        <f t="shared" si="2"/>
        <v>Kitchen&amp;HomeAppliances</v>
      </c>
      <c r="F1391" s="1">
        <v>759.0</v>
      </c>
      <c r="G1391" s="5">
        <v>1999.0</v>
      </c>
      <c r="H1391" s="6">
        <f t="shared" si="3"/>
        <v>0.6203101551</v>
      </c>
      <c r="I1391" s="3">
        <f>IFERROR(__xludf.DUMMYFUNCTION("GOOGLEFINANCE(""CURRENCY:INRBRL"")*F1391"),46.22415129849)</f>
        <v>46.2241513</v>
      </c>
      <c r="J1391" s="1">
        <v>4.5</v>
      </c>
      <c r="K1391" s="1">
        <v>532.0</v>
      </c>
      <c r="L1391" s="1" t="s">
        <v>5370</v>
      </c>
      <c r="M1391" s="7" t="s">
        <v>5371</v>
      </c>
    </row>
    <row r="1392">
      <c r="A1392" s="1" t="s">
        <v>5372</v>
      </c>
      <c r="B1392" s="1" t="s">
        <v>5373</v>
      </c>
      <c r="C1392" s="1" t="s">
        <v>4024</v>
      </c>
      <c r="D1392" s="1" t="str">
        <f t="shared" si="1"/>
        <v>Home&amp;Kitchen</v>
      </c>
      <c r="E1392" s="1" t="str">
        <f t="shared" si="2"/>
        <v>Kitchen&amp;HomeAppliances</v>
      </c>
      <c r="F1392" s="5">
        <v>2669.0</v>
      </c>
      <c r="G1392" s="5">
        <v>3199.0</v>
      </c>
      <c r="H1392" s="6">
        <f t="shared" si="3"/>
        <v>0.165676774</v>
      </c>
      <c r="I1392" s="3">
        <f>IFERROR(__xludf.DUMMYFUNCTION("GOOGLEFINANCE(""CURRENCY:INRBRL"")*F1392"),162.54579685859)</f>
        <v>162.5457969</v>
      </c>
      <c r="J1392" s="1">
        <v>4.52</v>
      </c>
      <c r="K1392" s="1">
        <v>260.0</v>
      </c>
      <c r="L1392" s="1" t="s">
        <v>5374</v>
      </c>
      <c r="M1392" s="7" t="s">
        <v>5375</v>
      </c>
    </row>
    <row r="1393">
      <c r="A1393" s="1" t="s">
        <v>5376</v>
      </c>
      <c r="B1393" s="1" t="s">
        <v>5377</v>
      </c>
      <c r="C1393" s="1" t="s">
        <v>4062</v>
      </c>
      <c r="D1393" s="1" t="str">
        <f t="shared" si="1"/>
        <v>Home&amp;Kitchen</v>
      </c>
      <c r="E1393" s="1" t="str">
        <f t="shared" si="2"/>
        <v>Kitchen&amp;HomeAppliances</v>
      </c>
      <c r="F1393" s="1">
        <v>929.0</v>
      </c>
      <c r="G1393" s="5">
        <v>1299.0</v>
      </c>
      <c r="H1393" s="6">
        <f t="shared" si="3"/>
        <v>0.2848344881</v>
      </c>
      <c r="I1393" s="3">
        <f>IFERROR(__xludf.DUMMYFUNCTION("GOOGLEFINANCE(""CURRENCY:INRBRL"")*F1393"),56.57738676719)</f>
        <v>56.57738677</v>
      </c>
      <c r="J1393" s="1">
        <v>4.52</v>
      </c>
      <c r="K1393" s="1">
        <v>1672.0</v>
      </c>
      <c r="L1393" s="1" t="s">
        <v>5378</v>
      </c>
      <c r="M1393" s="7" t="s">
        <v>5379</v>
      </c>
    </row>
    <row r="1394">
      <c r="A1394" s="1" t="s">
        <v>5380</v>
      </c>
      <c r="B1394" s="1" t="s">
        <v>5381</v>
      </c>
      <c r="C1394" s="1" t="s">
        <v>3989</v>
      </c>
      <c r="D1394" s="1" t="str">
        <f t="shared" si="1"/>
        <v>Home&amp;Kitchen</v>
      </c>
      <c r="E1394" s="1" t="str">
        <f t="shared" si="2"/>
        <v>HomeStorage&amp;Organization</v>
      </c>
      <c r="F1394" s="1">
        <v>199.0</v>
      </c>
      <c r="G1394" s="1">
        <v>399.0</v>
      </c>
      <c r="H1394" s="6">
        <f t="shared" si="3"/>
        <v>0.5012531328</v>
      </c>
      <c r="I1394" s="3">
        <f>IFERROR(__xludf.DUMMYFUNCTION("GOOGLEFINANCE(""CURRENCY:INRBRL"")*F1394"),12.11937563689)</f>
        <v>12.11937564</v>
      </c>
      <c r="J1394" s="1">
        <v>4.51</v>
      </c>
      <c r="K1394" s="1">
        <v>7945.0</v>
      </c>
      <c r="L1394" s="1" t="s">
        <v>5382</v>
      </c>
      <c r="M1394" s="7" t="s">
        <v>5383</v>
      </c>
    </row>
    <row r="1395">
      <c r="A1395" s="1" t="s">
        <v>5384</v>
      </c>
      <c r="B1395" s="1" t="s">
        <v>5385</v>
      </c>
      <c r="C1395" s="1" t="s">
        <v>3856</v>
      </c>
      <c r="D1395" s="1" t="str">
        <f t="shared" si="1"/>
        <v>Home&amp;Kitchen</v>
      </c>
      <c r="E1395" s="1" t="str">
        <f t="shared" si="2"/>
        <v>Kitchen&amp;HomeAppliances</v>
      </c>
      <c r="F1395" s="1">
        <v>279.0</v>
      </c>
      <c r="G1395" s="1">
        <v>599.0</v>
      </c>
      <c r="H1395" s="6">
        <f t="shared" si="3"/>
        <v>0.5342237062</v>
      </c>
      <c r="I1395" s="3">
        <f>IFERROR(__xludf.DUMMYFUNCTION("GOOGLEFINANCE(""CURRENCY:INRBRL"")*F1395"),16.99148644569)</f>
        <v>16.99148645</v>
      </c>
      <c r="J1395" s="1">
        <v>4.5</v>
      </c>
      <c r="K1395" s="1">
        <v>1367.0</v>
      </c>
      <c r="L1395" s="1" t="s">
        <v>5386</v>
      </c>
      <c r="M1395" s="7" t="s">
        <v>5387</v>
      </c>
    </row>
    <row r="1396">
      <c r="A1396" s="1" t="s">
        <v>5388</v>
      </c>
      <c r="B1396" s="1" t="s">
        <v>5389</v>
      </c>
      <c r="C1396" s="1" t="s">
        <v>3904</v>
      </c>
      <c r="D1396" s="1" t="str">
        <f t="shared" si="1"/>
        <v>Home&amp;Kitchen</v>
      </c>
      <c r="E1396" s="1" t="str">
        <f t="shared" si="2"/>
        <v>Kitchen&amp;HomeAppliances</v>
      </c>
      <c r="F1396" s="1">
        <v>549.0</v>
      </c>
      <c r="G1396" s="1">
        <v>999.0</v>
      </c>
      <c r="H1396" s="6">
        <f t="shared" si="3"/>
        <v>0.4504504505</v>
      </c>
      <c r="I1396" s="3">
        <f>IFERROR(__xludf.DUMMYFUNCTION("GOOGLEFINANCE(""CURRENCY:INRBRL"")*F1396"),33.43486042539)</f>
        <v>33.43486043</v>
      </c>
      <c r="J1396" s="1">
        <v>4.0</v>
      </c>
      <c r="K1396" s="1">
        <v>1313.0</v>
      </c>
      <c r="L1396" s="1" t="s">
        <v>5390</v>
      </c>
      <c r="M1396" s="7" t="s">
        <v>5391</v>
      </c>
    </row>
    <row r="1397">
      <c r="A1397" s="1" t="s">
        <v>5392</v>
      </c>
      <c r="B1397" s="1" t="s">
        <v>5393</v>
      </c>
      <c r="C1397" s="1" t="s">
        <v>4583</v>
      </c>
      <c r="D1397" s="1" t="str">
        <f t="shared" si="1"/>
        <v>Home&amp;Kitchen</v>
      </c>
      <c r="E1397" s="1" t="str">
        <f t="shared" si="2"/>
        <v>HomeStorage&amp;Organization</v>
      </c>
      <c r="F1397" s="1">
        <v>85.0</v>
      </c>
      <c r="G1397" s="1">
        <v>199.0</v>
      </c>
      <c r="H1397" s="6">
        <f t="shared" si="3"/>
        <v>0.5728643216</v>
      </c>
      <c r="I1397" s="3">
        <f>IFERROR(__xludf.DUMMYFUNCTION("GOOGLEFINANCE(""CURRENCY:INRBRL"")*F1397"),5.17661773435)</f>
        <v>5.176617734</v>
      </c>
      <c r="J1397" s="1">
        <v>4.49</v>
      </c>
      <c r="K1397" s="1">
        <v>212.0</v>
      </c>
      <c r="L1397" s="1" t="s">
        <v>5394</v>
      </c>
      <c r="M1397" s="7" t="s">
        <v>5395</v>
      </c>
    </row>
    <row r="1398">
      <c r="A1398" s="1" t="s">
        <v>5396</v>
      </c>
      <c r="B1398" s="1" t="s">
        <v>5397</v>
      </c>
      <c r="C1398" s="1" t="s">
        <v>4011</v>
      </c>
      <c r="D1398" s="1" t="str">
        <f t="shared" si="1"/>
        <v>Home&amp;Kitchen</v>
      </c>
      <c r="E1398" s="1" t="str">
        <f t="shared" si="2"/>
        <v>Kitchen&amp;HomeAppliances</v>
      </c>
      <c r="F1398" s="1">
        <v>499.0</v>
      </c>
      <c r="G1398" s="5">
        <v>1299.0</v>
      </c>
      <c r="H1398" s="6">
        <f t="shared" si="3"/>
        <v>0.6158583526</v>
      </c>
      <c r="I1398" s="3">
        <f>IFERROR(__xludf.DUMMYFUNCTION("GOOGLEFINANCE(""CURRENCY:INRBRL"")*F1398"),30.38979116989)</f>
        <v>30.38979117</v>
      </c>
      <c r="J1398" s="1">
        <v>4.52</v>
      </c>
      <c r="K1398" s="1">
        <v>65.0</v>
      </c>
      <c r="L1398" s="1" t="s">
        <v>5398</v>
      </c>
      <c r="M1398" s="7" t="s">
        <v>5399</v>
      </c>
    </row>
    <row r="1399">
      <c r="A1399" s="1" t="s">
        <v>5400</v>
      </c>
      <c r="B1399" s="1" t="s">
        <v>5401</v>
      </c>
      <c r="C1399" s="1" t="s">
        <v>4011</v>
      </c>
      <c r="D1399" s="1" t="str">
        <f t="shared" si="1"/>
        <v>Home&amp;Kitchen</v>
      </c>
      <c r="E1399" s="1" t="str">
        <f t="shared" si="2"/>
        <v>Kitchen&amp;HomeAppliances</v>
      </c>
      <c r="F1399" s="5">
        <v>5865.0</v>
      </c>
      <c r="G1399" s="5">
        <v>7776.0</v>
      </c>
      <c r="H1399" s="6">
        <f t="shared" si="3"/>
        <v>0.2457561728</v>
      </c>
      <c r="I1399" s="3">
        <f>IFERROR(__xludf.DUMMYFUNCTION("GOOGLEFINANCE(""CURRENCY:INRBRL"")*F1399"),357.18662367014997)</f>
        <v>357.1866237</v>
      </c>
      <c r="J1399" s="1">
        <v>4.5</v>
      </c>
      <c r="K1399" s="1">
        <v>2737.0</v>
      </c>
      <c r="L1399" s="1" t="s">
        <v>5402</v>
      </c>
      <c r="M1399" s="7" t="s">
        <v>5403</v>
      </c>
    </row>
    <row r="1400">
      <c r="A1400" s="1" t="s">
        <v>5404</v>
      </c>
      <c r="B1400" s="1" t="s">
        <v>5405</v>
      </c>
      <c r="C1400" s="1" t="s">
        <v>3841</v>
      </c>
      <c r="D1400" s="1" t="str">
        <f t="shared" si="1"/>
        <v>Home&amp;Kitchen</v>
      </c>
      <c r="E1400" s="1" t="str">
        <f t="shared" si="2"/>
        <v>Kitchen&amp;HomeAppliances</v>
      </c>
      <c r="F1400" s="5">
        <v>1259.0</v>
      </c>
      <c r="G1400" s="5">
        <v>2299.0</v>
      </c>
      <c r="H1400" s="6">
        <f t="shared" si="3"/>
        <v>0.4523705959</v>
      </c>
      <c r="I1400" s="3">
        <f>IFERROR(__xludf.DUMMYFUNCTION("GOOGLEFINANCE(""CURRENCY:INRBRL"")*F1400"),76.67484385349)</f>
        <v>76.67484385</v>
      </c>
      <c r="J1400" s="1">
        <v>4.5</v>
      </c>
      <c r="K1400" s="1">
        <v>55.0</v>
      </c>
      <c r="L1400" s="1" t="s">
        <v>5406</v>
      </c>
      <c r="M1400" s="7" t="s">
        <v>5407</v>
      </c>
    </row>
    <row r="1401">
      <c r="A1401" s="1" t="s">
        <v>5408</v>
      </c>
      <c r="B1401" s="1" t="s">
        <v>5409</v>
      </c>
      <c r="C1401" s="1" t="s">
        <v>5410</v>
      </c>
      <c r="D1401" s="1" t="str">
        <f t="shared" si="1"/>
        <v>Home&amp;Kitchen</v>
      </c>
      <c r="E1401" s="1" t="str">
        <f t="shared" si="2"/>
        <v>Kitchen&amp;HomeAppliances</v>
      </c>
      <c r="F1401" s="5">
        <v>1099.0</v>
      </c>
      <c r="G1401" s="5">
        <v>1499.0</v>
      </c>
      <c r="H1401" s="6">
        <f t="shared" si="3"/>
        <v>0.266844563</v>
      </c>
      <c r="I1401" s="3">
        <f>IFERROR(__xludf.DUMMYFUNCTION("GOOGLEFINANCE(""CURRENCY:INRBRL"")*F1401"),66.93062223589)</f>
        <v>66.93062224</v>
      </c>
      <c r="J1401" s="1">
        <v>4.51</v>
      </c>
      <c r="K1401" s="1">
        <v>1065.0</v>
      </c>
      <c r="L1401" s="1" t="s">
        <v>5411</v>
      </c>
      <c r="M1401" s="7" t="s">
        <v>5412</v>
      </c>
    </row>
    <row r="1402">
      <c r="A1402" s="1" t="s">
        <v>5413</v>
      </c>
      <c r="B1402" s="1" t="s">
        <v>5414</v>
      </c>
      <c r="C1402" s="1" t="s">
        <v>4062</v>
      </c>
      <c r="D1402" s="1" t="str">
        <f t="shared" si="1"/>
        <v>Home&amp;Kitchen</v>
      </c>
      <c r="E1402" s="1" t="str">
        <f t="shared" si="2"/>
        <v>Kitchen&amp;HomeAppliances</v>
      </c>
      <c r="F1402" s="5">
        <v>1928.0</v>
      </c>
      <c r="G1402" s="5">
        <v>2589.0</v>
      </c>
      <c r="H1402" s="6">
        <f t="shared" si="3"/>
        <v>0.2553109309</v>
      </c>
      <c r="I1402" s="3">
        <f>IFERROR(__xludf.DUMMYFUNCTION("GOOGLEFINANCE(""CURRENCY:INRBRL"")*F1402"),117.41787049208)</f>
        <v>117.4178705</v>
      </c>
      <c r="J1402" s="1">
        <v>4.0</v>
      </c>
      <c r="K1402" s="1">
        <v>2377.0</v>
      </c>
      <c r="L1402" s="1" t="s">
        <v>5415</v>
      </c>
      <c r="M1402" s="7" t="s">
        <v>5416</v>
      </c>
    </row>
    <row r="1403">
      <c r="A1403" s="1" t="s">
        <v>5417</v>
      </c>
      <c r="B1403" s="1" t="s">
        <v>5418</v>
      </c>
      <c r="C1403" s="1" t="s">
        <v>3942</v>
      </c>
      <c r="D1403" s="1" t="str">
        <f t="shared" si="1"/>
        <v>Home&amp;Kitchen</v>
      </c>
      <c r="E1403" s="1" t="str">
        <f t="shared" si="2"/>
        <v>Heating,Cooling&amp;AirQuality</v>
      </c>
      <c r="F1403" s="5">
        <v>3249.0</v>
      </c>
      <c r="G1403" s="5">
        <v>6299.0</v>
      </c>
      <c r="H1403" s="6">
        <f t="shared" si="3"/>
        <v>0.4842038419</v>
      </c>
      <c r="I1403" s="3">
        <f>IFERROR(__xludf.DUMMYFUNCTION("GOOGLEFINANCE(""CURRENCY:INRBRL"")*F1403"),197.86860022239)</f>
        <v>197.8686002</v>
      </c>
      <c r="J1403" s="1">
        <v>4.52</v>
      </c>
      <c r="K1403" s="1">
        <v>2569.0</v>
      </c>
      <c r="L1403" s="1" t="s">
        <v>5419</v>
      </c>
      <c r="M1403" s="7" t="s">
        <v>5420</v>
      </c>
    </row>
    <row r="1404">
      <c r="A1404" s="1" t="s">
        <v>5421</v>
      </c>
      <c r="B1404" s="1" t="s">
        <v>5422</v>
      </c>
      <c r="C1404" s="1" t="s">
        <v>4062</v>
      </c>
      <c r="D1404" s="1" t="str">
        <f t="shared" si="1"/>
        <v>Home&amp;Kitchen</v>
      </c>
      <c r="E1404" s="1" t="str">
        <f t="shared" si="2"/>
        <v>Kitchen&amp;HomeAppliances</v>
      </c>
      <c r="F1404" s="5">
        <v>1199.0</v>
      </c>
      <c r="G1404" s="5">
        <v>1795.0</v>
      </c>
      <c r="H1404" s="6">
        <f t="shared" si="3"/>
        <v>0.3320334262</v>
      </c>
      <c r="I1404" s="3">
        <f>IFERROR(__xludf.DUMMYFUNCTION("GOOGLEFINANCE(""CURRENCY:INRBRL"")*F1404"),73.02076074688999)</f>
        <v>73.02076075</v>
      </c>
      <c r="J1404" s="1">
        <v>4.5</v>
      </c>
      <c r="K1404" s="1">
        <v>5967.0</v>
      </c>
      <c r="L1404" s="1" t="s">
        <v>5423</v>
      </c>
      <c r="M1404" s="7" t="s">
        <v>5424</v>
      </c>
    </row>
    <row r="1405">
      <c r="A1405" s="1" t="s">
        <v>5425</v>
      </c>
      <c r="B1405" s="1" t="s">
        <v>5426</v>
      </c>
      <c r="C1405" s="1" t="s">
        <v>3841</v>
      </c>
      <c r="D1405" s="1" t="str">
        <f t="shared" si="1"/>
        <v>Home&amp;Kitchen</v>
      </c>
      <c r="E1405" s="1" t="str">
        <f t="shared" si="2"/>
        <v>Kitchen&amp;HomeAppliances</v>
      </c>
      <c r="F1405" s="5">
        <v>1456.0</v>
      </c>
      <c r="G1405" s="5">
        <v>3189.0</v>
      </c>
      <c r="H1405" s="6">
        <f t="shared" si="3"/>
        <v>0.5434305425</v>
      </c>
      <c r="I1405" s="3">
        <f>IFERROR(__xludf.DUMMYFUNCTION("GOOGLEFINANCE(""CURRENCY:INRBRL"")*F1405"),88.67241672016)</f>
        <v>88.67241672</v>
      </c>
      <c r="J1405" s="1">
        <v>4.49</v>
      </c>
      <c r="K1405" s="1">
        <v>1776.0</v>
      </c>
      <c r="L1405" s="1" t="s">
        <v>5427</v>
      </c>
      <c r="M1405" s="7" t="s">
        <v>5428</v>
      </c>
    </row>
    <row r="1406">
      <c r="A1406" s="1" t="s">
        <v>5429</v>
      </c>
      <c r="B1406" s="1" t="s">
        <v>5430</v>
      </c>
      <c r="C1406" s="1" t="s">
        <v>4011</v>
      </c>
      <c r="D1406" s="1" t="str">
        <f t="shared" si="1"/>
        <v>Home&amp;Kitchen</v>
      </c>
      <c r="E1406" s="1" t="str">
        <f t="shared" si="2"/>
        <v>Kitchen&amp;HomeAppliances</v>
      </c>
      <c r="F1406" s="5">
        <v>3349.0</v>
      </c>
      <c r="G1406" s="5">
        <v>4799.0</v>
      </c>
      <c r="H1406" s="6">
        <f t="shared" si="3"/>
        <v>0.3021462805</v>
      </c>
      <c r="I1406" s="3">
        <f>IFERROR(__xludf.DUMMYFUNCTION("GOOGLEFINANCE(""CURRENCY:INRBRL"")*F1406"),203.95873873339)</f>
        <v>203.9587387</v>
      </c>
      <c r="J1406" s="1">
        <v>4.51</v>
      </c>
      <c r="K1406" s="1">
        <v>42.0</v>
      </c>
      <c r="L1406" s="1" t="s">
        <v>5431</v>
      </c>
      <c r="M1406" s="7" t="s">
        <v>5432</v>
      </c>
    </row>
    <row r="1407">
      <c r="A1407" s="1" t="s">
        <v>5433</v>
      </c>
      <c r="B1407" s="1" t="s">
        <v>5434</v>
      </c>
      <c r="C1407" s="1" t="s">
        <v>4196</v>
      </c>
      <c r="D1407" s="1" t="str">
        <f t="shared" si="1"/>
        <v>Home&amp;Kitchen</v>
      </c>
      <c r="E1407" s="1" t="str">
        <f t="shared" si="2"/>
        <v>Kitchen&amp;HomeAppliances</v>
      </c>
      <c r="F1407" s="5">
        <v>4899.0</v>
      </c>
      <c r="G1407" s="5">
        <v>8999.0</v>
      </c>
      <c r="H1407" s="6">
        <f t="shared" si="3"/>
        <v>0.4556061785</v>
      </c>
      <c r="I1407" s="3">
        <f>IFERROR(__xludf.DUMMYFUNCTION("GOOGLEFINANCE(""CURRENCY:INRBRL"")*F1407"),298.35588565388997)</f>
        <v>298.3558857</v>
      </c>
      <c r="J1407" s="1">
        <v>4.49</v>
      </c>
      <c r="K1407" s="1">
        <v>297.0</v>
      </c>
      <c r="L1407" s="1" t="s">
        <v>5435</v>
      </c>
      <c r="M1407" s="7" t="s">
        <v>5436</v>
      </c>
    </row>
    <row r="1408">
      <c r="A1408" s="1" t="s">
        <v>5437</v>
      </c>
      <c r="B1408" s="1" t="s">
        <v>5438</v>
      </c>
      <c r="C1408" s="1" t="s">
        <v>3937</v>
      </c>
      <c r="D1408" s="1" t="str">
        <f t="shared" si="1"/>
        <v>Home&amp;Kitchen</v>
      </c>
      <c r="E1408" s="1" t="str">
        <f t="shared" si="2"/>
        <v>Kitchen&amp;HomeAppliances</v>
      </c>
      <c r="F1408" s="5">
        <v>1199.0</v>
      </c>
      <c r="G1408" s="5">
        <v>1899.0</v>
      </c>
      <c r="H1408" s="6">
        <f t="shared" si="3"/>
        <v>0.3686150606</v>
      </c>
      <c r="I1408" s="3">
        <f>IFERROR(__xludf.DUMMYFUNCTION("GOOGLEFINANCE(""CURRENCY:INRBRL"")*F1408"),73.02076074688999)</f>
        <v>73.02076075</v>
      </c>
      <c r="J1408" s="1">
        <v>4.5</v>
      </c>
      <c r="K1408" s="1">
        <v>3858.0</v>
      </c>
      <c r="L1408" s="1" t="s">
        <v>5439</v>
      </c>
      <c r="M1408" s="7" t="s">
        <v>5440</v>
      </c>
    </row>
    <row r="1409">
      <c r="A1409" s="1" t="s">
        <v>5441</v>
      </c>
      <c r="B1409" s="1" t="s">
        <v>5442</v>
      </c>
      <c r="C1409" s="1" t="s">
        <v>4901</v>
      </c>
      <c r="D1409" s="1" t="str">
        <f t="shared" si="1"/>
        <v>Home&amp;Kitchen</v>
      </c>
      <c r="E1409" s="1" t="str">
        <f t="shared" si="2"/>
        <v>Heating,Cooling&amp;AirQuality</v>
      </c>
      <c r="F1409" s="5">
        <v>3289.0</v>
      </c>
      <c r="G1409" s="5">
        <v>5799.0</v>
      </c>
      <c r="H1409" s="6">
        <f t="shared" si="3"/>
        <v>0.4328332471</v>
      </c>
      <c r="I1409" s="3">
        <f>IFERROR(__xludf.DUMMYFUNCTION("GOOGLEFINANCE(""CURRENCY:INRBRL"")*F1409"),200.30465562678998)</f>
        <v>200.3046556</v>
      </c>
      <c r="J1409" s="1">
        <v>4.5</v>
      </c>
      <c r="K1409" s="1">
        <v>168.0</v>
      </c>
      <c r="L1409" s="1" t="s">
        <v>5443</v>
      </c>
      <c r="M1409" s="7" t="s">
        <v>5444</v>
      </c>
    </row>
    <row r="1410">
      <c r="A1410" s="1" t="s">
        <v>5445</v>
      </c>
      <c r="B1410" s="1" t="s">
        <v>5446</v>
      </c>
      <c r="C1410" s="1" t="s">
        <v>3856</v>
      </c>
      <c r="D1410" s="1" t="str">
        <f t="shared" si="1"/>
        <v>Home&amp;Kitchen</v>
      </c>
      <c r="E1410" s="1" t="str">
        <f t="shared" si="2"/>
        <v>Kitchen&amp;HomeAppliances</v>
      </c>
      <c r="F1410" s="1">
        <v>179.0</v>
      </c>
      <c r="G1410" s="1">
        <v>799.0</v>
      </c>
      <c r="H1410" s="6">
        <f t="shared" si="3"/>
        <v>0.7759699625</v>
      </c>
      <c r="I1410" s="3">
        <f>IFERROR(__xludf.DUMMYFUNCTION("GOOGLEFINANCE(""CURRENCY:INRBRL"")*F1410"),10.90134793469)</f>
        <v>10.90134793</v>
      </c>
      <c r="J1410" s="1">
        <v>4.51</v>
      </c>
      <c r="K1410" s="1">
        <v>101.0</v>
      </c>
      <c r="L1410" s="1" t="s">
        <v>5447</v>
      </c>
      <c r="M1410" s="7" t="s">
        <v>5448</v>
      </c>
    </row>
    <row r="1411">
      <c r="A1411" s="1" t="s">
        <v>5449</v>
      </c>
      <c r="B1411" s="1" t="s">
        <v>5450</v>
      </c>
      <c r="C1411" s="1" t="s">
        <v>5313</v>
      </c>
      <c r="D1411" s="1" t="str">
        <f t="shared" si="1"/>
        <v>Home&amp;Kitchen</v>
      </c>
      <c r="E1411" s="1" t="str">
        <f t="shared" si="2"/>
        <v>Kitchen&amp;HomeAppliances</v>
      </c>
      <c r="F1411" s="1">
        <v>149.0</v>
      </c>
      <c r="G1411" s="1">
        <v>300.0</v>
      </c>
      <c r="H1411" s="6">
        <f t="shared" si="3"/>
        <v>0.5033333333</v>
      </c>
      <c r="I1411" s="3">
        <f>IFERROR(__xludf.DUMMYFUNCTION("GOOGLEFINANCE(""CURRENCY:INRBRL"")*F1411"),9.07430638139)</f>
        <v>9.074306381</v>
      </c>
      <c r="J1411" s="1">
        <v>4.49</v>
      </c>
      <c r="K1411" s="1">
        <v>4074.0</v>
      </c>
      <c r="L1411" s="1" t="s">
        <v>5451</v>
      </c>
      <c r="M1411" s="7" t="s">
        <v>5452</v>
      </c>
    </row>
    <row r="1412">
      <c r="A1412" s="1" t="s">
        <v>5453</v>
      </c>
      <c r="B1412" s="1" t="s">
        <v>5454</v>
      </c>
      <c r="C1412" s="1" t="s">
        <v>3914</v>
      </c>
      <c r="D1412" s="1" t="str">
        <f t="shared" si="1"/>
        <v>Home&amp;Kitchen</v>
      </c>
      <c r="E1412" s="1" t="str">
        <f t="shared" si="2"/>
        <v>Kitchen&amp;HomeAppliances</v>
      </c>
      <c r="F1412" s="5">
        <v>5489.0</v>
      </c>
      <c r="G1412" s="5">
        <v>7199.0</v>
      </c>
      <c r="H1412" s="6">
        <f t="shared" si="3"/>
        <v>0.2375329907</v>
      </c>
      <c r="I1412" s="3">
        <f>IFERROR(__xludf.DUMMYFUNCTION("GOOGLEFINANCE(""CURRENCY:INRBRL"")*F1412"),334.28770286879)</f>
        <v>334.2877029</v>
      </c>
      <c r="J1412" s="1">
        <v>4.51</v>
      </c>
      <c r="K1412" s="1">
        <v>1408.0</v>
      </c>
      <c r="L1412" s="1" t="s">
        <v>5455</v>
      </c>
      <c r="M1412" s="7" t="s">
        <v>5456</v>
      </c>
    </row>
    <row r="1413">
      <c r="A1413" s="1" t="s">
        <v>5457</v>
      </c>
      <c r="B1413" s="1" t="s">
        <v>5458</v>
      </c>
      <c r="C1413" s="1" t="s">
        <v>3861</v>
      </c>
      <c r="D1413" s="1" t="str">
        <f t="shared" si="1"/>
        <v>Home&amp;Kitchen</v>
      </c>
      <c r="E1413" s="1" t="str">
        <f t="shared" si="2"/>
        <v>Kitchen&amp;HomeAppliances</v>
      </c>
      <c r="F1413" s="1">
        <v>379.0</v>
      </c>
      <c r="G1413" s="1">
        <v>389.0</v>
      </c>
      <c r="H1413" s="6">
        <f t="shared" si="3"/>
        <v>0.02570694087</v>
      </c>
      <c r="I1413" s="3">
        <f>IFERROR(__xludf.DUMMYFUNCTION("GOOGLEFINANCE(""CURRENCY:INRBRL"")*F1413"),23.08162495669)</f>
        <v>23.08162496</v>
      </c>
      <c r="J1413" s="1">
        <v>4.5</v>
      </c>
      <c r="K1413" s="1">
        <v>3739.0</v>
      </c>
      <c r="L1413" s="1" t="s">
        <v>5459</v>
      </c>
      <c r="M1413" s="7" t="s">
        <v>5460</v>
      </c>
    </row>
    <row r="1414">
      <c r="A1414" s="1" t="s">
        <v>5461</v>
      </c>
      <c r="B1414" s="1" t="s">
        <v>5462</v>
      </c>
      <c r="C1414" s="1" t="s">
        <v>4488</v>
      </c>
      <c r="D1414" s="1" t="str">
        <f t="shared" si="1"/>
        <v>Home&amp;Kitchen</v>
      </c>
      <c r="E1414" s="1" t="str">
        <f t="shared" si="2"/>
        <v>Kitchen&amp;HomeAppliances</v>
      </c>
      <c r="F1414" s="5">
        <v>8699.0</v>
      </c>
      <c r="G1414" s="5">
        <v>13049.0</v>
      </c>
      <c r="H1414" s="6">
        <f t="shared" si="3"/>
        <v>0.3333588781</v>
      </c>
      <c r="I1414" s="3">
        <f>IFERROR(__xludf.DUMMYFUNCTION("GOOGLEFINANCE(""CURRENCY:INRBRL"")*F1414"),529.78114907189)</f>
        <v>529.7811491</v>
      </c>
      <c r="J1414" s="1">
        <v>4.5</v>
      </c>
      <c r="K1414" s="1">
        <v>5891.0</v>
      </c>
      <c r="L1414" s="1" t="s">
        <v>5463</v>
      </c>
      <c r="M1414" s="7" t="s">
        <v>5464</v>
      </c>
    </row>
    <row r="1415">
      <c r="A1415" s="1" t="s">
        <v>5465</v>
      </c>
      <c r="B1415" s="1" t="s">
        <v>5466</v>
      </c>
      <c r="C1415" s="1" t="s">
        <v>3914</v>
      </c>
      <c r="D1415" s="1" t="str">
        <f t="shared" si="1"/>
        <v>Home&amp;Kitchen</v>
      </c>
      <c r="E1415" s="1" t="str">
        <f t="shared" si="2"/>
        <v>Kitchen&amp;HomeAppliances</v>
      </c>
      <c r="F1415" s="5">
        <v>3041.67</v>
      </c>
      <c r="G1415" s="5">
        <v>5999.0</v>
      </c>
      <c r="H1415" s="6">
        <f t="shared" si="3"/>
        <v>0.4929704951</v>
      </c>
      <c r="I1415" s="3">
        <f>IFERROR(__xludf.DUMMYFUNCTION("GOOGLEFINANCE(""CURRENCY:INRBRL"")*F1415"),185.2419160475337)</f>
        <v>185.241916</v>
      </c>
      <c r="J1415" s="1">
        <v>4.0</v>
      </c>
      <c r="K1415" s="1">
        <v>777.0</v>
      </c>
      <c r="L1415" s="1" t="s">
        <v>5467</v>
      </c>
      <c r="M1415" s="7" t="s">
        <v>5468</v>
      </c>
    </row>
    <row r="1416">
      <c r="A1416" s="1" t="s">
        <v>5469</v>
      </c>
      <c r="B1416" s="1" t="s">
        <v>5470</v>
      </c>
      <c r="C1416" s="1" t="s">
        <v>3904</v>
      </c>
      <c r="D1416" s="1" t="str">
        <f t="shared" si="1"/>
        <v>Home&amp;Kitchen</v>
      </c>
      <c r="E1416" s="1" t="str">
        <f t="shared" si="2"/>
        <v>Kitchen&amp;HomeAppliances</v>
      </c>
      <c r="F1416" s="5">
        <v>1745.0</v>
      </c>
      <c r="G1416" s="5">
        <v>2399.0</v>
      </c>
      <c r="H1416" s="6">
        <f t="shared" si="3"/>
        <v>0.272613589</v>
      </c>
      <c r="I1416" s="3">
        <f>IFERROR(__xludf.DUMMYFUNCTION("GOOGLEFINANCE(""CURRENCY:INRBRL"")*F1416"),106.27291701694999)</f>
        <v>106.272917</v>
      </c>
      <c r="J1416" s="1">
        <v>4.5</v>
      </c>
      <c r="K1416" s="1">
        <v>1416.0</v>
      </c>
      <c r="L1416" s="1" t="s">
        <v>5471</v>
      </c>
      <c r="M1416" s="7" t="s">
        <v>5472</v>
      </c>
    </row>
    <row r="1417">
      <c r="A1417" s="1" t="s">
        <v>5473</v>
      </c>
      <c r="B1417" s="1" t="s">
        <v>5474</v>
      </c>
      <c r="C1417" s="1" t="s">
        <v>3887</v>
      </c>
      <c r="D1417" s="1" t="str">
        <f t="shared" si="1"/>
        <v>Home&amp;Kitchen</v>
      </c>
      <c r="E1417" s="1" t="str">
        <f t="shared" si="2"/>
        <v>Kitchen&amp;HomeAppliances</v>
      </c>
      <c r="F1417" s="5">
        <v>3179.0</v>
      </c>
      <c r="G1417" s="5">
        <v>5295.0</v>
      </c>
      <c r="H1417" s="6">
        <f t="shared" si="3"/>
        <v>0.3996222852</v>
      </c>
      <c r="I1417" s="3">
        <f>IFERROR(__xludf.DUMMYFUNCTION("GOOGLEFINANCE(""CURRENCY:INRBRL"")*F1417"),193.60550326469)</f>
        <v>193.6055033</v>
      </c>
      <c r="J1417" s="1">
        <v>4.5</v>
      </c>
      <c r="K1417" s="1">
        <v>6919.0</v>
      </c>
      <c r="L1417" s="1" t="s">
        <v>5475</v>
      </c>
      <c r="M1417" s="7" t="s">
        <v>5476</v>
      </c>
    </row>
    <row r="1418">
      <c r="A1418" s="1" t="s">
        <v>5477</v>
      </c>
      <c r="B1418" s="1" t="s">
        <v>5478</v>
      </c>
      <c r="C1418" s="1" t="s">
        <v>4488</v>
      </c>
      <c r="D1418" s="1" t="str">
        <f t="shared" si="1"/>
        <v>Home&amp;Kitchen</v>
      </c>
      <c r="E1418" s="1" t="str">
        <f t="shared" si="2"/>
        <v>Kitchen&amp;HomeAppliances</v>
      </c>
      <c r="F1418" s="5">
        <v>4999.0</v>
      </c>
      <c r="G1418" s="5">
        <v>24999.0</v>
      </c>
      <c r="H1418" s="6">
        <f t="shared" si="3"/>
        <v>0.8000320013</v>
      </c>
      <c r="I1418" s="3">
        <f>IFERROR(__xludf.DUMMYFUNCTION("GOOGLEFINANCE(""CURRENCY:INRBRL"")*F1418"),304.44602416489)</f>
        <v>304.4460242</v>
      </c>
      <c r="J1418" s="1">
        <v>4.51</v>
      </c>
      <c r="K1418" s="1">
        <v>287.0</v>
      </c>
      <c r="L1418" s="1" t="s">
        <v>5479</v>
      </c>
      <c r="M1418" s="7" t="s">
        <v>5480</v>
      </c>
    </row>
    <row r="1419">
      <c r="A1419" s="1" t="s">
        <v>5481</v>
      </c>
      <c r="B1419" s="1" t="s">
        <v>5482</v>
      </c>
      <c r="C1419" s="1" t="s">
        <v>3989</v>
      </c>
      <c r="D1419" s="1" t="str">
        <f t="shared" si="1"/>
        <v>Home&amp;Kitchen</v>
      </c>
      <c r="E1419" s="1" t="str">
        <f t="shared" si="2"/>
        <v>HomeStorage&amp;Organization</v>
      </c>
      <c r="F1419" s="1">
        <v>390.0</v>
      </c>
      <c r="G1419" s="1">
        <v>799.0</v>
      </c>
      <c r="H1419" s="6">
        <f t="shared" si="3"/>
        <v>0.5118898623</v>
      </c>
      <c r="I1419" s="3">
        <f>IFERROR(__xludf.DUMMYFUNCTION("GOOGLEFINANCE(""CURRENCY:INRBRL"")*F1419"),23.7515401929)</f>
        <v>23.75154019</v>
      </c>
      <c r="J1419" s="1">
        <v>4.51</v>
      </c>
      <c r="K1419" s="1">
        <v>287.0</v>
      </c>
      <c r="L1419" s="1" t="s">
        <v>5483</v>
      </c>
      <c r="M1419" s="7" t="s">
        <v>5484</v>
      </c>
    </row>
    <row r="1420">
      <c r="A1420" s="1" t="s">
        <v>5485</v>
      </c>
      <c r="B1420" s="1" t="s">
        <v>5486</v>
      </c>
      <c r="C1420" s="1" t="s">
        <v>5487</v>
      </c>
      <c r="D1420" s="1" t="str">
        <f t="shared" si="1"/>
        <v>Home&amp;Kitchen</v>
      </c>
      <c r="E1420" s="1" t="str">
        <f t="shared" si="2"/>
        <v>Kitchen&amp;HomeAppliances</v>
      </c>
      <c r="F1420" s="5">
        <v>1999.0</v>
      </c>
      <c r="G1420" s="5">
        <v>2999.0</v>
      </c>
      <c r="H1420" s="6">
        <f t="shared" si="3"/>
        <v>0.3334444815</v>
      </c>
      <c r="I1420" s="3">
        <f>IFERROR(__xludf.DUMMYFUNCTION("GOOGLEFINANCE(""CURRENCY:INRBRL"")*F1420"),121.74186883489)</f>
        <v>121.7418688</v>
      </c>
      <c r="J1420" s="1">
        <v>4.5</v>
      </c>
      <c r="K1420" s="1">
        <v>388.0</v>
      </c>
      <c r="L1420" s="1" t="s">
        <v>5488</v>
      </c>
      <c r="M1420" s="7" t="s">
        <v>5489</v>
      </c>
    </row>
    <row r="1421">
      <c r="A1421" s="1" t="s">
        <v>5490</v>
      </c>
      <c r="B1421" s="1" t="s">
        <v>5491</v>
      </c>
      <c r="C1421" s="1" t="s">
        <v>4049</v>
      </c>
      <c r="D1421" s="1" t="str">
        <f t="shared" si="1"/>
        <v>Home&amp;Kitchen</v>
      </c>
      <c r="E1421" s="1" t="str">
        <f t="shared" si="2"/>
        <v>Kitchen&amp;HomeAppliances</v>
      </c>
      <c r="F1421" s="5">
        <v>1624.0</v>
      </c>
      <c r="G1421" s="5">
        <v>2495.0</v>
      </c>
      <c r="H1421" s="6">
        <f t="shared" si="3"/>
        <v>0.3490981964</v>
      </c>
      <c r="I1421" s="3">
        <f>IFERROR(__xludf.DUMMYFUNCTION("GOOGLEFINANCE(""CURRENCY:INRBRL"")*F1421"),98.90384941864)</f>
        <v>98.90384942</v>
      </c>
      <c r="J1421" s="1">
        <v>4.49</v>
      </c>
      <c r="K1421" s="1">
        <v>827.0</v>
      </c>
      <c r="L1421" s="1" t="s">
        <v>5492</v>
      </c>
      <c r="M1421" s="7" t="s">
        <v>5493</v>
      </c>
    </row>
    <row r="1422">
      <c r="A1422" s="1" t="s">
        <v>5494</v>
      </c>
      <c r="B1422" s="1" t="s">
        <v>5495</v>
      </c>
      <c r="C1422" s="1" t="s">
        <v>5313</v>
      </c>
      <c r="D1422" s="1" t="str">
        <f t="shared" si="1"/>
        <v>Home&amp;Kitchen</v>
      </c>
      <c r="E1422" s="1" t="str">
        <f t="shared" si="2"/>
        <v>Kitchen&amp;HomeAppliances</v>
      </c>
      <c r="F1422" s="1">
        <v>184.0</v>
      </c>
      <c r="G1422" s="1">
        <v>450.0</v>
      </c>
      <c r="H1422" s="6">
        <f t="shared" si="3"/>
        <v>0.5911111111</v>
      </c>
      <c r="I1422" s="3">
        <f>IFERROR(__xludf.DUMMYFUNCTION("GOOGLEFINANCE(""CURRENCY:INRBRL"")*F1422"),11.205854860239999)</f>
        <v>11.20585486</v>
      </c>
      <c r="J1422" s="1">
        <v>4.5</v>
      </c>
      <c r="K1422" s="1">
        <v>4971.0</v>
      </c>
      <c r="L1422" s="1" t="s">
        <v>5496</v>
      </c>
      <c r="M1422" s="7" t="s">
        <v>5497</v>
      </c>
    </row>
    <row r="1423">
      <c r="A1423" s="1" t="s">
        <v>5498</v>
      </c>
      <c r="B1423" s="1" t="s">
        <v>5499</v>
      </c>
      <c r="C1423" s="1" t="s">
        <v>3856</v>
      </c>
      <c r="D1423" s="1" t="str">
        <f t="shared" si="1"/>
        <v>Home&amp;Kitchen</v>
      </c>
      <c r="E1423" s="1" t="str">
        <f t="shared" si="2"/>
        <v>Kitchen&amp;HomeAppliances</v>
      </c>
      <c r="F1423" s="1">
        <v>445.0</v>
      </c>
      <c r="G1423" s="1">
        <v>999.0</v>
      </c>
      <c r="H1423" s="6">
        <f t="shared" si="3"/>
        <v>0.5545545546</v>
      </c>
      <c r="I1423" s="3">
        <f>IFERROR(__xludf.DUMMYFUNCTION("GOOGLEFINANCE(""CURRENCY:INRBRL"")*F1423"),27.10111637395)</f>
        <v>27.10111637</v>
      </c>
      <c r="J1423" s="1">
        <v>4.5</v>
      </c>
      <c r="K1423" s="1">
        <v>229.0</v>
      </c>
      <c r="L1423" s="1" t="s">
        <v>5500</v>
      </c>
      <c r="M1423" s="7" t="s">
        <v>5501</v>
      </c>
    </row>
    <row r="1424">
      <c r="A1424" s="1" t="s">
        <v>5502</v>
      </c>
      <c r="B1424" s="1" t="s">
        <v>5503</v>
      </c>
      <c r="C1424" s="1" t="s">
        <v>5504</v>
      </c>
      <c r="D1424" s="1" t="str">
        <f t="shared" si="1"/>
        <v>Home&amp;Kitchen</v>
      </c>
      <c r="E1424" s="1" t="str">
        <f t="shared" si="2"/>
        <v>Heating,Cooling&amp;AirQuality</v>
      </c>
      <c r="F1424" s="1">
        <v>699.0</v>
      </c>
      <c r="G1424" s="5">
        <v>1689.0</v>
      </c>
      <c r="H1424" s="6">
        <f t="shared" si="3"/>
        <v>0.5861456483</v>
      </c>
      <c r="I1424" s="3">
        <f>IFERROR(__xludf.DUMMYFUNCTION("GOOGLEFINANCE(""CURRENCY:INRBRL"")*F1424"),42.57006819189)</f>
        <v>42.57006819</v>
      </c>
      <c r="J1424" s="1">
        <v>4.49</v>
      </c>
      <c r="K1424" s="1">
        <v>3524.0</v>
      </c>
      <c r="L1424" s="1" t="s">
        <v>5505</v>
      </c>
      <c r="M1424" s="7" t="s">
        <v>5506</v>
      </c>
    </row>
    <row r="1425">
      <c r="A1425" s="1" t="s">
        <v>5507</v>
      </c>
      <c r="B1425" s="1" t="s">
        <v>5508</v>
      </c>
      <c r="C1425" s="1" t="s">
        <v>3887</v>
      </c>
      <c r="D1425" s="1" t="str">
        <f t="shared" si="1"/>
        <v>Home&amp;Kitchen</v>
      </c>
      <c r="E1425" s="1" t="str">
        <f t="shared" si="2"/>
        <v>Kitchen&amp;HomeAppliances</v>
      </c>
      <c r="F1425" s="5">
        <v>1601.0</v>
      </c>
      <c r="G1425" s="5">
        <v>3889.0</v>
      </c>
      <c r="H1425" s="6">
        <f t="shared" si="3"/>
        <v>0.5883260478</v>
      </c>
      <c r="I1425" s="3">
        <f>IFERROR(__xludf.DUMMYFUNCTION("GOOGLEFINANCE(""CURRENCY:INRBRL"")*F1425"),97.50311756111)</f>
        <v>97.50311756</v>
      </c>
      <c r="J1425" s="1">
        <v>4.5</v>
      </c>
      <c r="K1425" s="1">
        <v>156.0</v>
      </c>
      <c r="L1425" s="1" t="s">
        <v>5509</v>
      </c>
      <c r="M1425" s="7" t="s">
        <v>5510</v>
      </c>
    </row>
    <row r="1426">
      <c r="A1426" s="1" t="s">
        <v>5511</v>
      </c>
      <c r="B1426" s="1" t="s">
        <v>5512</v>
      </c>
      <c r="C1426" s="1" t="s">
        <v>4299</v>
      </c>
      <c r="D1426" s="1" t="str">
        <f t="shared" si="1"/>
        <v>Home&amp;Kitchen</v>
      </c>
      <c r="E1426" s="1" t="str">
        <f t="shared" si="2"/>
        <v>Kitchen&amp;HomeAppliances</v>
      </c>
      <c r="F1426" s="1">
        <v>231.0</v>
      </c>
      <c r="G1426" s="1">
        <v>260.0</v>
      </c>
      <c r="H1426" s="6">
        <f t="shared" si="3"/>
        <v>0.1115384615</v>
      </c>
      <c r="I1426" s="3">
        <f>IFERROR(__xludf.DUMMYFUNCTION("GOOGLEFINANCE(""CURRENCY:INRBRL"")*F1426"),14.06821996041)</f>
        <v>14.06821996</v>
      </c>
      <c r="J1426" s="1">
        <v>4.49</v>
      </c>
      <c r="K1426" s="1">
        <v>490.0</v>
      </c>
      <c r="L1426" s="1" t="s">
        <v>5513</v>
      </c>
      <c r="M1426" s="7" t="s">
        <v>5514</v>
      </c>
    </row>
    <row r="1427">
      <c r="A1427" s="1" t="s">
        <v>5515</v>
      </c>
      <c r="B1427" s="1" t="s">
        <v>5516</v>
      </c>
      <c r="C1427" s="1" t="s">
        <v>3856</v>
      </c>
      <c r="D1427" s="1" t="str">
        <f t="shared" si="1"/>
        <v>Home&amp;Kitchen</v>
      </c>
      <c r="E1427" s="1" t="str">
        <f t="shared" si="2"/>
        <v>Kitchen&amp;HomeAppliances</v>
      </c>
      <c r="F1427" s="1">
        <v>369.0</v>
      </c>
      <c r="G1427" s="1">
        <v>599.0</v>
      </c>
      <c r="H1427" s="6">
        <f t="shared" si="3"/>
        <v>0.3839732888</v>
      </c>
      <c r="I1427" s="3">
        <f>IFERROR(__xludf.DUMMYFUNCTION("GOOGLEFINANCE(""CURRENCY:INRBRL"")*F1427"),22.472611105589998)</f>
        <v>22.47261111</v>
      </c>
      <c r="J1427" s="1">
        <v>4.52</v>
      </c>
      <c r="K1427" s="1">
        <v>82.0</v>
      </c>
      <c r="L1427" s="1" t="s">
        <v>5517</v>
      </c>
      <c r="M1427" s="7" t="s">
        <v>5518</v>
      </c>
    </row>
    <row r="1428">
      <c r="A1428" s="1" t="s">
        <v>5519</v>
      </c>
      <c r="B1428" s="1" t="s">
        <v>5520</v>
      </c>
      <c r="C1428" s="1" t="s">
        <v>3841</v>
      </c>
      <c r="D1428" s="1" t="str">
        <f t="shared" si="1"/>
        <v>Home&amp;Kitchen</v>
      </c>
      <c r="E1428" s="1" t="str">
        <f t="shared" si="2"/>
        <v>Kitchen&amp;HomeAppliances</v>
      </c>
      <c r="F1428" s="1">
        <v>809.0</v>
      </c>
      <c r="G1428" s="5">
        <v>1949.0</v>
      </c>
      <c r="H1428" s="6">
        <f t="shared" si="3"/>
        <v>0.5849153412</v>
      </c>
      <c r="I1428" s="3">
        <f>IFERROR(__xludf.DUMMYFUNCTION("GOOGLEFINANCE(""CURRENCY:INRBRL"")*F1428"),49.269220553989996)</f>
        <v>49.26922055</v>
      </c>
      <c r="J1428" s="1">
        <v>4.52</v>
      </c>
      <c r="K1428" s="1">
        <v>710.0</v>
      </c>
      <c r="L1428" s="1" t="s">
        <v>5521</v>
      </c>
      <c r="M1428" s="7" t="s">
        <v>5522</v>
      </c>
    </row>
    <row r="1429">
      <c r="A1429" s="1" t="s">
        <v>5523</v>
      </c>
      <c r="B1429" s="1" t="s">
        <v>5524</v>
      </c>
      <c r="C1429" s="1" t="s">
        <v>3914</v>
      </c>
      <c r="D1429" s="1" t="str">
        <f t="shared" si="1"/>
        <v>Home&amp;Kitchen</v>
      </c>
      <c r="E1429" s="1" t="str">
        <f t="shared" si="2"/>
        <v>Kitchen&amp;HomeAppliances</v>
      </c>
      <c r="F1429" s="5">
        <v>1199.0</v>
      </c>
      <c r="G1429" s="5">
        <v>2989.0</v>
      </c>
      <c r="H1429" s="6">
        <f t="shared" si="3"/>
        <v>0.5988624958</v>
      </c>
      <c r="I1429" s="3">
        <f>IFERROR(__xludf.DUMMYFUNCTION("GOOGLEFINANCE(""CURRENCY:INRBRL"")*F1429"),73.02076074688999)</f>
        <v>73.02076075</v>
      </c>
      <c r="J1429" s="1">
        <v>4.51</v>
      </c>
      <c r="K1429" s="1">
        <v>133.0</v>
      </c>
      <c r="L1429" s="1" t="s">
        <v>5525</v>
      </c>
      <c r="M1429" s="7" t="s">
        <v>5526</v>
      </c>
    </row>
    <row r="1430">
      <c r="A1430" s="1" t="s">
        <v>5527</v>
      </c>
      <c r="B1430" s="1" t="s">
        <v>5528</v>
      </c>
      <c r="C1430" s="1" t="s">
        <v>3914</v>
      </c>
      <c r="D1430" s="1" t="str">
        <f t="shared" si="1"/>
        <v>Home&amp;Kitchen</v>
      </c>
      <c r="E1430" s="1" t="str">
        <f t="shared" si="2"/>
        <v>Kitchen&amp;HomeAppliances</v>
      </c>
      <c r="F1430" s="5">
        <v>6119.0</v>
      </c>
      <c r="G1430" s="5">
        <v>8073.0</v>
      </c>
      <c r="H1430" s="6">
        <f t="shared" si="3"/>
        <v>0.2420413725</v>
      </c>
      <c r="I1430" s="3">
        <f>IFERROR(__xludf.DUMMYFUNCTION("GOOGLEFINANCE(""CURRENCY:INRBRL"")*F1430"),372.65557548809)</f>
        <v>372.6555755</v>
      </c>
      <c r="J1430" s="1">
        <v>4.51</v>
      </c>
      <c r="K1430" s="1">
        <v>2751.0</v>
      </c>
      <c r="L1430" s="1" t="s">
        <v>5529</v>
      </c>
      <c r="M1430" s="7" t="s">
        <v>5530</v>
      </c>
    </row>
    <row r="1431">
      <c r="A1431" s="1" t="s">
        <v>5531</v>
      </c>
      <c r="B1431" s="1" t="s">
        <v>5532</v>
      </c>
      <c r="C1431" s="1" t="s">
        <v>3994</v>
      </c>
      <c r="D1431" s="1" t="str">
        <f t="shared" si="1"/>
        <v>Home&amp;Kitchen</v>
      </c>
      <c r="E1431" s="1" t="str">
        <f t="shared" si="2"/>
        <v>Kitchen&amp;HomeAppliances</v>
      </c>
      <c r="F1431" s="5">
        <v>1799.0</v>
      </c>
      <c r="G1431" s="5">
        <v>2599.0</v>
      </c>
      <c r="H1431" s="6">
        <f t="shared" si="3"/>
        <v>0.3078106964</v>
      </c>
      <c r="I1431" s="3">
        <f>IFERROR(__xludf.DUMMYFUNCTION("GOOGLEFINANCE(""CURRENCY:INRBRL"")*F1431"),109.56159181289)</f>
        <v>109.5615918</v>
      </c>
      <c r="J1431" s="1">
        <v>4.51</v>
      </c>
      <c r="K1431" s="1">
        <v>771.0</v>
      </c>
      <c r="L1431" s="1" t="s">
        <v>5533</v>
      </c>
      <c r="M1431" s="7" t="s">
        <v>5534</v>
      </c>
    </row>
    <row r="1432">
      <c r="A1432" s="1" t="s">
        <v>5535</v>
      </c>
      <c r="B1432" s="1" t="s">
        <v>5536</v>
      </c>
      <c r="C1432" s="1" t="s">
        <v>5031</v>
      </c>
      <c r="D1432" s="1" t="str">
        <f t="shared" si="1"/>
        <v>Home&amp;Kitchen</v>
      </c>
      <c r="E1432" s="1" t="str">
        <f t="shared" si="2"/>
        <v>Kitchen&amp;HomeAppliances</v>
      </c>
      <c r="F1432" s="5">
        <v>18999.0</v>
      </c>
      <c r="G1432" s="5">
        <v>29999.0</v>
      </c>
      <c r="H1432" s="6">
        <f t="shared" si="3"/>
        <v>0.3666788893</v>
      </c>
      <c r="I1432" s="3">
        <f>IFERROR(__xludf.DUMMYFUNCTION("GOOGLEFINANCE(""CURRENCY:INRBRL"")*F1432"),1157.06541570489)</f>
        <v>1157.065416</v>
      </c>
      <c r="J1432" s="1">
        <v>4.49</v>
      </c>
      <c r="K1432" s="1">
        <v>2536.0</v>
      </c>
      <c r="L1432" s="1" t="s">
        <v>5537</v>
      </c>
      <c r="M1432" s="7" t="s">
        <v>5538</v>
      </c>
    </row>
    <row r="1433">
      <c r="A1433" s="1" t="s">
        <v>5539</v>
      </c>
      <c r="B1433" s="1" t="s">
        <v>5540</v>
      </c>
      <c r="C1433" s="1" t="s">
        <v>4281</v>
      </c>
      <c r="D1433" s="1" t="str">
        <f t="shared" si="1"/>
        <v>Home&amp;Kitchen</v>
      </c>
      <c r="E1433" s="1" t="str">
        <f t="shared" si="2"/>
        <v>Heating,Cooling&amp;AirQuality</v>
      </c>
      <c r="F1433" s="5">
        <v>1999.0</v>
      </c>
      <c r="G1433" s="5">
        <v>2359.0</v>
      </c>
      <c r="H1433" s="6">
        <f t="shared" si="3"/>
        <v>0.1526070369</v>
      </c>
      <c r="I1433" s="3">
        <f>IFERROR(__xludf.DUMMYFUNCTION("GOOGLEFINANCE(""CURRENCY:INRBRL"")*F1433"),121.74186883489)</f>
        <v>121.7418688</v>
      </c>
      <c r="J1433" s="1">
        <v>4.5</v>
      </c>
      <c r="K1433" s="1">
        <v>7801.0</v>
      </c>
      <c r="L1433" s="1" t="s">
        <v>5541</v>
      </c>
      <c r="M1433" s="7" t="s">
        <v>5542</v>
      </c>
    </row>
    <row r="1434">
      <c r="A1434" s="1" t="s">
        <v>5543</v>
      </c>
      <c r="B1434" s="1" t="s">
        <v>5544</v>
      </c>
      <c r="C1434" s="1" t="s">
        <v>5545</v>
      </c>
      <c r="D1434" s="1" t="str">
        <f t="shared" si="1"/>
        <v>Home&amp;Kitchen</v>
      </c>
      <c r="E1434" s="1" t="str">
        <f t="shared" si="2"/>
        <v>Kitchen&amp;HomeAppliances</v>
      </c>
      <c r="F1434" s="5">
        <v>5999.0</v>
      </c>
      <c r="G1434" s="5">
        <v>11495.0</v>
      </c>
      <c r="H1434" s="6">
        <f t="shared" si="3"/>
        <v>0.4781209221</v>
      </c>
      <c r="I1434" s="3">
        <f>IFERROR(__xludf.DUMMYFUNCTION("GOOGLEFINANCE(""CURRENCY:INRBRL"")*F1434"),365.34740927488997)</f>
        <v>365.3474093</v>
      </c>
      <c r="J1434" s="1">
        <v>4.5</v>
      </c>
      <c r="K1434" s="1">
        <v>534.0</v>
      </c>
      <c r="L1434" s="1" t="s">
        <v>5546</v>
      </c>
      <c r="M1434" s="7" t="s">
        <v>5547</v>
      </c>
    </row>
    <row r="1435">
      <c r="A1435" s="1" t="s">
        <v>5548</v>
      </c>
      <c r="B1435" s="1" t="s">
        <v>5549</v>
      </c>
      <c r="C1435" s="1" t="s">
        <v>4158</v>
      </c>
      <c r="D1435" s="1" t="str">
        <f t="shared" si="1"/>
        <v>Home&amp;Kitchen</v>
      </c>
      <c r="E1435" s="1" t="str">
        <f t="shared" si="2"/>
        <v>Heating,Cooling&amp;AirQuality</v>
      </c>
      <c r="F1435" s="5">
        <v>2599.0</v>
      </c>
      <c r="G1435" s="5">
        <v>4779.0</v>
      </c>
      <c r="H1435" s="6">
        <f t="shared" si="3"/>
        <v>0.4561623771</v>
      </c>
      <c r="I1435" s="3">
        <f>IFERROR(__xludf.DUMMYFUNCTION("GOOGLEFINANCE(""CURRENCY:INRBRL"")*F1435"),158.28269990088998)</f>
        <v>158.2826999</v>
      </c>
      <c r="J1435" s="1">
        <v>4.52</v>
      </c>
      <c r="K1435" s="1">
        <v>898.0</v>
      </c>
      <c r="L1435" s="1" t="s">
        <v>5550</v>
      </c>
      <c r="M1435" s="7" t="s">
        <v>5551</v>
      </c>
    </row>
    <row r="1436">
      <c r="A1436" s="1" t="s">
        <v>5552</v>
      </c>
      <c r="B1436" s="1" t="s">
        <v>5553</v>
      </c>
      <c r="C1436" s="1" t="s">
        <v>5259</v>
      </c>
      <c r="D1436" s="1" t="str">
        <f t="shared" si="1"/>
        <v>Home&amp;Kitchen</v>
      </c>
      <c r="E1436" s="1" t="str">
        <f t="shared" si="2"/>
        <v>Kitchen&amp;HomeAppliances</v>
      </c>
      <c r="F1436" s="5">
        <v>1199.0</v>
      </c>
      <c r="G1436" s="5">
        <v>2399.0</v>
      </c>
      <c r="H1436" s="6">
        <f t="shared" si="3"/>
        <v>0.5002084202</v>
      </c>
      <c r="I1436" s="3">
        <f>IFERROR(__xludf.DUMMYFUNCTION("GOOGLEFINANCE(""CURRENCY:INRBRL"")*F1436"),73.02076074688999)</f>
        <v>73.02076075</v>
      </c>
      <c r="J1436" s="1">
        <v>4.52</v>
      </c>
      <c r="K1436" s="1">
        <v>1202.0</v>
      </c>
      <c r="L1436" s="1" t="s">
        <v>5554</v>
      </c>
      <c r="M1436" s="7" t="s">
        <v>5555</v>
      </c>
    </row>
    <row r="1437">
      <c r="A1437" s="1" t="s">
        <v>5556</v>
      </c>
      <c r="B1437" s="1" t="s">
        <v>5557</v>
      </c>
      <c r="C1437" s="1" t="s">
        <v>3989</v>
      </c>
      <c r="D1437" s="1" t="str">
        <f t="shared" si="1"/>
        <v>Home&amp;Kitchen</v>
      </c>
      <c r="E1437" s="1" t="str">
        <f t="shared" si="2"/>
        <v>HomeStorage&amp;Organization</v>
      </c>
      <c r="F1437" s="1">
        <v>219.0</v>
      </c>
      <c r="G1437" s="1">
        <v>249.0</v>
      </c>
      <c r="H1437" s="6">
        <f t="shared" si="3"/>
        <v>0.1204819277</v>
      </c>
      <c r="I1437" s="3">
        <f>IFERROR(__xludf.DUMMYFUNCTION("GOOGLEFINANCE(""CURRENCY:INRBRL"")*F1437"),13.337403339089999)</f>
        <v>13.33740334</v>
      </c>
      <c r="J1437" s="1">
        <v>4.0</v>
      </c>
      <c r="K1437" s="1">
        <v>1108.0</v>
      </c>
      <c r="L1437" s="1" t="s">
        <v>5558</v>
      </c>
      <c r="M1437" s="7" t="s">
        <v>5559</v>
      </c>
    </row>
    <row r="1438">
      <c r="A1438" s="1" t="s">
        <v>5560</v>
      </c>
      <c r="B1438" s="1" t="s">
        <v>5561</v>
      </c>
      <c r="C1438" s="1" t="s">
        <v>3851</v>
      </c>
      <c r="D1438" s="1" t="str">
        <f t="shared" si="1"/>
        <v>Home&amp;Kitchen</v>
      </c>
      <c r="E1438" s="1" t="str">
        <f t="shared" si="2"/>
        <v>Heating,Cooling&amp;AirQuality</v>
      </c>
      <c r="F1438" s="1">
        <v>799.0</v>
      </c>
      <c r="G1438" s="5">
        <v>1199.0</v>
      </c>
      <c r="H1438" s="6">
        <f t="shared" si="3"/>
        <v>0.3336113428</v>
      </c>
      <c r="I1438" s="3">
        <f>IFERROR(__xludf.DUMMYFUNCTION("GOOGLEFINANCE(""CURRENCY:INRBRL"")*F1438"),48.66020670289)</f>
        <v>48.6602067</v>
      </c>
      <c r="J1438" s="1">
        <v>4.5</v>
      </c>
      <c r="K1438" s="1">
        <v>17.0</v>
      </c>
      <c r="L1438" s="1" t="s">
        <v>4095</v>
      </c>
      <c r="M1438" s="7" t="s">
        <v>5562</v>
      </c>
    </row>
    <row r="1439">
      <c r="A1439" s="1" t="s">
        <v>5563</v>
      </c>
      <c r="B1439" s="1" t="s">
        <v>5564</v>
      </c>
      <c r="C1439" s="1" t="s">
        <v>4427</v>
      </c>
      <c r="D1439" s="1" t="str">
        <f t="shared" si="1"/>
        <v>Home&amp;Kitchen</v>
      </c>
      <c r="E1439" s="1" t="str">
        <f t="shared" si="2"/>
        <v>Kitchen&amp;HomeAppliances</v>
      </c>
      <c r="F1439" s="5">
        <v>6199.0</v>
      </c>
      <c r="G1439" s="5">
        <v>10999.0</v>
      </c>
      <c r="H1439" s="6">
        <f t="shared" si="3"/>
        <v>0.4364033094</v>
      </c>
      <c r="I1439" s="3">
        <f>IFERROR(__xludf.DUMMYFUNCTION("GOOGLEFINANCE(""CURRENCY:INRBRL"")*F1439"),377.52768629689)</f>
        <v>377.5276863</v>
      </c>
      <c r="J1439" s="1">
        <v>4.5</v>
      </c>
      <c r="K1439" s="1">
        <v>10429.0</v>
      </c>
      <c r="L1439" s="1" t="s">
        <v>5565</v>
      </c>
      <c r="M1439" s="7" t="s">
        <v>5566</v>
      </c>
    </row>
    <row r="1440">
      <c r="A1440" s="1" t="s">
        <v>5567</v>
      </c>
      <c r="B1440" s="1" t="s">
        <v>5568</v>
      </c>
      <c r="C1440" s="1" t="s">
        <v>3984</v>
      </c>
      <c r="D1440" s="1" t="str">
        <f t="shared" si="1"/>
        <v>Home&amp;Kitchen</v>
      </c>
      <c r="E1440" s="1" t="str">
        <f t="shared" si="2"/>
        <v>Kitchen&amp;HomeAppliances</v>
      </c>
      <c r="F1440" s="5">
        <v>6789.0</v>
      </c>
      <c r="G1440" s="5">
        <v>10995.0</v>
      </c>
      <c r="H1440" s="6">
        <f t="shared" si="3"/>
        <v>0.3825375171</v>
      </c>
      <c r="I1440" s="3">
        <f>IFERROR(__xludf.DUMMYFUNCTION("GOOGLEFINANCE(""CURRENCY:INRBRL"")*F1440"),413.45950351179)</f>
        <v>413.4595035</v>
      </c>
      <c r="J1440" s="1">
        <v>4.51</v>
      </c>
      <c r="K1440" s="1">
        <v>3192.0</v>
      </c>
      <c r="L1440" s="1" t="s">
        <v>5569</v>
      </c>
      <c r="M1440" s="7" t="s">
        <v>5570</v>
      </c>
    </row>
    <row r="1441">
      <c r="A1441" s="1" t="s">
        <v>5571</v>
      </c>
      <c r="B1441" s="1" t="s">
        <v>5572</v>
      </c>
      <c r="C1441" s="1" t="s">
        <v>5573</v>
      </c>
      <c r="D1441" s="1" t="str">
        <f t="shared" si="1"/>
        <v>Home&amp;Kitchen</v>
      </c>
      <c r="E1441" s="1" t="str">
        <f t="shared" si="2"/>
        <v>Heating,Cooling&amp;AirQuality</v>
      </c>
      <c r="F1441" s="5">
        <v>1982.84</v>
      </c>
      <c r="G1441" s="5">
        <v>3299.0</v>
      </c>
      <c r="H1441" s="6">
        <f t="shared" si="3"/>
        <v>0.3989572598</v>
      </c>
      <c r="I1441" s="3">
        <f>IFERROR(__xludf.DUMMYFUNCTION("GOOGLEFINANCE(""CURRENCY:INRBRL"")*F1441"),120.75770245151239)</f>
        <v>120.7577025</v>
      </c>
      <c r="J1441" s="1">
        <v>4.49</v>
      </c>
      <c r="K1441" s="1">
        <v>5873.0</v>
      </c>
      <c r="L1441" s="1" t="s">
        <v>5574</v>
      </c>
      <c r="M1441" s="7" t="s">
        <v>5575</v>
      </c>
    </row>
    <row r="1442">
      <c r="A1442" s="1" t="s">
        <v>5576</v>
      </c>
      <c r="B1442" s="1" t="s">
        <v>5577</v>
      </c>
      <c r="C1442" s="1" t="s">
        <v>4299</v>
      </c>
      <c r="D1442" s="1" t="str">
        <f t="shared" si="1"/>
        <v>Home&amp;Kitchen</v>
      </c>
      <c r="E1442" s="1" t="str">
        <f t="shared" si="2"/>
        <v>Kitchen&amp;HomeAppliances</v>
      </c>
      <c r="F1442" s="1">
        <v>199.0</v>
      </c>
      <c r="G1442" s="1">
        <v>400.0</v>
      </c>
      <c r="H1442" s="6">
        <f t="shared" si="3"/>
        <v>0.5025</v>
      </c>
      <c r="I1442" s="3">
        <f>IFERROR(__xludf.DUMMYFUNCTION("GOOGLEFINANCE(""CURRENCY:INRBRL"")*F1442"),12.11937563689)</f>
        <v>12.11937564</v>
      </c>
      <c r="J1442" s="1">
        <v>4.49</v>
      </c>
      <c r="K1442" s="1">
        <v>1379.0</v>
      </c>
      <c r="L1442" s="1" t="s">
        <v>5578</v>
      </c>
      <c r="M1442" s="7" t="s">
        <v>5579</v>
      </c>
    </row>
    <row r="1443">
      <c r="A1443" s="1" t="s">
        <v>5580</v>
      </c>
      <c r="B1443" s="1" t="s">
        <v>5581</v>
      </c>
      <c r="C1443" s="1" t="s">
        <v>3841</v>
      </c>
      <c r="D1443" s="1" t="str">
        <f t="shared" si="1"/>
        <v>Home&amp;Kitchen</v>
      </c>
      <c r="E1443" s="1" t="str">
        <f t="shared" si="2"/>
        <v>Kitchen&amp;HomeAppliances</v>
      </c>
      <c r="F1443" s="5">
        <v>1179.0</v>
      </c>
      <c r="G1443" s="5">
        <v>1439.0</v>
      </c>
      <c r="H1443" s="6">
        <f t="shared" si="3"/>
        <v>0.1806810285</v>
      </c>
      <c r="I1443" s="3">
        <f>IFERROR(__xludf.DUMMYFUNCTION("GOOGLEFINANCE(""CURRENCY:INRBRL"")*F1443"),71.80273304469)</f>
        <v>71.80273304</v>
      </c>
      <c r="J1443" s="1">
        <v>4.5</v>
      </c>
      <c r="K1443" s="1">
        <v>1527.0</v>
      </c>
      <c r="L1443" s="1" t="s">
        <v>5582</v>
      </c>
      <c r="M1443" s="7" t="s">
        <v>5583</v>
      </c>
    </row>
    <row r="1444">
      <c r="A1444" s="1" t="s">
        <v>5584</v>
      </c>
      <c r="B1444" s="1" t="s">
        <v>5585</v>
      </c>
      <c r="C1444" s="1" t="s">
        <v>4158</v>
      </c>
      <c r="D1444" s="1" t="str">
        <f t="shared" si="1"/>
        <v>Home&amp;Kitchen</v>
      </c>
      <c r="E1444" s="1" t="str">
        <f t="shared" si="2"/>
        <v>Heating,Cooling&amp;AirQuality</v>
      </c>
      <c r="F1444" s="5">
        <v>2199.0</v>
      </c>
      <c r="G1444" s="5">
        <v>3045.0</v>
      </c>
      <c r="H1444" s="6">
        <f t="shared" si="3"/>
        <v>0.2778325123</v>
      </c>
      <c r="I1444" s="3">
        <f>IFERROR(__xludf.DUMMYFUNCTION("GOOGLEFINANCE(""CURRENCY:INRBRL"")*F1444"),133.92214585688998)</f>
        <v>133.9221459</v>
      </c>
      <c r="J1444" s="1">
        <v>4.5</v>
      </c>
      <c r="K1444" s="1">
        <v>2686.0</v>
      </c>
      <c r="L1444" s="1" t="s">
        <v>5586</v>
      </c>
      <c r="M1444" s="7" t="s">
        <v>5587</v>
      </c>
    </row>
    <row r="1445">
      <c r="A1445" s="1" t="s">
        <v>5588</v>
      </c>
      <c r="B1445" s="1" t="s">
        <v>5589</v>
      </c>
      <c r="C1445" s="1" t="s">
        <v>4290</v>
      </c>
      <c r="D1445" s="1" t="str">
        <f t="shared" si="1"/>
        <v>Home&amp;Kitchen</v>
      </c>
      <c r="E1445" s="1" t="str">
        <f t="shared" si="2"/>
        <v>Kitchen&amp;HomeAppliances</v>
      </c>
      <c r="F1445" s="5">
        <v>2999.0</v>
      </c>
      <c r="G1445" s="5">
        <v>3595.0</v>
      </c>
      <c r="H1445" s="6">
        <f t="shared" si="3"/>
        <v>0.1657858136</v>
      </c>
      <c r="I1445" s="3">
        <f>IFERROR(__xludf.DUMMYFUNCTION("GOOGLEFINANCE(""CURRENCY:INRBRL"")*F1445"),182.64325394489)</f>
        <v>182.6432539</v>
      </c>
      <c r="J1445" s="1">
        <v>4.0</v>
      </c>
      <c r="K1445" s="1">
        <v>178.0</v>
      </c>
      <c r="L1445" s="1" t="s">
        <v>5590</v>
      </c>
      <c r="M1445" s="7" t="s">
        <v>5591</v>
      </c>
    </row>
    <row r="1446">
      <c r="A1446" s="1" t="s">
        <v>5592</v>
      </c>
      <c r="B1446" s="1" t="s">
        <v>5593</v>
      </c>
      <c r="C1446" s="1" t="s">
        <v>5594</v>
      </c>
      <c r="D1446" s="1" t="str">
        <f t="shared" si="1"/>
        <v>Home&amp;Kitchen</v>
      </c>
      <c r="E1446" s="1" t="str">
        <f t="shared" si="2"/>
        <v>Kitchen&amp;HomeAppliances</v>
      </c>
      <c r="F1446" s="1">
        <v>253.0</v>
      </c>
      <c r="G1446" s="1">
        <v>500.0</v>
      </c>
      <c r="H1446" s="6">
        <f t="shared" si="3"/>
        <v>0.494</v>
      </c>
      <c r="I1446" s="3">
        <f>IFERROR(__xludf.DUMMYFUNCTION("GOOGLEFINANCE(""CURRENCY:INRBRL"")*F1446"),15.408050432829999)</f>
        <v>15.40805043</v>
      </c>
      <c r="J1446" s="1">
        <v>4.5</v>
      </c>
      <c r="K1446" s="1">
        <v>2664.0</v>
      </c>
      <c r="L1446" s="1" t="s">
        <v>5595</v>
      </c>
      <c r="M1446" s="7" t="s">
        <v>5596</v>
      </c>
    </row>
    <row r="1447">
      <c r="A1447" s="1" t="s">
        <v>5597</v>
      </c>
      <c r="B1447" s="1" t="s">
        <v>5598</v>
      </c>
      <c r="C1447" s="1" t="s">
        <v>4901</v>
      </c>
      <c r="D1447" s="1" t="str">
        <f t="shared" si="1"/>
        <v>Home&amp;Kitchen</v>
      </c>
      <c r="E1447" s="1" t="str">
        <f t="shared" si="2"/>
        <v>Heating,Cooling&amp;AirQuality</v>
      </c>
      <c r="F1447" s="1">
        <v>499.0</v>
      </c>
      <c r="G1447" s="1">
        <v>799.0</v>
      </c>
      <c r="H1447" s="6">
        <f t="shared" si="3"/>
        <v>0.3754693367</v>
      </c>
      <c r="I1447" s="3">
        <f>IFERROR(__xludf.DUMMYFUNCTION("GOOGLEFINANCE(""CURRENCY:INRBRL"")*F1447"),30.38979116989)</f>
        <v>30.38979117</v>
      </c>
      <c r="J1447" s="1">
        <v>4.51</v>
      </c>
      <c r="K1447" s="1">
        <v>212.0</v>
      </c>
      <c r="L1447" s="1" t="s">
        <v>5599</v>
      </c>
      <c r="M1447" s="7" t="s">
        <v>5600</v>
      </c>
    </row>
    <row r="1448">
      <c r="A1448" s="1" t="s">
        <v>5601</v>
      </c>
      <c r="B1448" s="1" t="s">
        <v>5602</v>
      </c>
      <c r="C1448" s="1" t="s">
        <v>3846</v>
      </c>
      <c r="D1448" s="1" t="str">
        <f t="shared" si="1"/>
        <v>Home&amp;Kitchen</v>
      </c>
      <c r="E1448" s="1" t="str">
        <f t="shared" si="2"/>
        <v>Heating,Cooling&amp;AirQuality</v>
      </c>
      <c r="F1448" s="5">
        <v>1149.0</v>
      </c>
      <c r="G1448" s="5">
        <v>1899.0</v>
      </c>
      <c r="H1448" s="6">
        <f t="shared" si="3"/>
        <v>0.3949447077</v>
      </c>
      <c r="I1448" s="3">
        <f>IFERROR(__xludf.DUMMYFUNCTION("GOOGLEFINANCE(""CURRENCY:INRBRL"")*F1448"),69.97569149139)</f>
        <v>69.97569149</v>
      </c>
      <c r="J1448" s="1">
        <v>4.5</v>
      </c>
      <c r="K1448" s="1">
        <v>24.0</v>
      </c>
      <c r="L1448" s="1" t="s">
        <v>5603</v>
      </c>
      <c r="M1448" s="7" t="s">
        <v>5604</v>
      </c>
    </row>
    <row r="1449">
      <c r="A1449" s="1" t="s">
        <v>5605</v>
      </c>
      <c r="B1449" s="1" t="s">
        <v>5606</v>
      </c>
      <c r="C1449" s="1" t="s">
        <v>3909</v>
      </c>
      <c r="D1449" s="1" t="str">
        <f t="shared" si="1"/>
        <v>Home&amp;Kitchen</v>
      </c>
      <c r="E1449" s="1" t="str">
        <f t="shared" si="2"/>
        <v>Kitchen&amp;HomeAppliances</v>
      </c>
      <c r="F1449" s="1">
        <v>457.0</v>
      </c>
      <c r="G1449" s="1">
        <v>799.0</v>
      </c>
      <c r="H1449" s="6">
        <f t="shared" si="3"/>
        <v>0.4280350438</v>
      </c>
      <c r="I1449" s="3">
        <f>IFERROR(__xludf.DUMMYFUNCTION("GOOGLEFINANCE(""CURRENCY:INRBRL"")*F1449"),27.831932995269998)</f>
        <v>27.831933</v>
      </c>
      <c r="J1449" s="1">
        <v>4.5</v>
      </c>
      <c r="K1449" s="1">
        <v>1868.0</v>
      </c>
      <c r="L1449" s="1" t="s">
        <v>5607</v>
      </c>
      <c r="M1449" s="7" t="s">
        <v>5608</v>
      </c>
    </row>
    <row r="1450">
      <c r="A1450" s="1" t="s">
        <v>5609</v>
      </c>
      <c r="B1450" s="1" t="s">
        <v>5610</v>
      </c>
      <c r="C1450" s="1" t="s">
        <v>4884</v>
      </c>
      <c r="D1450" s="1" t="str">
        <f t="shared" si="1"/>
        <v>Home&amp;Kitchen</v>
      </c>
      <c r="E1450" s="1" t="str">
        <f t="shared" si="2"/>
        <v>Kitchen&amp;HomeAppliances</v>
      </c>
      <c r="F1450" s="1">
        <v>229.0</v>
      </c>
      <c r="G1450" s="1">
        <v>399.0</v>
      </c>
      <c r="H1450" s="6">
        <f t="shared" si="3"/>
        <v>0.4260651629</v>
      </c>
      <c r="I1450" s="3">
        <f>IFERROR(__xludf.DUMMYFUNCTION("GOOGLEFINANCE(""CURRENCY:INRBRL"")*F1450"),13.94641719019)</f>
        <v>13.94641719</v>
      </c>
      <c r="J1450" s="1">
        <v>4.51</v>
      </c>
      <c r="K1450" s="1">
        <v>451.0</v>
      </c>
      <c r="L1450" s="1" t="s">
        <v>5611</v>
      </c>
      <c r="M1450" s="7" t="s">
        <v>5612</v>
      </c>
    </row>
    <row r="1451">
      <c r="A1451" s="1" t="s">
        <v>5613</v>
      </c>
      <c r="B1451" s="1" t="s">
        <v>5614</v>
      </c>
      <c r="C1451" s="1" t="s">
        <v>4299</v>
      </c>
      <c r="D1451" s="1" t="str">
        <f t="shared" si="1"/>
        <v>Home&amp;Kitchen</v>
      </c>
      <c r="E1451" s="1" t="str">
        <f t="shared" si="2"/>
        <v>Kitchen&amp;HomeAppliances</v>
      </c>
      <c r="F1451" s="1">
        <v>199.0</v>
      </c>
      <c r="G1451" s="1">
        <v>699.0</v>
      </c>
      <c r="H1451" s="6">
        <f t="shared" si="3"/>
        <v>0.7153075823</v>
      </c>
      <c r="I1451" s="3">
        <f>IFERROR(__xludf.DUMMYFUNCTION("GOOGLEFINANCE(""CURRENCY:INRBRL"")*F1451"),12.11937563689)</f>
        <v>12.11937564</v>
      </c>
      <c r="J1451" s="1">
        <v>4.52</v>
      </c>
      <c r="K1451" s="1">
        <v>159.0</v>
      </c>
      <c r="L1451" s="1" t="s">
        <v>5615</v>
      </c>
      <c r="M1451" s="7" t="s">
        <v>5616</v>
      </c>
    </row>
    <row r="1452">
      <c r="A1452" s="1" t="s">
        <v>5617</v>
      </c>
      <c r="B1452" s="1" t="s">
        <v>5618</v>
      </c>
      <c r="C1452" s="1" t="s">
        <v>5259</v>
      </c>
      <c r="D1452" s="1" t="str">
        <f t="shared" si="1"/>
        <v>Home&amp;Kitchen</v>
      </c>
      <c r="E1452" s="1" t="str">
        <f t="shared" si="2"/>
        <v>Kitchen&amp;HomeAppliances</v>
      </c>
      <c r="F1452" s="1">
        <v>899.0</v>
      </c>
      <c r="G1452" s="5">
        <v>1999.0</v>
      </c>
      <c r="H1452" s="6">
        <f t="shared" si="3"/>
        <v>0.5502751376</v>
      </c>
      <c r="I1452" s="3">
        <f>IFERROR(__xludf.DUMMYFUNCTION("GOOGLEFINANCE(""CURRENCY:INRBRL"")*F1452"),54.75034521389)</f>
        <v>54.75034521</v>
      </c>
      <c r="J1452" s="1">
        <v>4.5</v>
      </c>
      <c r="K1452" s="1">
        <v>39.0</v>
      </c>
      <c r="L1452" s="1" t="s">
        <v>5619</v>
      </c>
      <c r="M1452" s="7" t="s">
        <v>5620</v>
      </c>
    </row>
    <row r="1453">
      <c r="A1453" s="1" t="s">
        <v>5621</v>
      </c>
      <c r="B1453" s="1" t="s">
        <v>5622</v>
      </c>
      <c r="C1453" s="1" t="s">
        <v>4596</v>
      </c>
      <c r="D1453" s="1" t="str">
        <f t="shared" si="1"/>
        <v>Home&amp;Kitchen</v>
      </c>
      <c r="E1453" s="1" t="str">
        <f t="shared" si="2"/>
        <v>Kitchen&amp;HomeAppliances</v>
      </c>
      <c r="F1453" s="5">
        <v>1499.0</v>
      </c>
      <c r="G1453" s="5">
        <v>2199.0</v>
      </c>
      <c r="H1453" s="6">
        <f t="shared" si="3"/>
        <v>0.3183265121</v>
      </c>
      <c r="I1453" s="3">
        <f>IFERROR(__xludf.DUMMYFUNCTION("GOOGLEFINANCE(""CURRENCY:INRBRL"")*F1453"),91.29117627989)</f>
        <v>91.29117628</v>
      </c>
      <c r="J1453" s="1">
        <v>4.5</v>
      </c>
      <c r="K1453" s="1">
        <v>6531.0</v>
      </c>
      <c r="L1453" s="1" t="s">
        <v>5623</v>
      </c>
      <c r="M1453" s="7" t="s">
        <v>5624</v>
      </c>
    </row>
    <row r="1454">
      <c r="A1454" s="1" t="s">
        <v>5625</v>
      </c>
      <c r="B1454" s="1" t="s">
        <v>5626</v>
      </c>
      <c r="C1454" s="1" t="s">
        <v>3904</v>
      </c>
      <c r="D1454" s="1" t="str">
        <f t="shared" si="1"/>
        <v>Home&amp;Kitchen</v>
      </c>
      <c r="E1454" s="1" t="str">
        <f t="shared" si="2"/>
        <v>Kitchen&amp;HomeAppliances</v>
      </c>
      <c r="F1454" s="1">
        <v>426.0</v>
      </c>
      <c r="G1454" s="1">
        <v>999.0</v>
      </c>
      <c r="H1454" s="6">
        <f t="shared" si="3"/>
        <v>0.5735735736</v>
      </c>
      <c r="I1454" s="3">
        <f>IFERROR(__xludf.DUMMYFUNCTION("GOOGLEFINANCE(""CURRENCY:INRBRL"")*F1454"),25.94399005686)</f>
        <v>25.94399006</v>
      </c>
      <c r="J1454" s="1">
        <v>4.49</v>
      </c>
      <c r="K1454" s="1">
        <v>222.0</v>
      </c>
      <c r="L1454" s="1" t="s">
        <v>5627</v>
      </c>
      <c r="M1454" s="7" t="s">
        <v>5628</v>
      </c>
    </row>
    <row r="1455">
      <c r="A1455" s="1" t="s">
        <v>5629</v>
      </c>
      <c r="B1455" s="1" t="s">
        <v>5630</v>
      </c>
      <c r="C1455" s="1" t="s">
        <v>3851</v>
      </c>
      <c r="D1455" s="1" t="str">
        <f t="shared" si="1"/>
        <v>Home&amp;Kitchen</v>
      </c>
      <c r="E1455" s="1" t="str">
        <f t="shared" si="2"/>
        <v>Heating,Cooling&amp;AirQuality</v>
      </c>
      <c r="F1455" s="5">
        <v>2319.0</v>
      </c>
      <c r="G1455" s="5">
        <v>3289.0</v>
      </c>
      <c r="H1455" s="6">
        <f t="shared" si="3"/>
        <v>0.2949224688</v>
      </c>
      <c r="I1455" s="3">
        <f>IFERROR(__xludf.DUMMYFUNCTION("GOOGLEFINANCE(""CURRENCY:INRBRL"")*F1455"),141.23031207009)</f>
        <v>141.2303121</v>
      </c>
      <c r="J1455" s="1">
        <v>4.51</v>
      </c>
      <c r="K1455" s="1">
        <v>195.0</v>
      </c>
      <c r="L1455" s="1" t="s">
        <v>5631</v>
      </c>
      <c r="M1455" s="7" t="s">
        <v>5632</v>
      </c>
    </row>
    <row r="1456">
      <c r="A1456" s="1" t="s">
        <v>5633</v>
      </c>
      <c r="B1456" s="1" t="s">
        <v>5634</v>
      </c>
      <c r="C1456" s="1" t="s">
        <v>4558</v>
      </c>
      <c r="D1456" s="1" t="str">
        <f t="shared" si="1"/>
        <v>Home&amp;Kitchen</v>
      </c>
      <c r="E1456" s="1" t="str">
        <f t="shared" si="2"/>
        <v>Kitchen&amp;HomeAppliances</v>
      </c>
      <c r="F1456" s="5">
        <v>1563.0</v>
      </c>
      <c r="G1456" s="5">
        <v>3098.0</v>
      </c>
      <c r="H1456" s="6">
        <f t="shared" si="3"/>
        <v>0.4954809555</v>
      </c>
      <c r="I1456" s="3">
        <f>IFERROR(__xludf.DUMMYFUNCTION("GOOGLEFINANCE(""CURRENCY:INRBRL"")*F1456"),95.18886492693)</f>
        <v>95.18886493</v>
      </c>
      <c r="J1456" s="1">
        <v>4.5</v>
      </c>
      <c r="K1456" s="1">
        <v>2283.0</v>
      </c>
      <c r="L1456" s="1" t="s">
        <v>5635</v>
      </c>
      <c r="M1456" s="7" t="s">
        <v>5636</v>
      </c>
    </row>
    <row r="1457">
      <c r="A1457" s="1" t="s">
        <v>5637</v>
      </c>
      <c r="B1457" s="1" t="s">
        <v>5638</v>
      </c>
      <c r="C1457" s="1" t="s">
        <v>3846</v>
      </c>
      <c r="D1457" s="1" t="str">
        <f t="shared" si="1"/>
        <v>Home&amp;Kitchen</v>
      </c>
      <c r="E1457" s="1" t="str">
        <f t="shared" si="2"/>
        <v>Heating,Cooling&amp;AirQuality</v>
      </c>
      <c r="F1457" s="5">
        <v>3487.77</v>
      </c>
      <c r="G1457" s="5">
        <v>4989.0</v>
      </c>
      <c r="H1457" s="6">
        <f t="shared" si="3"/>
        <v>0.3009079976</v>
      </c>
      <c r="I1457" s="3">
        <f>IFERROR(__xludf.DUMMYFUNCTION("GOOGLEFINANCE(""CURRENCY:INRBRL"")*F1457"),212.41002394510468)</f>
        <v>212.4100239</v>
      </c>
      <c r="J1457" s="1">
        <v>4.49</v>
      </c>
      <c r="K1457" s="1">
        <v>1127.0</v>
      </c>
      <c r="L1457" s="1" t="s">
        <v>5639</v>
      </c>
      <c r="M1457" s="7" t="s">
        <v>5640</v>
      </c>
    </row>
    <row r="1458">
      <c r="A1458" s="1" t="s">
        <v>5641</v>
      </c>
      <c r="B1458" s="1" t="s">
        <v>5642</v>
      </c>
      <c r="C1458" s="1" t="s">
        <v>4115</v>
      </c>
      <c r="D1458" s="1" t="str">
        <f t="shared" si="1"/>
        <v>Home&amp;Kitchen</v>
      </c>
      <c r="E1458" s="1" t="str">
        <f t="shared" si="2"/>
        <v>Kitchen&amp;HomeAppliances</v>
      </c>
      <c r="F1458" s="1">
        <v>498.0</v>
      </c>
      <c r="G1458" s="5">
        <v>1199.0</v>
      </c>
      <c r="H1458" s="6">
        <f t="shared" si="3"/>
        <v>0.5846538782</v>
      </c>
      <c r="I1458" s="3">
        <f>IFERROR(__xludf.DUMMYFUNCTION("GOOGLEFINANCE(""CURRENCY:INRBRL"")*F1458"),30.32888978478)</f>
        <v>30.32888978</v>
      </c>
      <c r="J1458" s="1">
        <v>4.5</v>
      </c>
      <c r="K1458" s="1">
        <v>113.0</v>
      </c>
      <c r="L1458" s="1" t="s">
        <v>5643</v>
      </c>
      <c r="M1458" s="7" t="s">
        <v>5644</v>
      </c>
    </row>
    <row r="1459">
      <c r="A1459" s="1" t="s">
        <v>5645</v>
      </c>
      <c r="B1459" s="1" t="s">
        <v>5646</v>
      </c>
      <c r="C1459" s="1" t="s">
        <v>3841</v>
      </c>
      <c r="D1459" s="1" t="str">
        <f t="shared" si="1"/>
        <v>Home&amp;Kitchen</v>
      </c>
      <c r="E1459" s="1" t="str">
        <f t="shared" si="2"/>
        <v>Kitchen&amp;HomeAppliances</v>
      </c>
      <c r="F1459" s="5">
        <v>2695.0</v>
      </c>
      <c r="G1459" s="5">
        <v>2695.0</v>
      </c>
      <c r="H1459" s="6">
        <f t="shared" si="3"/>
        <v>0</v>
      </c>
      <c r="I1459" s="3">
        <f>IFERROR(__xludf.DUMMYFUNCTION("GOOGLEFINANCE(""CURRENCY:INRBRL"")*F1459"),164.12923287145)</f>
        <v>164.1292329</v>
      </c>
      <c r="J1459" s="1">
        <v>4.5</v>
      </c>
      <c r="K1459" s="1">
        <v>2518.0</v>
      </c>
      <c r="L1459" s="1" t="s">
        <v>5647</v>
      </c>
      <c r="M1459" s="7" t="s">
        <v>5648</v>
      </c>
    </row>
    <row r="1460">
      <c r="A1460" s="1" t="s">
        <v>5649</v>
      </c>
      <c r="B1460" s="1" t="s">
        <v>5650</v>
      </c>
      <c r="C1460" s="1" t="s">
        <v>3846</v>
      </c>
      <c r="D1460" s="1" t="str">
        <f t="shared" si="1"/>
        <v>Home&amp;Kitchen</v>
      </c>
      <c r="E1460" s="1" t="str">
        <f t="shared" si="2"/>
        <v>Heating,Cooling&amp;AirQuality</v>
      </c>
      <c r="F1460" s="1">
        <v>949.0</v>
      </c>
      <c r="G1460" s="5">
        <v>2299.0</v>
      </c>
      <c r="H1460" s="6">
        <f t="shared" si="3"/>
        <v>0.5872118312</v>
      </c>
      <c r="I1460" s="3">
        <f>IFERROR(__xludf.DUMMYFUNCTION("GOOGLEFINANCE(""CURRENCY:INRBRL"")*F1460"),57.795414469389996)</f>
        <v>57.79541447</v>
      </c>
      <c r="J1460" s="1">
        <v>4.51</v>
      </c>
      <c r="K1460" s="1">
        <v>550.0</v>
      </c>
      <c r="L1460" s="1" t="s">
        <v>5651</v>
      </c>
      <c r="M1460" s="7" t="s">
        <v>5652</v>
      </c>
    </row>
    <row r="1461">
      <c r="A1461" s="1" t="s">
        <v>5653</v>
      </c>
      <c r="B1461" s="1" t="s">
        <v>5654</v>
      </c>
      <c r="C1461" s="1" t="s">
        <v>3856</v>
      </c>
      <c r="D1461" s="1" t="str">
        <f t="shared" si="1"/>
        <v>Home&amp;Kitchen</v>
      </c>
      <c r="E1461" s="1" t="str">
        <f t="shared" si="2"/>
        <v>Kitchen&amp;HomeAppliances</v>
      </c>
      <c r="F1461" s="1">
        <v>199.0</v>
      </c>
      <c r="G1461" s="1">
        <v>999.0</v>
      </c>
      <c r="H1461" s="6">
        <f t="shared" si="3"/>
        <v>0.8008008008</v>
      </c>
      <c r="I1461" s="3">
        <f>IFERROR(__xludf.DUMMYFUNCTION("GOOGLEFINANCE(""CURRENCY:INRBRL"")*F1461"),12.11937563689)</f>
        <v>12.11937564</v>
      </c>
      <c r="J1461" s="1">
        <v>4.49</v>
      </c>
      <c r="K1461" s="1">
        <v>2.0</v>
      </c>
      <c r="L1461" s="1" t="s">
        <v>5655</v>
      </c>
      <c r="M1461" s="7" t="s">
        <v>5656</v>
      </c>
    </row>
    <row r="1462">
      <c r="A1462" s="1" t="s">
        <v>5657</v>
      </c>
      <c r="B1462" s="1" t="s">
        <v>5658</v>
      </c>
      <c r="C1462" s="1" t="s">
        <v>4299</v>
      </c>
      <c r="D1462" s="1" t="str">
        <f t="shared" si="1"/>
        <v>Home&amp;Kitchen</v>
      </c>
      <c r="E1462" s="1" t="str">
        <f t="shared" si="2"/>
        <v>Kitchen&amp;HomeAppliances</v>
      </c>
      <c r="F1462" s="1">
        <v>379.0</v>
      </c>
      <c r="G1462" s="1">
        <v>919.0</v>
      </c>
      <c r="H1462" s="6">
        <f t="shared" si="3"/>
        <v>0.5875952122</v>
      </c>
      <c r="I1462" s="3">
        <f>IFERROR(__xludf.DUMMYFUNCTION("GOOGLEFINANCE(""CURRENCY:INRBRL"")*F1462"),23.08162495669)</f>
        <v>23.08162496</v>
      </c>
      <c r="J1462" s="1">
        <v>4.0</v>
      </c>
      <c r="K1462" s="1">
        <v>109.0</v>
      </c>
      <c r="L1462" s="1" t="s">
        <v>5659</v>
      </c>
      <c r="M1462" s="7" t="s">
        <v>5660</v>
      </c>
    </row>
    <row r="1463">
      <c r="A1463" s="1" t="s">
        <v>5661</v>
      </c>
      <c r="B1463" s="1" t="s">
        <v>5662</v>
      </c>
      <c r="C1463" s="1" t="s">
        <v>4325</v>
      </c>
      <c r="D1463" s="1" t="str">
        <f t="shared" si="1"/>
        <v>Home&amp;Kitchen</v>
      </c>
      <c r="E1463" s="1" t="str">
        <f t="shared" si="2"/>
        <v>Kitchen&amp;HomeAppliances</v>
      </c>
      <c r="F1463" s="5">
        <v>2279.0</v>
      </c>
      <c r="G1463" s="5">
        <v>3045.0</v>
      </c>
      <c r="H1463" s="6">
        <f t="shared" si="3"/>
        <v>0.2515599343</v>
      </c>
      <c r="I1463" s="3">
        <f>IFERROR(__xludf.DUMMYFUNCTION("GOOGLEFINANCE(""CURRENCY:INRBRL"")*F1463"),138.79425666569)</f>
        <v>138.7942567</v>
      </c>
      <c r="J1463" s="1">
        <v>4.49</v>
      </c>
      <c r="K1463" s="1">
        <v>4118.0</v>
      </c>
      <c r="L1463" s="1" t="s">
        <v>5663</v>
      </c>
      <c r="M1463" s="7" t="s">
        <v>5664</v>
      </c>
    </row>
    <row r="1464">
      <c r="A1464" s="1" t="s">
        <v>5665</v>
      </c>
      <c r="B1464" s="1" t="s">
        <v>5666</v>
      </c>
      <c r="C1464" s="1" t="s">
        <v>4235</v>
      </c>
      <c r="D1464" s="1" t="str">
        <f t="shared" si="1"/>
        <v>Home&amp;Kitchen</v>
      </c>
      <c r="E1464" s="1" t="str">
        <f t="shared" si="2"/>
        <v>Heating,Cooling&amp;AirQuality</v>
      </c>
      <c r="F1464" s="5">
        <v>2219.0</v>
      </c>
      <c r="G1464" s="5">
        <v>3079.0</v>
      </c>
      <c r="H1464" s="6">
        <f t="shared" si="3"/>
        <v>0.2793114648</v>
      </c>
      <c r="I1464" s="3">
        <f>IFERROR(__xludf.DUMMYFUNCTION("GOOGLEFINANCE(""CURRENCY:INRBRL"")*F1464"),135.14017355909)</f>
        <v>135.1401736</v>
      </c>
      <c r="J1464" s="1">
        <v>4.51</v>
      </c>
      <c r="K1464" s="1">
        <v>468.0</v>
      </c>
      <c r="L1464" s="1" t="s">
        <v>5667</v>
      </c>
      <c r="M1464" s="7" t="s">
        <v>5668</v>
      </c>
    </row>
    <row r="1465">
      <c r="A1465" s="1" t="s">
        <v>5669</v>
      </c>
      <c r="B1465" s="1" t="s">
        <v>5670</v>
      </c>
      <c r="C1465" s="1" t="s">
        <v>4281</v>
      </c>
      <c r="D1465" s="1" t="str">
        <f t="shared" si="1"/>
        <v>Home&amp;Kitchen</v>
      </c>
      <c r="E1465" s="1" t="str">
        <f t="shared" si="2"/>
        <v>Heating,Cooling&amp;AirQuality</v>
      </c>
      <c r="F1465" s="5">
        <v>1399.0</v>
      </c>
      <c r="G1465" s="5">
        <v>1889.0</v>
      </c>
      <c r="H1465" s="6">
        <f t="shared" si="3"/>
        <v>0.2593965061</v>
      </c>
      <c r="I1465" s="3">
        <f>IFERROR(__xludf.DUMMYFUNCTION("GOOGLEFINANCE(""CURRENCY:INRBRL"")*F1465"),85.20103776889)</f>
        <v>85.20103777</v>
      </c>
      <c r="J1465" s="1">
        <v>4.0</v>
      </c>
      <c r="K1465" s="1">
        <v>8031.0</v>
      </c>
      <c r="L1465" s="1" t="s">
        <v>5671</v>
      </c>
      <c r="M1465" s="7" t="s">
        <v>5672</v>
      </c>
    </row>
    <row r="1466">
      <c r="A1466" s="1" t="s">
        <v>5673</v>
      </c>
      <c r="B1466" s="1" t="s">
        <v>5674</v>
      </c>
      <c r="C1466" s="1" t="s">
        <v>4062</v>
      </c>
      <c r="D1466" s="1" t="str">
        <f t="shared" si="1"/>
        <v>Home&amp;Kitchen</v>
      </c>
      <c r="E1466" s="1" t="str">
        <f t="shared" si="2"/>
        <v>Kitchen&amp;HomeAppliances</v>
      </c>
      <c r="F1466" s="5">
        <v>2863.0</v>
      </c>
      <c r="G1466" s="5">
        <v>3689.0</v>
      </c>
      <c r="H1466" s="6">
        <f t="shared" si="3"/>
        <v>0.2239089184</v>
      </c>
      <c r="I1466" s="3">
        <f>IFERROR(__xludf.DUMMYFUNCTION("GOOGLEFINANCE(""CURRENCY:INRBRL"")*F1466"),174.36066556993)</f>
        <v>174.3606656</v>
      </c>
      <c r="J1466" s="1">
        <v>4.5</v>
      </c>
      <c r="K1466" s="1">
        <v>6987.0</v>
      </c>
      <c r="L1466" s="1" t="s">
        <v>5675</v>
      </c>
      <c r="M1466" s="7" t="s">
        <v>5676</v>
      </c>
    </row>
    <row r="1467">
      <c r="F1467" s="8"/>
      <c r="G1467" s="8"/>
      <c r="H1467" s="8"/>
      <c r="I1467" s="8"/>
      <c r="J1467" s="9"/>
      <c r="K1467" s="10"/>
    </row>
    <row r="1468">
      <c r="F1468" s="8"/>
      <c r="G1468" s="8"/>
      <c r="H1468" s="8"/>
      <c r="I1468" s="8"/>
      <c r="J1468" s="9"/>
      <c r="K1468" s="10"/>
    </row>
  </sheetData>
  <autoFilter ref="$A$1:$M$1466"/>
  <conditionalFormatting sqref="J1:J1468">
    <cfRule type="colorScale" priority="1">
      <colorScale>
        <cfvo type="formula" val="0"/>
        <cfvo type="formula" val="4.5"/>
        <cfvo type="formula" val="5"/>
        <color rgb="FFFFFFFF"/>
        <color rgb="FFB6D7A8"/>
        <color rgb="FF6AA84F"/>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drawing r:id="rId1466"/>
</worksheet>
</file>