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1340" windowHeight="2205"/>
  </bookViews>
  <sheets>
    <sheet name="Arkusz1" sheetId="1" r:id="rId1"/>
    <sheet name="Arkusz2" sheetId="2" r:id="rId2"/>
    <sheet name="Arkusz3" sheetId="3" r:id="rId3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5621"/>
</workbook>
</file>

<file path=xl/calcChain.xml><?xml version="1.0" encoding="utf-8"?>
<calcChain xmlns="http://schemas.openxmlformats.org/spreadsheetml/2006/main">
  <c r="H9" i="1" l="1"/>
  <c r="G9" i="1"/>
  <c r="H10" i="1"/>
  <c r="H8" i="1"/>
  <c r="H6" i="1"/>
  <c r="F18" i="1"/>
  <c r="F17" i="1"/>
  <c r="F16" i="1"/>
  <c r="F15" i="1"/>
  <c r="T9" i="1"/>
  <c r="V8" i="1" l="1"/>
  <c r="T8" i="1"/>
  <c r="V10" i="1"/>
  <c r="U10" i="1"/>
  <c r="T10" i="1"/>
  <c r="T6" i="1"/>
  <c r="V6" i="1" s="1"/>
  <c r="S1" i="1"/>
  <c r="V5" i="1"/>
  <c r="U5" i="1"/>
  <c r="T5" i="1"/>
  <c r="V4" i="1"/>
  <c r="U4" i="1"/>
  <c r="T4" i="1"/>
  <c r="V3" i="1"/>
  <c r="U3" i="1"/>
  <c r="T3" i="1"/>
  <c r="L23" i="1"/>
  <c r="U9" i="1" l="1"/>
  <c r="V9" i="1" s="1"/>
  <c r="D37" i="1"/>
  <c r="D38" i="1"/>
  <c r="D36" i="1"/>
  <c r="D30" i="1"/>
  <c r="D31" i="1"/>
  <c r="D29" i="1"/>
  <c r="G18" i="1" l="1"/>
  <c r="E18" i="1"/>
  <c r="G10" i="1"/>
  <c r="F10" i="1"/>
  <c r="F14" i="1"/>
  <c r="E10" i="1"/>
  <c r="F6" i="1" l="1"/>
  <c r="E16" i="1"/>
  <c r="G16" i="1" s="1"/>
  <c r="C3" i="1"/>
  <c r="E8" i="1" s="1"/>
  <c r="F8" i="1" s="1"/>
  <c r="G8" i="1" s="1"/>
  <c r="E17" i="1" l="1"/>
  <c r="E14" i="1"/>
  <c r="G14" i="1" s="1"/>
  <c r="E9" i="1"/>
  <c r="F9" i="1" s="1"/>
  <c r="E15" i="1"/>
  <c r="G15" i="1" s="1"/>
  <c r="E6" i="1"/>
  <c r="G6" i="1" s="1"/>
  <c r="G17" i="1" l="1"/>
</calcChain>
</file>

<file path=xl/sharedStrings.xml><?xml version="1.0" encoding="utf-8"?>
<sst xmlns="http://schemas.openxmlformats.org/spreadsheetml/2006/main" count="82" uniqueCount="53">
  <si>
    <t>H</t>
  </si>
  <si>
    <t>LCL</t>
  </si>
  <si>
    <t>F</t>
  </si>
  <si>
    <t>33kv_cable</t>
  </si>
  <si>
    <t>ohm</t>
  </si>
  <si>
    <t>3wind_trafo</t>
  </si>
  <si>
    <t>150kv_cable</t>
  </si>
  <si>
    <t>conv_trafo</t>
  </si>
  <si>
    <t>tuned_filter</t>
  </si>
  <si>
    <t>ph_reactor</t>
  </si>
  <si>
    <t>TO 150kV</t>
  </si>
  <si>
    <t>f</t>
  </si>
  <si>
    <t>w (2pif)</t>
  </si>
  <si>
    <t>gen_trafo</t>
  </si>
  <si>
    <t>X</t>
  </si>
  <si>
    <t>X'</t>
  </si>
  <si>
    <t>L',C'</t>
  </si>
  <si>
    <t>km</t>
  </si>
  <si>
    <t>H/km</t>
  </si>
  <si>
    <t>ohm/km</t>
  </si>
  <si>
    <t>F/km</t>
  </si>
  <si>
    <t>Aalto Case</t>
  </si>
  <si>
    <t>Lulea Case</t>
  </si>
  <si>
    <t>Trafo 115/34.5</t>
  </si>
  <si>
    <t>Trafo 34.5/0.69</t>
  </si>
  <si>
    <t>Induction mach</t>
  </si>
  <si>
    <t>Cable</t>
  </si>
  <si>
    <t>Cap. Banks</t>
  </si>
  <si>
    <t>OHL</t>
  </si>
  <si>
    <t>Grid</t>
  </si>
  <si>
    <t>V2</t>
  </si>
  <si>
    <t>V1</t>
  </si>
  <si>
    <t>S/Sf</t>
  </si>
  <si>
    <t>2x</t>
  </si>
  <si>
    <t>100x</t>
  </si>
  <si>
    <t>length</t>
  </si>
  <si>
    <t>MVA</t>
  </si>
  <si>
    <t>MVAr</t>
  </si>
  <si>
    <t>MW</t>
  </si>
  <si>
    <t>Z</t>
  </si>
  <si>
    <t>uF/km</t>
  </si>
  <si>
    <t>X/R</t>
  </si>
  <si>
    <t>1x</t>
  </si>
  <si>
    <t>Cables</t>
  </si>
  <si>
    <t>SUM</t>
  </si>
  <si>
    <t>TO 34.5 kV</t>
  </si>
  <si>
    <t>abs(Z)</t>
  </si>
  <si>
    <t>R</t>
  </si>
  <si>
    <t>(total)</t>
  </si>
  <si>
    <t>(one IM)</t>
  </si>
  <si>
    <t>neglected</t>
  </si>
  <si>
    <t>both? (parallel conn!)</t>
  </si>
  <si>
    <t>To 33kV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</si>
</sst>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00"/>
    <numFmt numFmtId="165" formatCode="0.0000"/>
    <numFmt numFmtId="166" formatCode="0.000"/>
    <numFmt numFmtId="167" formatCode="0.0"/>
    <numFmt numFmtId="170" formatCode="0.0000E+00"/>
  </numFmts>
  <fonts count="5" x14ac:knownFonts="1">
    <font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11" fontId="0" fillId="0" borderId="0" xfId="0" applyNumberFormat="1"/>
    <xf numFmtId="0" fontId="0" fillId="2" borderId="0" xfId="0" applyFill="1"/>
    <xf numFmtId="11" fontId="0" fillId="3" borderId="0" xfId="0" applyNumberFormat="1" applyFill="1"/>
    <xf numFmtId="0" fontId="0" fillId="3" borderId="0" xfId="0" applyFill="1"/>
    <xf numFmtId="0" fontId="1" fillId="0" borderId="0" xfId="0" applyFont="1"/>
    <xf numFmtId="11" fontId="1" fillId="0" borderId="0" xfId="0" applyNumberFormat="1" applyFont="1"/>
    <xf numFmtId="11" fontId="1" fillId="3" borderId="0" xfId="0" applyNumberFormat="1" applyFont="1" applyFill="1"/>
    <xf numFmtId="11" fontId="2" fillId="0" borderId="0" xfId="0" applyNumberFormat="1" applyFont="1" applyFill="1"/>
    <xf numFmtId="9" fontId="0" fillId="0" borderId="0" xfId="0" applyNumberFormat="1"/>
    <xf numFmtId="10" fontId="0" fillId="0" borderId="0" xfId="0" applyNumberFormat="1"/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166" fontId="0" fillId="4" borderId="0" xfId="0" applyNumberFormat="1" applyFill="1"/>
    <xf numFmtId="0" fontId="0" fillId="4" borderId="0" xfId="0" applyFill="1"/>
    <xf numFmtId="0" fontId="3" fillId="0" borderId="0" xfId="0" applyFont="1" applyAlignment="1">
      <alignment horizontal="center"/>
    </xf>
    <xf numFmtId="0" fontId="0" fillId="5" borderId="0" xfId="0" applyFill="1"/>
    <xf numFmtId="11" fontId="0" fillId="5" borderId="0" xfId="0" applyNumberFormat="1" applyFill="1"/>
    <xf numFmtId="11" fontId="1" fillId="5" borderId="0" xfId="0" applyNumberFormat="1" applyFont="1" applyFill="1"/>
    <xf numFmtId="170" fontId="0" fillId="3" borderId="0" xfId="0" applyNumberFormat="1" applyFill="1"/>
    <xf numFmtId="170" fontId="0" fillId="0" borderId="0" xfId="0" applyNumberFormat="1"/>
    <xf numFmtId="170" fontId="1" fillId="3" borderId="0" xfId="0" applyNumberFormat="1" applyFont="1" applyFill="1"/>
  </cellXfs>
  <cellStyles count="1">
    <cellStyle name="Normalny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39"/>
  <sheetViews>
    <sheetView tabSelected="1" zoomScale="80" zoomScaleNormal="80" workbookViewId="0">
      <selection activeCell="G17" sqref="G17"/>
    </sheetView>
  </sheetViews>
  <sheetFormatPr defaultRowHeight="15" x14ac:dyDescent="0.25"/>
  <cols>
    <col min="2" max="2" width="12.140625" customWidth="1"/>
    <col min="3" max="3" width="12.7109375" customWidth="1"/>
    <col min="7" max="7" width="14" customWidth="1"/>
    <col min="11" max="11" width="14.7109375" bestFit="1" customWidth="1"/>
    <col min="18" max="18" width="10.28515625" bestFit="1" customWidth="1"/>
    <col min="19" max="19" width="10.7109375" bestFit="1" customWidth="1"/>
    <col min="20" max="20" width="10.140625" bestFit="1" customWidth="1"/>
    <col min="21" max="21" width="10.85546875" bestFit="1" customWidth="1"/>
    <col min="22" max="22" width="10" customWidth="1"/>
  </cols>
  <sheetData>
    <row r="1" spans="2:22" ht="21" x14ac:dyDescent="0.35">
      <c r="B1" s="20" t="s">
        <v>21</v>
      </c>
      <c r="C1" s="20"/>
      <c r="D1" s="20"/>
      <c r="E1" s="20"/>
      <c r="F1" s="20"/>
      <c r="G1" s="20"/>
      <c r="H1" s="12"/>
      <c r="K1" s="11" t="s">
        <v>22</v>
      </c>
      <c r="S1">
        <f>2*3.1415*50</f>
        <v>314.15000000000003</v>
      </c>
      <c r="T1" t="s">
        <v>45</v>
      </c>
    </row>
    <row r="2" spans="2:22" x14ac:dyDescent="0.25">
      <c r="B2" t="s">
        <v>11</v>
      </c>
      <c r="C2" t="s">
        <v>12</v>
      </c>
      <c r="L2" t="s">
        <v>30</v>
      </c>
      <c r="M2" t="s">
        <v>31</v>
      </c>
      <c r="N2" t="s">
        <v>32</v>
      </c>
      <c r="P2" t="s">
        <v>39</v>
      </c>
      <c r="R2" t="s">
        <v>41</v>
      </c>
      <c r="T2" t="s">
        <v>46</v>
      </c>
      <c r="U2" t="s">
        <v>47</v>
      </c>
      <c r="V2" t="s">
        <v>14</v>
      </c>
    </row>
    <row r="3" spans="2:22" x14ac:dyDescent="0.25">
      <c r="B3">
        <v>50</v>
      </c>
      <c r="C3">
        <f>2*3.1415*B3</f>
        <v>314.15000000000003</v>
      </c>
      <c r="J3" t="s">
        <v>33</v>
      </c>
      <c r="K3" t="s">
        <v>23</v>
      </c>
      <c r="L3">
        <v>115</v>
      </c>
      <c r="M3">
        <v>34.5</v>
      </c>
      <c r="N3">
        <v>250</v>
      </c>
      <c r="O3" t="s">
        <v>36</v>
      </c>
      <c r="P3" s="9">
        <v>0.18</v>
      </c>
      <c r="R3">
        <v>12</v>
      </c>
      <c r="T3">
        <f>M3^2/N3*P3</f>
        <v>0.85697999999999996</v>
      </c>
      <c r="U3" s="14">
        <f>T3/SQRT(1+R3^2)</f>
        <v>7.1168315325058074E-2</v>
      </c>
      <c r="V3" s="14">
        <f>SQRT(T3^2-U3^2)</f>
        <v>0.85401978390069688</v>
      </c>
    </row>
    <row r="4" spans="2:22" x14ac:dyDescent="0.25">
      <c r="G4" s="4" t="s">
        <v>10</v>
      </c>
      <c r="H4" s="21" t="s">
        <v>52</v>
      </c>
      <c r="J4" t="s">
        <v>34</v>
      </c>
      <c r="K4" t="s">
        <v>24</v>
      </c>
      <c r="L4">
        <v>34.5</v>
      </c>
      <c r="M4">
        <v>0.69</v>
      </c>
      <c r="N4">
        <v>2.5</v>
      </c>
      <c r="O4" t="s">
        <v>36</v>
      </c>
      <c r="P4" s="9">
        <v>0.05</v>
      </c>
      <c r="R4">
        <v>5</v>
      </c>
      <c r="T4">
        <f>L4^2/N4*P4</f>
        <v>23.805000000000003</v>
      </c>
      <c r="U4" s="16">
        <f>T4/SQRT(1+R4^2)</f>
        <v>4.6685445969644714</v>
      </c>
      <c r="V4" s="16">
        <f>SQRT(T4^2-U4^2)</f>
        <v>23.342722984822359</v>
      </c>
    </row>
    <row r="5" spans="2:22" x14ac:dyDescent="0.25">
      <c r="B5" s="2">
        <v>8000</v>
      </c>
      <c r="J5" t="s">
        <v>34</v>
      </c>
      <c r="K5" t="s">
        <v>25</v>
      </c>
      <c r="M5">
        <v>0.69</v>
      </c>
      <c r="N5">
        <v>2</v>
      </c>
      <c r="O5" t="s">
        <v>38</v>
      </c>
      <c r="P5" s="10">
        <v>0.17119999999999999</v>
      </c>
      <c r="R5">
        <v>8.5</v>
      </c>
      <c r="S5" t="s">
        <v>49</v>
      </c>
      <c r="T5" s="19">
        <f>M5^2/N5*P5*(34.5/0.69)^2</f>
        <v>101.88540000000002</v>
      </c>
      <c r="U5" s="18">
        <f>T5/SQRT(1+R5^2)</f>
        <v>11.904417244903293</v>
      </c>
      <c r="V5" s="18">
        <f>SQRT(T5^2-U5^2)</f>
        <v>101.18754658167799</v>
      </c>
    </row>
    <row r="6" spans="2:22" x14ac:dyDescent="0.25">
      <c r="B6" t="s">
        <v>1</v>
      </c>
      <c r="C6">
        <v>1.2</v>
      </c>
      <c r="D6" t="s">
        <v>0</v>
      </c>
      <c r="E6" s="1">
        <f>$C$3*C6</f>
        <v>376.98</v>
      </c>
      <c r="F6" s="1">
        <f>($B$5/$B$20)^2*E6</f>
        <v>1.072298666666667</v>
      </c>
      <c r="G6" s="24">
        <f>F6/$C$3</f>
        <v>3.4133333333333338E-3</v>
      </c>
      <c r="H6" s="22">
        <f>($B$5/$B$13)^2*E6/$C$3</f>
        <v>7.052341597796144E-2</v>
      </c>
      <c r="J6" t="s">
        <v>35</v>
      </c>
      <c r="K6" t="s">
        <v>26</v>
      </c>
      <c r="M6">
        <v>34.5</v>
      </c>
      <c r="P6">
        <v>0.13</v>
      </c>
      <c r="Q6" t="s">
        <v>19</v>
      </c>
      <c r="R6">
        <v>18</v>
      </c>
      <c r="S6" t="s">
        <v>48</v>
      </c>
      <c r="T6" s="17">
        <f>1000000/(S1*L23*P7)</f>
        <v>277.16088309277728</v>
      </c>
      <c r="U6" t="s">
        <v>50</v>
      </c>
      <c r="V6" s="17">
        <f>T6</f>
        <v>277.16088309277728</v>
      </c>
    </row>
    <row r="7" spans="2:22" x14ac:dyDescent="0.25">
      <c r="E7" s="1"/>
      <c r="F7" s="1"/>
      <c r="G7" s="24"/>
      <c r="H7" s="22"/>
      <c r="P7">
        <v>0.25</v>
      </c>
      <c r="Q7" t="s">
        <v>40</v>
      </c>
    </row>
    <row r="8" spans="2:22" x14ac:dyDescent="0.25">
      <c r="C8">
        <v>0.64100000000000001</v>
      </c>
      <c r="D8" t="s">
        <v>0</v>
      </c>
      <c r="E8" s="1">
        <f>$C$3*C8</f>
        <v>201.37015000000002</v>
      </c>
      <c r="F8" s="1">
        <f>($B$5/$B$20)^2*E8</f>
        <v>0.57278620444444461</v>
      </c>
      <c r="G8" s="24">
        <f>F8/$C$3</f>
        <v>1.8232888888888893E-3</v>
      </c>
      <c r="H8" s="22">
        <f>($B$5/$B$13)^2*E8/$C$3</f>
        <v>3.7671258034894406E-2</v>
      </c>
      <c r="J8" t="s">
        <v>42</v>
      </c>
      <c r="K8" t="s">
        <v>27</v>
      </c>
      <c r="M8">
        <v>34.5</v>
      </c>
      <c r="N8">
        <v>72</v>
      </c>
      <c r="O8" t="s">
        <v>37</v>
      </c>
      <c r="T8">
        <f>M8^2/N8</f>
        <v>16.53125</v>
      </c>
      <c r="U8" t="s">
        <v>50</v>
      </c>
      <c r="V8">
        <f>T8</f>
        <v>16.53125</v>
      </c>
    </row>
    <row r="9" spans="2:22" x14ac:dyDescent="0.25">
      <c r="C9" s="1">
        <v>1.4910000000000001E-7</v>
      </c>
      <c r="D9" t="s">
        <v>2</v>
      </c>
      <c r="E9" s="1">
        <f>1/$C$3/C9</f>
        <v>21349.381236220972</v>
      </c>
      <c r="F9" s="1">
        <f>($B$5/$B$20)^2*E9</f>
        <v>60.72712884969522</v>
      </c>
      <c r="G9" s="24">
        <f>1/($C$3*F9)</f>
        <v>5.2417968749999988E-5</v>
      </c>
      <c r="H9" s="22">
        <f>1/(C3*($B$5/$B$13)^2*E9)</f>
        <v>2.5370296875E-6</v>
      </c>
      <c r="J9" t="s">
        <v>33</v>
      </c>
      <c r="K9" t="s">
        <v>28</v>
      </c>
      <c r="M9">
        <v>115</v>
      </c>
      <c r="P9">
        <v>0.36</v>
      </c>
      <c r="Q9" t="s">
        <v>19</v>
      </c>
      <c r="R9">
        <v>9.5</v>
      </c>
      <c r="S9" t="s">
        <v>51</v>
      </c>
      <c r="T9">
        <f>P9*35*(34.5/115)^2/2</f>
        <v>0.56699999999999995</v>
      </c>
      <c r="U9" s="14">
        <f>T9/SQRT(1+R9^2)</f>
        <v>5.9356272821730234E-2</v>
      </c>
      <c r="V9" s="15">
        <f>SQRT(T9^2-U9^2)</f>
        <v>0.56388459180643724</v>
      </c>
    </row>
    <row r="10" spans="2:22" x14ac:dyDescent="0.25">
      <c r="B10" t="s">
        <v>13</v>
      </c>
      <c r="C10" s="1">
        <v>5.1568000000000003E-2</v>
      </c>
      <c r="D10" t="s">
        <v>0</v>
      </c>
      <c r="E10" s="1">
        <f>$C$3*C10</f>
        <v>16.200087200000002</v>
      </c>
      <c r="F10" s="1">
        <f>($B$5/$B$20)^2*E10</f>
        <v>4.608024803555557E-2</v>
      </c>
      <c r="G10" s="24">
        <f>F10/$C$3</f>
        <v>1.4668231111111113E-4</v>
      </c>
      <c r="H10" s="22">
        <f>($B$5/$B$13)^2*E10/$C$3</f>
        <v>3.030626262626263E-3</v>
      </c>
      <c r="J10" t="s">
        <v>42</v>
      </c>
      <c r="K10" t="s">
        <v>29</v>
      </c>
      <c r="M10">
        <v>115</v>
      </c>
      <c r="N10">
        <v>3500</v>
      </c>
      <c r="O10" t="s">
        <v>36</v>
      </c>
      <c r="R10">
        <v>18</v>
      </c>
      <c r="T10">
        <f>M10^2/N10*(34.5/115)^2</f>
        <v>0.34007142857142852</v>
      </c>
      <c r="U10" s="14">
        <f>T10/SQRT(1+R10^2)</f>
        <v>1.8863768815916539E-2</v>
      </c>
      <c r="V10" s="15">
        <f>SQRT(T10^2-U10^2)</f>
        <v>0.33954783868649768</v>
      </c>
    </row>
    <row r="11" spans="2:22" x14ac:dyDescent="0.25">
      <c r="G11" s="25"/>
    </row>
    <row r="12" spans="2:22" x14ac:dyDescent="0.25">
      <c r="G12" s="25"/>
      <c r="K12" t="s">
        <v>43</v>
      </c>
    </row>
    <row r="13" spans="2:22" x14ac:dyDescent="0.25">
      <c r="B13" s="2">
        <v>33000</v>
      </c>
      <c r="F13" s="1"/>
      <c r="G13" s="25"/>
      <c r="K13">
        <v>1</v>
      </c>
      <c r="L13">
        <v>5803</v>
      </c>
    </row>
    <row r="14" spans="2:22" x14ac:dyDescent="0.25">
      <c r="B14" s="5" t="s">
        <v>13</v>
      </c>
      <c r="C14" s="6">
        <v>5.1568000000000003E-2</v>
      </c>
      <c r="D14" s="5" t="s">
        <v>0</v>
      </c>
      <c r="E14" s="6">
        <f>$C$3*C14</f>
        <v>16.200087200000002</v>
      </c>
      <c r="F14" s="6">
        <f>($B$5/$B$13)^2*E14</f>
        <v>0.95207124040404068</v>
      </c>
      <c r="G14" s="26">
        <f>F14/$C$3</f>
        <v>3.030626262626263E-3</v>
      </c>
      <c r="H14" s="23"/>
      <c r="K14">
        <v>2</v>
      </c>
      <c r="L14">
        <v>5175</v>
      </c>
    </row>
    <row r="15" spans="2:22" x14ac:dyDescent="0.25">
      <c r="B15" t="s">
        <v>3</v>
      </c>
      <c r="C15" s="1">
        <v>1.8180999999999999E-2</v>
      </c>
      <c r="D15" t="s">
        <v>0</v>
      </c>
      <c r="E15" s="1">
        <f>$C$3*C15</f>
        <v>5.7115611500000005</v>
      </c>
      <c r="F15" s="1">
        <f>($B$13/$B$20)^2*E15</f>
        <v>0.27643955966</v>
      </c>
      <c r="G15" s="24">
        <f>F15/$C$3</f>
        <v>8.7996039999999986E-4</v>
      </c>
      <c r="H15" s="22"/>
      <c r="K15">
        <v>3</v>
      </c>
      <c r="L15">
        <v>4556</v>
      </c>
    </row>
    <row r="16" spans="2:22" x14ac:dyDescent="0.25">
      <c r="C16">
        <v>0.372</v>
      </c>
      <c r="D16" t="s">
        <v>4</v>
      </c>
      <c r="E16">
        <f>C16</f>
        <v>0.372</v>
      </c>
      <c r="F16" s="1">
        <f>($B$13/$B$20)^2*E16</f>
        <v>1.8004799999999998E-2</v>
      </c>
      <c r="G16" s="24">
        <f>F16</f>
        <v>1.8004799999999998E-2</v>
      </c>
      <c r="H16" s="22"/>
      <c r="K16">
        <v>4</v>
      </c>
      <c r="L16">
        <v>3962</v>
      </c>
    </row>
    <row r="17" spans="2:13" x14ac:dyDescent="0.25">
      <c r="C17" s="1">
        <v>5.7089999999999997E-8</v>
      </c>
      <c r="D17" t="s">
        <v>2</v>
      </c>
      <c r="E17" s="1">
        <f>1/$C$3/C17</f>
        <v>55757.448630592873</v>
      </c>
      <c r="F17" s="1">
        <f>($B$13/$B$20)^2*E17</f>
        <v>2698.6605137206948</v>
      </c>
      <c r="G17" s="24">
        <f>1/$C$3/F17</f>
        <v>1.1795454545454547E-6</v>
      </c>
      <c r="H17" s="22"/>
      <c r="K17">
        <v>5</v>
      </c>
      <c r="L17">
        <v>3474</v>
      </c>
    </row>
    <row r="18" spans="2:13" x14ac:dyDescent="0.25">
      <c r="B18" t="s">
        <v>5</v>
      </c>
      <c r="C18" s="8">
        <v>3.8676000000000002E-2</v>
      </c>
      <c r="D18" t="s">
        <v>0</v>
      </c>
      <c r="E18" s="1">
        <f>$C$3*C18</f>
        <v>12.150065400000003</v>
      </c>
      <c r="F18" s="1">
        <f>($B$13/$B$20)^2*E18</f>
        <v>0.58806316536000014</v>
      </c>
      <c r="G18" s="24">
        <f>F18/$C$3</f>
        <v>1.8719184000000003E-3</v>
      </c>
      <c r="H18" s="22"/>
      <c r="K18">
        <v>6</v>
      </c>
      <c r="L18">
        <v>5803</v>
      </c>
    </row>
    <row r="19" spans="2:13" x14ac:dyDescent="0.25">
      <c r="K19">
        <v>7</v>
      </c>
      <c r="L19">
        <v>5175</v>
      </c>
    </row>
    <row r="20" spans="2:13" x14ac:dyDescent="0.25">
      <c r="B20" s="2">
        <v>150000</v>
      </c>
      <c r="E20" t="s">
        <v>14</v>
      </c>
      <c r="F20" t="s">
        <v>15</v>
      </c>
      <c r="G20" t="s">
        <v>16</v>
      </c>
      <c r="K20">
        <v>8</v>
      </c>
      <c r="L20">
        <v>4556</v>
      </c>
    </row>
    <row r="21" spans="2:13" x14ac:dyDescent="0.25">
      <c r="B21" s="5" t="s">
        <v>5</v>
      </c>
      <c r="C21" s="7">
        <v>3.8676000000000002E-2</v>
      </c>
      <c r="D21" s="5" t="s">
        <v>0</v>
      </c>
      <c r="H21" s="21"/>
      <c r="K21">
        <v>9</v>
      </c>
      <c r="L21">
        <v>3962</v>
      </c>
    </row>
    <row r="22" spans="2:13" x14ac:dyDescent="0.25">
      <c r="B22" t="s">
        <v>6</v>
      </c>
      <c r="C22" s="3">
        <v>1E-3</v>
      </c>
      <c r="D22" t="s">
        <v>0</v>
      </c>
      <c r="H22" s="21"/>
      <c r="K22">
        <v>10</v>
      </c>
      <c r="L22">
        <v>3474</v>
      </c>
    </row>
    <row r="23" spans="2:13" x14ac:dyDescent="0.25">
      <c r="C23" s="3">
        <v>5.6000000000000001E-2</v>
      </c>
      <c r="D23" t="s">
        <v>4</v>
      </c>
      <c r="H23" s="21"/>
      <c r="K23" s="13" t="s">
        <v>44</v>
      </c>
      <c r="L23" s="13">
        <f>SUM(L13:L22)/1000</f>
        <v>45.94</v>
      </c>
      <c r="M23" s="13" t="s">
        <v>17</v>
      </c>
    </row>
    <row r="24" spans="2:13" x14ac:dyDescent="0.25">
      <c r="C24" s="3">
        <v>5.2E-7</v>
      </c>
      <c r="D24" t="s">
        <v>2</v>
      </c>
      <c r="H24" s="21"/>
    </row>
    <row r="25" spans="2:13" x14ac:dyDescent="0.25">
      <c r="B25" t="s">
        <v>7</v>
      </c>
      <c r="C25" s="3">
        <v>1.9338000000000001E-2</v>
      </c>
      <c r="D25" t="s">
        <v>0</v>
      </c>
      <c r="H25" s="21"/>
    </row>
    <row r="26" spans="2:13" x14ac:dyDescent="0.25">
      <c r="B26" t="s">
        <v>8</v>
      </c>
      <c r="C26" s="3">
        <v>5.6579999999999999E-6</v>
      </c>
      <c r="D26" t="s">
        <v>2</v>
      </c>
      <c r="H26" s="21"/>
    </row>
    <row r="27" spans="2:13" x14ac:dyDescent="0.25">
      <c r="B27" t="s">
        <v>9</v>
      </c>
      <c r="C27" s="3">
        <v>1.9300000000000001E-2</v>
      </c>
      <c r="D27" t="s">
        <v>0</v>
      </c>
      <c r="H27" s="21"/>
    </row>
    <row r="29" spans="2:13" x14ac:dyDescent="0.25">
      <c r="B29">
        <v>8</v>
      </c>
      <c r="C29" t="s">
        <v>17</v>
      </c>
      <c r="D29" s="1">
        <f>C15/$B$29</f>
        <v>2.2726249999999999E-3</v>
      </c>
      <c r="E29" t="s">
        <v>18</v>
      </c>
    </row>
    <row r="30" spans="2:13" x14ac:dyDescent="0.25">
      <c r="D30" s="1">
        <f>C16/$B$29</f>
        <v>4.65E-2</v>
      </c>
      <c r="E30" t="s">
        <v>19</v>
      </c>
    </row>
    <row r="31" spans="2:13" x14ac:dyDescent="0.25">
      <c r="D31" s="1">
        <f>C17/$B$29</f>
        <v>7.1362499999999996E-9</v>
      </c>
      <c r="E31" t="s">
        <v>20</v>
      </c>
    </row>
    <row r="36" spans="2:5" x14ac:dyDescent="0.25">
      <c r="B36">
        <v>58</v>
      </c>
      <c r="C36" t="s">
        <v>17</v>
      </c>
      <c r="D36" s="1">
        <f>C22/$B$36</f>
        <v>1.7241379310344828E-5</v>
      </c>
      <c r="E36" t="s">
        <v>18</v>
      </c>
    </row>
    <row r="37" spans="2:5" x14ac:dyDescent="0.25">
      <c r="D37" s="1">
        <f>C23/$B$36</f>
        <v>9.6551724137931036E-4</v>
      </c>
      <c r="E37" t="s">
        <v>19</v>
      </c>
    </row>
    <row r="38" spans="2:5" x14ac:dyDescent="0.25">
      <c r="D38" s="1">
        <f>C24/$B$36</f>
        <v>8.9655172413793104E-9</v>
      </c>
      <c r="E38" t="s">
        <v>20</v>
      </c>
    </row>
    <row r="39" spans="2:5" x14ac:dyDescent="0.25">
      <c r="D39" s="1"/>
    </row>
  </sheetData>
  <mergeCells count="1">
    <mergeCell ref="B1:G1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</dc:creator>
  <cp:lastModifiedBy>IS</cp:lastModifiedBy>
  <dcterms:created xsi:type="dcterms:W3CDTF">2016-02-29T09:38:31Z</dcterms:created>
  <dcterms:modified xsi:type="dcterms:W3CDTF">2016-03-15T10:02:50Z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962eeedd-d0a3-4585-a5fc-981161665934</vt:lpwstr>
  </property>
</Properties>
</file>