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obot data" sheetId="2" r:id="rId5"/>
    <sheet state="visible" name="Technical data" sheetId="3" r:id="rId6"/>
  </sheets>
  <definedNames/>
  <calcPr/>
  <extLst>
    <ext uri="GoogleSheetsCustomDataVersion1">
      <go:sheetsCustomData xmlns:go="http://customooxmlschemas.google.com/" r:id="rId7" roundtripDataSignature="AMtx7mgBnZuKHtQW25U4pL9OPsYC9W/GDA=="/>
    </ext>
  </extLst>
</workbook>
</file>

<file path=xl/sharedStrings.xml><?xml version="1.0" encoding="utf-8"?>
<sst xmlns="http://schemas.openxmlformats.org/spreadsheetml/2006/main" count="137" uniqueCount="86">
  <si>
    <t>Stainless steel</t>
  </si>
  <si>
    <t>Plastic, fasteners, electronics</t>
  </si>
  <si>
    <t>Transportation</t>
  </si>
  <si>
    <t>Holding cost</t>
  </si>
  <si>
    <t>Robot</t>
  </si>
  <si>
    <t>Mass of steel</t>
  </si>
  <si>
    <t xml:space="preserve">Price of steel </t>
  </si>
  <si>
    <t>Supplier additional cost</t>
  </si>
  <si>
    <t>Europe</t>
  </si>
  <si>
    <t>Oversea</t>
  </si>
  <si>
    <t>Transport cost - truck</t>
  </si>
  <si>
    <t>Transport cost - LCL</t>
  </si>
  <si>
    <t>Transportation - holding cost</t>
  </si>
  <si>
    <t>Safety stock - holding cost</t>
  </si>
  <si>
    <t>Danfoss overhead</t>
  </si>
  <si>
    <t>TCO</t>
  </si>
  <si>
    <t>eBox</t>
  </si>
  <si>
    <t>eSheet</t>
  </si>
  <si>
    <t>ePlanet</t>
  </si>
  <si>
    <t>ePallet</t>
  </si>
  <si>
    <t>eBot</t>
  </si>
  <si>
    <t>EPLANET</t>
  </si>
  <si>
    <t>ESHEET</t>
  </si>
  <si>
    <t>EPALLET</t>
  </si>
  <si>
    <t>EBOX</t>
  </si>
  <si>
    <t>EBOT</t>
  </si>
  <si>
    <t>PART NUMBER</t>
  </si>
  <si>
    <t>QTY</t>
  </si>
  <si>
    <t>Volume</t>
  </si>
  <si>
    <t>Part Number</t>
  </si>
  <si>
    <t>Stainless
Steel
Parts</t>
  </si>
  <si>
    <t>Center</t>
  </si>
  <si>
    <t>Buk &amp; stans</t>
  </si>
  <si>
    <t>Lift adapter</t>
  </si>
  <si>
    <t>C-profile 230mm</t>
  </si>
  <si>
    <t>C-profile 800mm</t>
  </si>
  <si>
    <t>Stator</t>
  </si>
  <si>
    <t>Klip</t>
  </si>
  <si>
    <t>Fork assembly</t>
  </si>
  <si>
    <t>Shelves</t>
  </si>
  <si>
    <t>C-profile 130mm</t>
  </si>
  <si>
    <t>Stator planet gear</t>
  </si>
  <si>
    <t>Anlæg</t>
  </si>
  <si>
    <t>Drive assembly</t>
  </si>
  <si>
    <t>Rotor</t>
  </si>
  <si>
    <t>Cross bar steel</t>
  </si>
  <si>
    <t>Total volume [mm^3]</t>
  </si>
  <si>
    <t>Total mass [kg]</t>
  </si>
  <si>
    <t>Total price [USD]</t>
  </si>
  <si>
    <t>Price</t>
  </si>
  <si>
    <t>Other
Parts</t>
  </si>
  <si>
    <t>Bolts M4x8</t>
  </si>
  <si>
    <t>ESP case</t>
  </si>
  <si>
    <t>Bearing 6708RS</t>
  </si>
  <si>
    <t>ePlanet EU</t>
  </si>
  <si>
    <t>Bearing F688ZZ</t>
  </si>
  <si>
    <t>Cross bar caps [62,8g]</t>
  </si>
  <si>
    <t>C-profile cap [168g]</t>
  </si>
  <si>
    <t>Gear system</t>
  </si>
  <si>
    <t>Bearing 6204-2RS</t>
  </si>
  <si>
    <t>C-profile cover [262g]</t>
  </si>
  <si>
    <t>Sil-pad</t>
  </si>
  <si>
    <t>Asia</t>
  </si>
  <si>
    <t>PCBA</t>
  </si>
  <si>
    <t>ESP32-S3-EYE</t>
  </si>
  <si>
    <t>ePlanet Asia</t>
  </si>
  <si>
    <t>Total price Europe [USD]</t>
  </si>
  <si>
    <t>Total price Asia [USD]</t>
  </si>
  <si>
    <t>Data</t>
  </si>
  <si>
    <t>Value</t>
  </si>
  <si>
    <t>unit</t>
  </si>
  <si>
    <t>Air oversea transport</t>
  </si>
  <si>
    <t>usd/kg</t>
  </si>
  <si>
    <t>Sea LCL transport</t>
  </si>
  <si>
    <t>Truck Europe transport</t>
  </si>
  <si>
    <t>Air Europe transport</t>
  </si>
  <si>
    <t>Stainless steel density</t>
  </si>
  <si>
    <t>kg/m^3</t>
  </si>
  <si>
    <t>Stainless steel price</t>
  </si>
  <si>
    <t>https://www.ugitech.com/fileadmin/files/ugitech.com/documents/Documents_publics/Alloys/2022/Alloysurcharges_fab_1222.pdf</t>
  </si>
  <si>
    <t>St. steel supplier overhead</t>
  </si>
  <si>
    <t>%</t>
  </si>
  <si>
    <t>Lead time Europe</t>
  </si>
  <si>
    <t>days</t>
  </si>
  <si>
    <t>Lead time Asia</t>
  </si>
  <si>
    <t>Danfoss overhead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</si>
</sst>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 KG"/>
    <numFmt numFmtId="165" formatCode="#,##0.00[$$]"/>
    <numFmt numFmtId="166" formatCode="0.00 &quot;mm^3&quot;"/>
  </numFmts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1C4587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FF0000"/>
      </top>
      <bottom style="thin">
        <color rgb="FF000000"/>
      </bottom>
    </border>
    <border>
      <left style="thin">
        <color rgb="FF000000"/>
      </left>
      <right style="dotted">
        <color rgb="FFFF0000"/>
      </right>
      <top style="dotted">
        <color rgb="FFFF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6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 readingOrder="0"/>
    </xf>
    <xf borderId="1" fillId="7" fontId="2" numFmtId="165" xfId="0" applyAlignment="1" applyBorder="1" applyFill="1" applyFont="1" applyNumberFormat="1">
      <alignment horizontal="center" readingOrder="0"/>
    </xf>
    <xf borderId="1" fillId="8" fontId="2" numFmtId="165" xfId="0" applyAlignment="1" applyBorder="1" applyFill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9" fontId="3" numFmtId="0" xfId="0" applyAlignment="1" applyBorder="1" applyFill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7" fontId="3" numFmtId="0" xfId="0" applyAlignment="1" applyBorder="1" applyFont="1">
      <alignment horizontal="center"/>
    </xf>
    <xf borderId="4" fillId="10" fontId="3" numFmtId="0" xfId="0" applyAlignment="1" applyBorder="1" applyFill="1" applyFont="1">
      <alignment horizontal="center"/>
    </xf>
    <xf borderId="4" fillId="11" fontId="3" numFmtId="0" xfId="0" applyAlignment="1" applyBorder="1" applyFill="1" applyFont="1">
      <alignment horizontal="center"/>
    </xf>
    <xf borderId="4" fillId="12" fontId="3" numFmtId="0" xfId="0" applyAlignment="1" applyBorder="1" applyFill="1" applyFont="1">
      <alignment horizontal="center"/>
    </xf>
    <xf borderId="4" fillId="13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1" fillId="14" fontId="1" numFmtId="0" xfId="0" applyBorder="1" applyFill="1" applyFont="1"/>
    <xf borderId="1" fillId="6" fontId="1" numFmtId="0" xfId="0" applyBorder="1" applyFont="1"/>
    <xf borderId="1" fillId="15" fontId="1" numFmtId="0" xfId="0" applyBorder="1" applyFill="1" applyFont="1"/>
    <xf borderId="10" fillId="0" fontId="4" numFmtId="0" xfId="0" applyBorder="1" applyFont="1"/>
    <xf borderId="2" fillId="0" fontId="3" numFmtId="0" xfId="0" applyAlignment="1" applyBorder="1" applyFont="1">
      <alignment horizontal="center" readingOrder="0" vertical="center"/>
    </xf>
    <xf borderId="1" fillId="0" fontId="2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5" numFmtId="2" xfId="0" applyBorder="1" applyFont="1" applyNumberFormat="1"/>
    <xf borderId="4" fillId="0" fontId="3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4" fillId="9" fontId="1" numFmtId="0" xfId="0" applyAlignment="1" applyBorder="1" applyFont="1">
      <alignment readingOrder="0"/>
    </xf>
    <xf borderId="1" fillId="4" fontId="1" numFmtId="166" xfId="0" applyBorder="1" applyFont="1" applyNumberFormat="1"/>
    <xf borderId="1" fillId="0" fontId="2" numFmtId="166" xfId="0" applyBorder="1" applyFont="1" applyNumberFormat="1"/>
    <xf borderId="1" fillId="4" fontId="1" numFmtId="164" xfId="0" applyBorder="1" applyFont="1" applyNumberFormat="1"/>
    <xf borderId="1" fillId="0" fontId="2" numFmtId="164" xfId="0" applyBorder="1" applyFont="1" applyNumberFormat="1"/>
    <xf borderId="7" fillId="0" fontId="2" numFmtId="0" xfId="0" applyBorder="1" applyFont="1"/>
    <xf borderId="7" fillId="4" fontId="1" numFmtId="165" xfId="0" applyBorder="1" applyFont="1" applyNumberFormat="1"/>
    <xf borderId="7" fillId="0" fontId="2" numFmtId="165" xfId="0" applyBorder="1" applyFont="1" applyNumberFormat="1"/>
    <xf borderId="13" fillId="14" fontId="1" numFmtId="0" xfId="0" applyBorder="1" applyFont="1"/>
    <xf borderId="13" fillId="6" fontId="1" numFmtId="0" xfId="0" applyBorder="1" applyFont="1"/>
    <xf borderId="13" fillId="15" fontId="1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 vertical="center"/>
    </xf>
    <xf borderId="7" fillId="16" fontId="3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0" fontId="2" numFmtId="165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7" fillId="0" fontId="2" numFmtId="165" xfId="0" applyAlignment="1" applyBorder="1" applyFont="1" applyNumberFormat="1">
      <alignment readingOrder="0"/>
    </xf>
    <xf borderId="1" fillId="0" fontId="2" numFmtId="165" xfId="0" applyBorder="1" applyFont="1" applyNumberFormat="1"/>
    <xf borderId="14" fillId="0" fontId="4" numFmtId="0" xfId="0" applyBorder="1" applyFont="1"/>
    <xf borderId="7" fillId="0" fontId="2" numFmtId="0" xfId="0" applyAlignment="1" applyBorder="1" applyFont="1">
      <alignment readingOrder="0" shrinkToFit="0" wrapText="1"/>
    </xf>
    <xf borderId="7" fillId="4" fontId="3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readingOrder="0"/>
    </xf>
    <xf borderId="15" fillId="0" fontId="2" numFmtId="0" xfId="0" applyBorder="1" applyFont="1"/>
    <xf borderId="15" fillId="0" fontId="2" numFmtId="165" xfId="0" applyAlignment="1" applyBorder="1" applyFont="1" applyNumberFormat="1">
      <alignment readingOrder="0"/>
    </xf>
    <xf borderId="16" fillId="0" fontId="2" numFmtId="165" xfId="0" applyAlignment="1" applyBorder="1" applyFont="1" applyNumberFormat="1">
      <alignment readingOrder="0"/>
    </xf>
    <xf borderId="4" fillId="16" fontId="1" numFmtId="0" xfId="0" applyAlignment="1" applyBorder="1" applyFont="1">
      <alignment readingOrder="0"/>
    </xf>
    <xf borderId="1" fillId="4" fontId="1" numFmtId="165" xfId="0" applyBorder="1" applyFont="1" applyNumberFormat="1"/>
    <xf borderId="4" fillId="4" fontId="1" numFmtId="0" xfId="0" applyAlignment="1" applyBorder="1" applyFont="1">
      <alignment readingOrder="0"/>
    </xf>
    <xf borderId="0" fillId="0" fontId="2" numFmtId="0" xfId="0" applyAlignment="1" applyFont="1">
      <alignment horizontal="left" readingOrder="0" vertical="center"/>
    </xf>
    <xf borderId="1" fillId="6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2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gitech.com/fileadmin/files/ugitech.com/documents/Documents_publics/Alloys/2022/Alloysurcharges_fab_1222.pdf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7.57"/>
    <col customWidth="1" min="3" max="3" width="13.43"/>
    <col customWidth="1" min="4" max="4" width="12.57"/>
    <col customWidth="1" min="5" max="5" width="20.71"/>
    <col customWidth="1" min="6" max="6" width="14.71"/>
    <col customWidth="1" min="7" max="7" width="11.43"/>
    <col customWidth="1" min="8" max="8" width="19.14"/>
    <col customWidth="1" min="9" max="9" width="17.71"/>
    <col customWidth="1" min="10" max="10" width="25.43"/>
    <col customWidth="1" min="11" max="11" width="23.14"/>
    <col customWidth="1" min="12" max="12" width="16.71"/>
    <col customWidth="1" min="13" max="13" width="11.71"/>
  </cols>
  <sheetData>
    <row r="2">
      <c r="C2" s="1" t="s">
        <v>0</v>
      </c>
      <c r="F2" s="2" t="s">
        <v>1</v>
      </c>
      <c r="H2" s="3" t="s">
        <v>2</v>
      </c>
      <c r="J2" s="4" t="s">
        <v>3</v>
      </c>
      <c r="L2" s="5"/>
      <c r="M2" s="5"/>
    </row>
    <row r="3">
      <c r="A3" s="6"/>
      <c r="B3" s="7" t="s">
        <v>4</v>
      </c>
      <c r="C3" s="8" t="s">
        <v>5</v>
      </c>
      <c r="D3" s="8" t="s">
        <v>6</v>
      </c>
      <c r="E3" s="8" t="s">
        <v>7</v>
      </c>
      <c r="F3" s="9" t="s">
        <v>8</v>
      </c>
      <c r="G3" s="9" t="s">
        <v>9</v>
      </c>
      <c r="H3" s="10" t="s">
        <v>10</v>
      </c>
      <c r="I3" s="10" t="s">
        <v>11</v>
      </c>
      <c r="J3" s="11" t="s">
        <v>12</v>
      </c>
      <c r="K3" s="11" t="s">
        <v>13</v>
      </c>
      <c r="L3" s="7" t="s">
        <v>14</v>
      </c>
      <c r="M3" s="7" t="s">
        <v>15</v>
      </c>
    </row>
    <row r="4">
      <c r="A4" s="6"/>
      <c r="B4" s="12" t="s">
        <v>16</v>
      </c>
      <c r="C4" s="13">
        <f>'Robot data'!R12</f>
        <v>3.49065</v>
      </c>
      <c r="D4" s="14">
        <f>'Robot data'!R13</f>
        <v>13.9626</v>
      </c>
      <c r="E4" s="15">
        <f>D4*'Technical data'!$C$9/100</f>
        <v>6.9813</v>
      </c>
      <c r="F4" s="16">
        <f>'Robot data'!R25</f>
        <v>413.8291373</v>
      </c>
      <c r="G4" s="16">
        <f>'Robot data'!R26</f>
        <v>142.5</v>
      </c>
      <c r="H4" s="15">
        <f>C4*'Technical data'!$C$5+F4*0.03</f>
        <v>13.07809762</v>
      </c>
      <c r="I4" s="17">
        <f t="shared" ref="I4:I8" si="1">G4*0.06</f>
        <v>8.55</v>
      </c>
      <c r="J4" s="15">
        <f>(D4+E4+F4)*'Technical data'!$C$12/100*'Technical data'!$C$10/365+G4*'Technical data'!$C$12/100*'Technical data'!$C$11/365</f>
        <v>4.446787881</v>
      </c>
      <c r="K4" s="15">
        <f>(D4+E4+F4)*'Technical data'!$C$12/100+G4*'Technical data'!$C$12/100</f>
        <v>40.40911261</v>
      </c>
      <c r="L4" s="18">
        <f>SUM(D4:K4)*('Technical data'!$C$13/100)</f>
        <v>321.8785177</v>
      </c>
      <c r="M4" s="18">
        <f t="shared" ref="M4:M8" si="2">SUM(D4:L4)</f>
        <v>965.6355531</v>
      </c>
    </row>
    <row r="5">
      <c r="A5" s="6"/>
      <c r="B5" s="12" t="s">
        <v>17</v>
      </c>
      <c r="C5" s="13">
        <f>'Robot data'!J12</f>
        <v>118.1402408</v>
      </c>
      <c r="D5" s="14">
        <f>'Robot data'!J13</f>
        <v>472.5609632</v>
      </c>
      <c r="E5" s="15">
        <f>D5*'Technical data'!$C$9/100</f>
        <v>236.2804816</v>
      </c>
      <c r="F5" s="16">
        <f>'Robot data'!J25</f>
        <v>409.4291373</v>
      </c>
      <c r="G5" s="16">
        <f>'Robot data'!J26</f>
        <v>142.5</v>
      </c>
      <c r="H5" s="15">
        <f>C5*'Technical data'!$C$5+F5*0.03</f>
        <v>34.72951987</v>
      </c>
      <c r="I5" s="17">
        <f t="shared" si="1"/>
        <v>8.55</v>
      </c>
      <c r="J5" s="15">
        <f>(D5+E5+F5)*'Technical data'!$C$12/100*'Technical data'!$C$10/365+G5*'Technical data'!$C$12/100*'Technical data'!$C$11/365</f>
        <v>6.281931974</v>
      </c>
      <c r="K5" s="15">
        <f>(D5+E5+F5)*'Technical data'!$C$12/100+G5*'Technical data'!$C$12/100</f>
        <v>88.25394075</v>
      </c>
      <c r="L5" s="18">
        <f>SUM(D5:K5)*('Technical data'!$C$13/100)</f>
        <v>699.2929873</v>
      </c>
      <c r="M5" s="18">
        <f t="shared" si="2"/>
        <v>2097.878962</v>
      </c>
    </row>
    <row r="6">
      <c r="A6" s="6"/>
      <c r="B6" s="12" t="s">
        <v>18</v>
      </c>
      <c r="C6" s="13">
        <f>'Robot data'!F12</f>
        <v>1.28619608</v>
      </c>
      <c r="D6" s="14">
        <f>'Robot data'!F13</f>
        <v>5.14478432</v>
      </c>
      <c r="E6" s="15">
        <f>D6*'Technical data'!$C$9/100</f>
        <v>2.57239216</v>
      </c>
      <c r="F6" s="16">
        <f>'Robot data'!F25</f>
        <v>95.48</v>
      </c>
      <c r="G6" s="16">
        <f>'Robot data'!F26</f>
        <v>30</v>
      </c>
      <c r="H6" s="15">
        <f>C6*'Technical data'!$C$5+F6*0.03</f>
        <v>3.108777255</v>
      </c>
      <c r="I6" s="17">
        <f t="shared" si="1"/>
        <v>1.8</v>
      </c>
      <c r="J6" s="15">
        <f>(D6+E6+F6)*'Technical data'!$C$12/100*'Technical data'!$C$10/365+G6*'Technical data'!$C$12/100*'Technical data'!$C$11/365</f>
        <v>0.9674883095</v>
      </c>
      <c r="K6" s="15">
        <f>(D6+E6+F6)*'Technical data'!$C$12/100+G6*'Technical data'!$C$12/100</f>
        <v>9.323802354</v>
      </c>
      <c r="L6" s="18">
        <f>SUM(D6:K6)*('Technical data'!$C$13/100)</f>
        <v>74.1986222</v>
      </c>
      <c r="M6" s="18">
        <f t="shared" si="2"/>
        <v>222.5958666</v>
      </c>
    </row>
    <row r="7">
      <c r="A7" s="6"/>
      <c r="B7" s="12" t="s">
        <v>19</v>
      </c>
      <c r="C7" s="13">
        <f>'Robot data'!N12</f>
        <v>50.1551213</v>
      </c>
      <c r="D7" s="14">
        <f>'Robot data'!N13</f>
        <v>200.6204852</v>
      </c>
      <c r="E7" s="15">
        <f>D7*'Technical data'!$C$9/100</f>
        <v>100.3102426</v>
      </c>
      <c r="F7" s="16">
        <f>'Robot data'!N25</f>
        <v>416.0091373</v>
      </c>
      <c r="G7" s="16">
        <f>'Robot data'!N26</f>
        <v>142.5</v>
      </c>
      <c r="H7" s="15">
        <f>C7*'Technical data'!$C$5+F7*0.03</f>
        <v>22.00974717</v>
      </c>
      <c r="I7" s="17">
        <f t="shared" si="1"/>
        <v>8.55</v>
      </c>
      <c r="J7" s="15">
        <f>(D7+E7+F7)*'Technical data'!$C$12/100*'Technical data'!$C$10/365+G7*'Technical data'!$C$12/100*'Technical data'!$C$11/365</f>
        <v>5.204386487</v>
      </c>
      <c r="K7" s="15">
        <f>(D7+E7+F7)*'Technical data'!$C$12/100+G7*'Technical data'!$C$12/100</f>
        <v>60.16079056</v>
      </c>
      <c r="L7" s="18">
        <f>SUM(D7:K7)*('Technical data'!$C$13/100)</f>
        <v>477.6823947</v>
      </c>
      <c r="M7" s="18">
        <f t="shared" si="2"/>
        <v>1433.047184</v>
      </c>
    </row>
    <row r="8">
      <c r="A8" s="6"/>
      <c r="B8" s="12" t="s">
        <v>20</v>
      </c>
      <c r="C8" s="13">
        <f>'Robot data'!V12</f>
        <v>34.64661016</v>
      </c>
      <c r="D8" s="14">
        <f>'Robot data'!V13</f>
        <v>138.5864407</v>
      </c>
      <c r="E8" s="15">
        <f>D8*'Technical data'!$C$9/100</f>
        <v>69.29322033</v>
      </c>
      <c r="F8" s="16">
        <f>'Robot data'!V25</f>
        <v>417.1691373</v>
      </c>
      <c r="G8" s="16">
        <f>'Robot data'!V26</f>
        <v>142.5</v>
      </c>
      <c r="H8" s="15">
        <f>C8*'Technical data'!$C$5+F8*0.03</f>
        <v>19.09793005</v>
      </c>
      <c r="I8" s="17">
        <f t="shared" si="1"/>
        <v>8.55</v>
      </c>
      <c r="J8" s="15">
        <f>(D8+E8+F8)*'Technical data'!$C$12/100*'Technical data'!$C$10/365+G8*'Technical data'!$C$12/100*'Technical data'!$C$11/365</f>
        <v>4.957665267</v>
      </c>
      <c r="K8" s="15">
        <f>(D8+E8+F8)*'Technical data'!$C$12/100+G8*'Technical data'!$C$12/100</f>
        <v>53.72841588</v>
      </c>
      <c r="L8" s="18">
        <f>SUM(D8:K8)*('Technical data'!$C$13/100)</f>
        <v>426.9414047</v>
      </c>
      <c r="M8" s="18">
        <f t="shared" si="2"/>
        <v>1280.824214</v>
      </c>
    </row>
    <row r="9">
      <c r="H9" s="19"/>
      <c r="I9" s="19"/>
    </row>
  </sheetData>
  <mergeCells count="4">
    <mergeCell ref="C2:E2"/>
    <mergeCell ref="F2:G2"/>
    <mergeCell ref="H2:I2"/>
    <mergeCell ref="J2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6.14"/>
    <col customWidth="1" min="3" max="3" width="7.29"/>
    <col customWidth="1" min="4" max="4" width="16.43"/>
    <col customWidth="1" min="5" max="5" width="4.71"/>
    <col customWidth="1" min="6" max="6" width="16.14"/>
    <col customWidth="1" min="7" max="7" width="0.86"/>
    <col customWidth="1" min="8" max="8" width="12.71"/>
    <col customWidth="1" min="9" max="9" width="4.71"/>
    <col customWidth="1" min="10" max="10" width="18.29"/>
    <col customWidth="1" min="11" max="11" width="0.86"/>
    <col customWidth="1" min="12" max="12" width="19.71"/>
    <col customWidth="1" min="13" max="13" width="4.71"/>
    <col customWidth="1" min="14" max="14" width="17.29"/>
    <col customWidth="1" min="15" max="15" width="0.86"/>
    <col customWidth="1" min="16" max="16" width="15.43"/>
    <col customWidth="1" min="17" max="17" width="4.71"/>
    <col customWidth="1" min="18" max="18" width="16.14"/>
    <col customWidth="1" min="19" max="19" width="0.86"/>
    <col customWidth="1" min="20" max="20" width="19.43"/>
    <col customWidth="1" min="21" max="21" width="4.71"/>
    <col customWidth="1" min="22" max="22" width="17.29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>
      <c r="A2" s="20"/>
      <c r="B2" s="21"/>
      <c r="C2" s="22"/>
      <c r="D2" s="23" t="s">
        <v>21</v>
      </c>
      <c r="E2" s="24"/>
      <c r="F2" s="25"/>
      <c r="G2" s="26"/>
      <c r="H2" s="27" t="s">
        <v>22</v>
      </c>
      <c r="I2" s="24"/>
      <c r="J2" s="25"/>
      <c r="K2" s="26"/>
      <c r="L2" s="28" t="s">
        <v>23</v>
      </c>
      <c r="M2" s="24"/>
      <c r="N2" s="25"/>
      <c r="O2" s="26"/>
      <c r="P2" s="29" t="s">
        <v>24</v>
      </c>
      <c r="Q2" s="24"/>
      <c r="R2" s="25"/>
      <c r="S2" s="26"/>
      <c r="T2" s="30" t="s">
        <v>25</v>
      </c>
      <c r="U2" s="24"/>
      <c r="V2" s="25"/>
      <c r="W2" s="31"/>
    </row>
    <row r="3">
      <c r="A3" s="20"/>
      <c r="B3" s="32"/>
      <c r="C3" s="33"/>
      <c r="D3" s="34" t="s">
        <v>26</v>
      </c>
      <c r="E3" s="35" t="s">
        <v>27</v>
      </c>
      <c r="F3" s="36" t="s">
        <v>28</v>
      </c>
      <c r="G3" s="37"/>
      <c r="H3" s="34" t="s">
        <v>29</v>
      </c>
      <c r="I3" s="35" t="s">
        <v>27</v>
      </c>
      <c r="J3" s="36" t="s">
        <v>28</v>
      </c>
      <c r="K3" s="37"/>
      <c r="L3" s="34" t="s">
        <v>26</v>
      </c>
      <c r="M3" s="35" t="s">
        <v>27</v>
      </c>
      <c r="N3" s="36" t="s">
        <v>28</v>
      </c>
      <c r="O3" s="37"/>
      <c r="P3" s="34" t="s">
        <v>26</v>
      </c>
      <c r="Q3" s="35" t="s">
        <v>27</v>
      </c>
      <c r="R3" s="36" t="s">
        <v>28</v>
      </c>
      <c r="S3" s="37"/>
      <c r="T3" s="34" t="s">
        <v>26</v>
      </c>
      <c r="U3" s="35" t="s">
        <v>27</v>
      </c>
      <c r="V3" s="36" t="s">
        <v>28</v>
      </c>
    </row>
    <row r="4">
      <c r="A4" s="20"/>
      <c r="B4" s="38" t="s">
        <v>30</v>
      </c>
      <c r="C4" s="22"/>
      <c r="D4" s="39" t="s">
        <v>31</v>
      </c>
      <c r="E4" s="39">
        <v>1.0</v>
      </c>
      <c r="F4" s="39">
        <v>25687.96</v>
      </c>
      <c r="G4" s="37"/>
      <c r="H4" s="39" t="s">
        <v>32</v>
      </c>
      <c r="I4" s="39">
        <v>1.0</v>
      </c>
      <c r="J4" s="39">
        <v>2399733.26</v>
      </c>
      <c r="K4" s="37"/>
      <c r="L4" s="39" t="s">
        <v>33</v>
      </c>
      <c r="M4" s="39">
        <v>1.0</v>
      </c>
      <c r="N4" s="39">
        <v>40865.69</v>
      </c>
      <c r="O4" s="37"/>
      <c r="P4" s="39" t="s">
        <v>34</v>
      </c>
      <c r="Q4" s="39">
        <v>1.0</v>
      </c>
      <c r="R4" s="39">
        <f>354016.03</f>
        <v>354016.03</v>
      </c>
      <c r="S4" s="37"/>
      <c r="T4" s="12" t="s">
        <v>35</v>
      </c>
      <c r="U4" s="12">
        <v>2.0</v>
      </c>
      <c r="V4" s="39">
        <v>1926929.6612</v>
      </c>
    </row>
    <row r="5">
      <c r="A5" s="20"/>
      <c r="B5" s="40"/>
      <c r="C5" s="41"/>
      <c r="D5" s="39" t="s">
        <v>36</v>
      </c>
      <c r="E5" s="39">
        <v>1.0</v>
      </c>
      <c r="F5" s="39">
        <v>45613.5</v>
      </c>
      <c r="G5" s="37"/>
      <c r="H5" s="39" t="s">
        <v>37</v>
      </c>
      <c r="I5" s="39">
        <v>1.0</v>
      </c>
      <c r="J5" s="39">
        <v>3355433.68</v>
      </c>
      <c r="K5" s="37"/>
      <c r="L5" s="39" t="s">
        <v>38</v>
      </c>
      <c r="M5" s="39">
        <v>2.0</v>
      </c>
      <c r="N5" s="39">
        <v>1895268.18</v>
      </c>
      <c r="O5" s="37"/>
      <c r="P5" s="39" t="s">
        <v>39</v>
      </c>
      <c r="Q5" s="39">
        <v>1.0</v>
      </c>
      <c r="R5" s="42">
        <v>82315.22</v>
      </c>
      <c r="S5" s="37"/>
      <c r="T5" s="12" t="s">
        <v>40</v>
      </c>
      <c r="U5" s="12">
        <v>2.0</v>
      </c>
      <c r="V5" s="39">
        <v>238483.474</v>
      </c>
    </row>
    <row r="6">
      <c r="A6" s="20"/>
      <c r="B6" s="40"/>
      <c r="C6" s="41"/>
      <c r="D6" s="39" t="s">
        <v>41</v>
      </c>
      <c r="E6" s="39">
        <v>1.0</v>
      </c>
      <c r="F6" s="39">
        <v>38951.97</v>
      </c>
      <c r="G6" s="37"/>
      <c r="H6" s="39" t="s">
        <v>42</v>
      </c>
      <c r="I6" s="39">
        <v>1.0</v>
      </c>
      <c r="J6" s="39">
        <v>9012363.16</v>
      </c>
      <c r="K6" s="37"/>
      <c r="L6" s="39" t="s">
        <v>43</v>
      </c>
      <c r="M6" s="39">
        <v>1.0</v>
      </c>
      <c r="N6" s="39">
        <v>1836143.38</v>
      </c>
      <c r="O6" s="37"/>
      <c r="P6" s="39"/>
      <c r="Q6" s="39"/>
      <c r="R6" s="39"/>
      <c r="S6" s="37"/>
      <c r="T6" s="39"/>
      <c r="U6" s="39"/>
      <c r="V6" s="39"/>
    </row>
    <row r="7">
      <c r="A7" s="20"/>
      <c r="B7" s="40"/>
      <c r="C7" s="41"/>
      <c r="D7" s="39" t="s">
        <v>44</v>
      </c>
      <c r="E7" s="39">
        <v>1.0</v>
      </c>
      <c r="F7" s="39">
        <v>50521.08</v>
      </c>
      <c r="G7" s="37"/>
      <c r="H7" s="39"/>
      <c r="I7" s="39"/>
      <c r="J7" s="39"/>
      <c r="K7" s="37"/>
      <c r="L7" s="12" t="s">
        <v>45</v>
      </c>
      <c r="M7" s="39">
        <v>1.0</v>
      </c>
      <c r="N7" s="39">
        <v>601844.733</v>
      </c>
      <c r="O7" s="37"/>
      <c r="P7" s="39"/>
      <c r="Q7" s="39"/>
      <c r="R7" s="39"/>
      <c r="S7" s="37"/>
      <c r="T7" s="39"/>
      <c r="U7" s="39"/>
      <c r="V7" s="39"/>
    </row>
    <row r="8">
      <c r="A8" s="20"/>
      <c r="B8" s="40"/>
      <c r="C8" s="41"/>
      <c r="D8" s="39"/>
      <c r="E8" s="39"/>
      <c r="F8" s="39"/>
      <c r="G8" s="37"/>
      <c r="H8" s="39"/>
      <c r="I8" s="39"/>
      <c r="J8" s="39"/>
      <c r="K8" s="37"/>
      <c r="L8" s="39"/>
      <c r="M8" s="39"/>
      <c r="N8" s="39"/>
      <c r="O8" s="37"/>
      <c r="P8" s="39"/>
      <c r="Q8" s="39"/>
      <c r="R8" s="39"/>
      <c r="S8" s="37"/>
      <c r="T8" s="39"/>
      <c r="U8" s="39"/>
      <c r="V8" s="39"/>
    </row>
    <row r="9">
      <c r="A9" s="20"/>
      <c r="B9" s="32"/>
      <c r="C9" s="33"/>
      <c r="G9" s="37"/>
      <c r="H9" s="39"/>
      <c r="I9" s="39"/>
      <c r="J9" s="39"/>
      <c r="K9" s="37"/>
      <c r="L9" s="39"/>
      <c r="M9" s="39"/>
      <c r="N9" s="39"/>
      <c r="O9" s="37"/>
      <c r="P9" s="39"/>
      <c r="Q9" s="39"/>
      <c r="R9" s="39"/>
      <c r="S9" s="37"/>
      <c r="T9" s="39"/>
      <c r="U9" s="39"/>
      <c r="V9" s="39"/>
    </row>
    <row r="10">
      <c r="A10" s="20"/>
      <c r="B10" s="43"/>
      <c r="C10" s="25"/>
      <c r="D10" s="44"/>
      <c r="E10" s="45"/>
      <c r="F10" s="45"/>
      <c r="G10" s="37"/>
      <c r="H10" s="45"/>
      <c r="I10" s="45"/>
      <c r="J10" s="45"/>
      <c r="K10" s="37"/>
      <c r="L10" s="45"/>
      <c r="M10" s="45"/>
      <c r="N10" s="45"/>
      <c r="O10" s="37"/>
      <c r="P10" s="45"/>
      <c r="Q10" s="45"/>
      <c r="R10" s="45"/>
      <c r="S10" s="37"/>
      <c r="T10" s="45"/>
      <c r="U10" s="45"/>
      <c r="V10" s="46"/>
    </row>
    <row r="11">
      <c r="A11" s="20"/>
      <c r="B11" s="47" t="s">
        <v>46</v>
      </c>
      <c r="C11" s="25"/>
      <c r="D11" s="39"/>
      <c r="E11" s="39"/>
      <c r="F11" s="48">
        <f>SUMPRODUCT(E4:E8,F4:F8)</f>
        <v>160774.51</v>
      </c>
      <c r="G11" s="37"/>
      <c r="H11" s="49"/>
      <c r="I11" s="49"/>
      <c r="J11" s="48">
        <f>SUMPRODUCT(I4:I9,J4:J9)</f>
        <v>14767530.1</v>
      </c>
      <c r="K11" s="37"/>
      <c r="L11" s="49"/>
      <c r="M11" s="49"/>
      <c r="N11" s="48">
        <f>SUMPRODUCT(M4:M9,N4:N9)</f>
        <v>6269390.163</v>
      </c>
      <c r="O11" s="37"/>
      <c r="P11" s="49"/>
      <c r="Q11" s="49"/>
      <c r="R11" s="48">
        <f>SUMPRODUCT(Q4:Q9,R4:R9)</f>
        <v>436331.25</v>
      </c>
      <c r="S11" s="37"/>
      <c r="T11" s="49"/>
      <c r="U11" s="39"/>
      <c r="V11" s="48">
        <f>SUMPRODUCT(U4:U9,V4:V9)</f>
        <v>4330826.27</v>
      </c>
    </row>
    <row r="12">
      <c r="A12" s="20"/>
      <c r="B12" s="47" t="s">
        <v>47</v>
      </c>
      <c r="C12" s="25"/>
      <c r="D12" s="39"/>
      <c r="E12" s="39"/>
      <c r="F12" s="50">
        <f>F11*'Technical data'!C7</f>
        <v>1.28619608</v>
      </c>
      <c r="G12" s="37"/>
      <c r="H12" s="51"/>
      <c r="I12" s="51"/>
      <c r="J12" s="50">
        <f>J11*'Technical data'!C7</f>
        <v>118.1402408</v>
      </c>
      <c r="K12" s="37"/>
      <c r="L12" s="51"/>
      <c r="M12" s="51"/>
      <c r="N12" s="50">
        <f>N11*'Technical data'!C7</f>
        <v>50.1551213</v>
      </c>
      <c r="O12" s="37"/>
      <c r="P12" s="51"/>
      <c r="Q12" s="51"/>
      <c r="R12" s="50">
        <f>R11*'Technical data'!C7</f>
        <v>3.49065</v>
      </c>
      <c r="S12" s="37"/>
      <c r="T12" s="51"/>
      <c r="U12" s="39"/>
      <c r="V12" s="50">
        <f>V11*'Technical data'!C7</f>
        <v>34.64661016</v>
      </c>
    </row>
    <row r="13">
      <c r="A13" s="20"/>
      <c r="B13" s="47" t="s">
        <v>48</v>
      </c>
      <c r="C13" s="25"/>
      <c r="D13" s="52"/>
      <c r="E13" s="52"/>
      <c r="F13" s="53">
        <f>F12*'Technical data'!C8</f>
        <v>5.14478432</v>
      </c>
      <c r="G13" s="37"/>
      <c r="H13" s="54"/>
      <c r="I13" s="54"/>
      <c r="J13" s="53">
        <f>J12*'Technical data'!C8</f>
        <v>472.5609632</v>
      </c>
      <c r="K13" s="37"/>
      <c r="L13" s="54"/>
      <c r="M13" s="54"/>
      <c r="N13" s="53">
        <f>N12*'Technical data'!C8</f>
        <v>200.6204852</v>
      </c>
      <c r="O13" s="37"/>
      <c r="P13" s="54"/>
      <c r="Q13" s="54"/>
      <c r="R13" s="53">
        <f>R12*'Technical data'!C8</f>
        <v>13.9626</v>
      </c>
      <c r="S13" s="37"/>
      <c r="T13" s="54"/>
      <c r="U13" s="52"/>
      <c r="V13" s="53">
        <f>V12*'Technical data'!C8</f>
        <v>138.5864407</v>
      </c>
    </row>
    <row r="14">
      <c r="A14" s="20"/>
      <c r="B14" s="44"/>
      <c r="C14" s="25"/>
      <c r="D14" s="55" t="s">
        <v>26</v>
      </c>
      <c r="E14" s="56" t="s">
        <v>27</v>
      </c>
      <c r="F14" s="57" t="s">
        <v>49</v>
      </c>
      <c r="G14" s="37"/>
      <c r="H14" s="55" t="s">
        <v>29</v>
      </c>
      <c r="I14" s="56" t="s">
        <v>27</v>
      </c>
      <c r="J14" s="57" t="s">
        <v>49</v>
      </c>
      <c r="K14" s="37"/>
      <c r="L14" s="55" t="s">
        <v>26</v>
      </c>
      <c r="M14" s="56" t="s">
        <v>27</v>
      </c>
      <c r="N14" s="57" t="s">
        <v>49</v>
      </c>
      <c r="O14" s="37"/>
      <c r="P14" s="55" t="s">
        <v>26</v>
      </c>
      <c r="Q14" s="56" t="s">
        <v>27</v>
      </c>
      <c r="R14" s="57" t="s">
        <v>49</v>
      </c>
      <c r="S14" s="37"/>
      <c r="T14" s="55" t="s">
        <v>26</v>
      </c>
      <c r="U14" s="56" t="s">
        <v>27</v>
      </c>
      <c r="V14" s="57" t="s">
        <v>49</v>
      </c>
    </row>
    <row r="15">
      <c r="A15" s="20"/>
      <c r="B15" s="58" t="s">
        <v>50</v>
      </c>
      <c r="C15" s="59" t="s">
        <v>8</v>
      </c>
      <c r="D15" s="60" t="s">
        <v>51</v>
      </c>
      <c r="E15" s="12">
        <v>22.0</v>
      </c>
      <c r="F15" s="61">
        <v>0.12</v>
      </c>
      <c r="G15" s="37"/>
      <c r="H15" s="12" t="s">
        <v>52</v>
      </c>
      <c r="I15" s="12">
        <v>1.0</v>
      </c>
      <c r="J15" s="61">
        <v>2.13</v>
      </c>
      <c r="K15" s="37"/>
      <c r="L15" s="12" t="s">
        <v>52</v>
      </c>
      <c r="M15" s="12">
        <v>1.0</v>
      </c>
      <c r="N15" s="61">
        <v>2.13</v>
      </c>
      <c r="O15" s="37"/>
      <c r="P15" s="12" t="s">
        <v>52</v>
      </c>
      <c r="Q15" s="12">
        <v>1.0</v>
      </c>
      <c r="R15" s="61">
        <v>2.13</v>
      </c>
      <c r="S15" s="37"/>
      <c r="T15" s="12" t="s">
        <v>52</v>
      </c>
      <c r="U15" s="12">
        <v>1.0</v>
      </c>
      <c r="V15" s="61">
        <v>2.13</v>
      </c>
    </row>
    <row r="16">
      <c r="A16" s="20"/>
      <c r="B16" s="37"/>
      <c r="C16" s="37"/>
      <c r="D16" s="12" t="s">
        <v>53</v>
      </c>
      <c r="E16" s="12">
        <v>12.0</v>
      </c>
      <c r="F16" s="61">
        <v>5.73</v>
      </c>
      <c r="G16" s="37"/>
      <c r="H16" s="12" t="s">
        <v>54</v>
      </c>
      <c r="I16" s="12">
        <v>4.0</v>
      </c>
      <c r="J16" s="61">
        <f>$F$25+$F$13</f>
        <v>100.6247843</v>
      </c>
      <c r="K16" s="37"/>
      <c r="L16" s="12" t="s">
        <v>54</v>
      </c>
      <c r="M16" s="12">
        <v>4.0</v>
      </c>
      <c r="N16" s="61">
        <f>$F$25+$F$13</f>
        <v>100.6247843</v>
      </c>
      <c r="O16" s="37"/>
      <c r="P16" s="12" t="s">
        <v>54</v>
      </c>
      <c r="Q16" s="12">
        <v>4.0</v>
      </c>
      <c r="R16" s="61">
        <f>$F$25+$F$13</f>
        <v>100.6247843</v>
      </c>
      <c r="S16" s="37"/>
      <c r="T16" s="12" t="s">
        <v>54</v>
      </c>
      <c r="U16" s="12">
        <v>4.0</v>
      </c>
      <c r="V16" s="61">
        <f>$F$25+$F$13</f>
        <v>100.6247843</v>
      </c>
    </row>
    <row r="17">
      <c r="A17" s="20"/>
      <c r="B17" s="37"/>
      <c r="C17" s="37"/>
      <c r="D17" s="12" t="s">
        <v>55</v>
      </c>
      <c r="E17" s="12">
        <v>10.0</v>
      </c>
      <c r="F17" s="61">
        <v>1.7</v>
      </c>
      <c r="G17" s="37"/>
      <c r="H17" s="60" t="s">
        <v>51</v>
      </c>
      <c r="I17" s="12">
        <v>40.0</v>
      </c>
      <c r="J17" s="61">
        <v>0.12</v>
      </c>
      <c r="K17" s="37"/>
      <c r="L17" s="12" t="s">
        <v>56</v>
      </c>
      <c r="M17" s="12">
        <v>2.0</v>
      </c>
      <c r="N17" s="61">
        <v>0.27</v>
      </c>
      <c r="O17" s="37"/>
      <c r="P17" s="12" t="s">
        <v>55</v>
      </c>
      <c r="Q17" s="12">
        <v>4.0</v>
      </c>
      <c r="R17" s="61">
        <v>1.7</v>
      </c>
      <c r="S17" s="37"/>
      <c r="T17" s="12" t="s">
        <v>57</v>
      </c>
      <c r="U17" s="12">
        <v>6.0</v>
      </c>
      <c r="V17" s="61">
        <v>0.72</v>
      </c>
    </row>
    <row r="18">
      <c r="A18" s="20"/>
      <c r="B18" s="37"/>
      <c r="C18" s="37"/>
      <c r="D18" s="62" t="s">
        <v>58</v>
      </c>
      <c r="E18" s="62">
        <v>1.0</v>
      </c>
      <c r="F18" s="63">
        <v>6.54</v>
      </c>
      <c r="G18" s="37"/>
      <c r="H18" s="39"/>
      <c r="I18" s="39"/>
      <c r="J18" s="64"/>
      <c r="K18" s="37"/>
      <c r="L18" s="12" t="s">
        <v>59</v>
      </c>
      <c r="M18" s="12">
        <v>4.0</v>
      </c>
      <c r="N18" s="61">
        <v>1.33</v>
      </c>
      <c r="O18" s="37"/>
      <c r="P18" s="60" t="s">
        <v>51</v>
      </c>
      <c r="Q18" s="12">
        <v>20.0</v>
      </c>
      <c r="R18" s="61">
        <v>0.12</v>
      </c>
      <c r="S18" s="37"/>
      <c r="T18" s="12" t="s">
        <v>60</v>
      </c>
      <c r="U18" s="12">
        <v>2.0</v>
      </c>
      <c r="V18" s="61">
        <v>1.11</v>
      </c>
    </row>
    <row r="19" ht="15.75" customHeight="1">
      <c r="A19" s="20"/>
      <c r="B19" s="37"/>
      <c r="C19" s="65"/>
      <c r="D19" s="39" t="s">
        <v>61</v>
      </c>
      <c r="E19" s="39">
        <v>1.0</v>
      </c>
      <c r="F19" s="63">
        <v>0.54</v>
      </c>
      <c r="G19" s="37"/>
      <c r="H19" s="62"/>
      <c r="I19" s="62"/>
      <c r="J19" s="63"/>
      <c r="K19" s="37"/>
      <c r="L19" s="66" t="s">
        <v>51</v>
      </c>
      <c r="M19" s="62">
        <v>46.0</v>
      </c>
      <c r="N19" s="63">
        <v>0.12</v>
      </c>
      <c r="O19" s="37"/>
      <c r="P19" s="62"/>
      <c r="Q19" s="62"/>
      <c r="R19" s="63"/>
      <c r="S19" s="37"/>
      <c r="T19" s="66" t="s">
        <v>51</v>
      </c>
      <c r="U19" s="62">
        <v>50.0</v>
      </c>
      <c r="V19" s="63">
        <v>0.12</v>
      </c>
    </row>
    <row r="20" ht="15.75" customHeight="1">
      <c r="A20" s="20"/>
      <c r="B20" s="37"/>
      <c r="C20" s="67" t="s">
        <v>62</v>
      </c>
      <c r="D20" s="68" t="s">
        <v>63</v>
      </c>
      <c r="E20" s="69">
        <v>1.0</v>
      </c>
      <c r="F20" s="70">
        <v>30.0</v>
      </c>
      <c r="G20" s="37"/>
      <c r="H20" s="68" t="s">
        <v>64</v>
      </c>
      <c r="I20" s="68">
        <v>1.0</v>
      </c>
      <c r="J20" s="71">
        <v>22.5</v>
      </c>
      <c r="K20" s="37"/>
      <c r="L20" s="68" t="s">
        <v>64</v>
      </c>
      <c r="M20" s="68">
        <v>1.0</v>
      </c>
      <c r="N20" s="71">
        <v>22.5</v>
      </c>
      <c r="O20" s="37"/>
      <c r="P20" s="68" t="s">
        <v>64</v>
      </c>
      <c r="Q20" s="68">
        <v>1.0</v>
      </c>
      <c r="R20" s="71">
        <v>22.5</v>
      </c>
      <c r="S20" s="37"/>
      <c r="T20" s="68" t="s">
        <v>64</v>
      </c>
      <c r="U20" s="68">
        <v>1.0</v>
      </c>
      <c r="V20" s="71">
        <v>22.5</v>
      </c>
    </row>
    <row r="21">
      <c r="A21" s="20"/>
      <c r="B21" s="37"/>
      <c r="C21" s="37"/>
      <c r="D21" s="12"/>
      <c r="E21" s="12"/>
      <c r="F21" s="61"/>
      <c r="G21" s="37"/>
      <c r="H21" s="12" t="s">
        <v>65</v>
      </c>
      <c r="I21" s="12">
        <v>4.0</v>
      </c>
      <c r="J21" s="64">
        <f>$F$26</f>
        <v>30</v>
      </c>
      <c r="K21" s="37"/>
      <c r="L21" s="12" t="s">
        <v>65</v>
      </c>
      <c r="M21" s="12">
        <v>4.0</v>
      </c>
      <c r="N21" s="64">
        <f>$F$26</f>
        <v>30</v>
      </c>
      <c r="O21" s="37"/>
      <c r="P21" s="12" t="s">
        <v>65</v>
      </c>
      <c r="Q21" s="12">
        <v>4.0</v>
      </c>
      <c r="R21" s="64">
        <f>$F$26</f>
        <v>30</v>
      </c>
      <c r="S21" s="37"/>
      <c r="T21" s="12" t="s">
        <v>65</v>
      </c>
      <c r="U21" s="12">
        <v>4.0</v>
      </c>
      <c r="V21" s="64">
        <f>$F$26</f>
        <v>30</v>
      </c>
    </row>
    <row r="22">
      <c r="A22" s="20"/>
      <c r="B22" s="37"/>
      <c r="C22" s="37"/>
      <c r="D22" s="39"/>
      <c r="E22" s="39"/>
      <c r="F22" s="64"/>
      <c r="G22" s="37"/>
      <c r="H22" s="39"/>
      <c r="I22" s="39"/>
      <c r="J22" s="64"/>
      <c r="K22" s="37"/>
      <c r="L22" s="39"/>
      <c r="M22" s="39"/>
      <c r="N22" s="64"/>
      <c r="O22" s="37"/>
      <c r="P22" s="39"/>
      <c r="Q22" s="39"/>
      <c r="R22" s="64"/>
      <c r="S22" s="37"/>
      <c r="T22" s="39"/>
      <c r="U22" s="39"/>
      <c r="V22" s="64"/>
    </row>
    <row r="23">
      <c r="A23" s="20"/>
      <c r="B23" s="65"/>
      <c r="C23" s="65"/>
      <c r="D23" s="39"/>
      <c r="E23" s="39"/>
      <c r="F23" s="64"/>
      <c r="G23" s="37"/>
      <c r="H23" s="39"/>
      <c r="I23" s="39"/>
      <c r="J23" s="64"/>
      <c r="K23" s="37"/>
      <c r="L23" s="39"/>
      <c r="M23" s="39"/>
      <c r="N23" s="64"/>
      <c r="O23" s="37"/>
      <c r="P23" s="39"/>
      <c r="Q23" s="39"/>
      <c r="R23" s="64"/>
      <c r="S23" s="37"/>
      <c r="T23" s="39"/>
      <c r="U23" s="39"/>
      <c r="V23" s="64"/>
    </row>
    <row r="24">
      <c r="A24" s="20"/>
      <c r="B24" s="44"/>
      <c r="C24" s="25"/>
      <c r="D24" s="44"/>
      <c r="E24" s="45"/>
      <c r="F24" s="45"/>
      <c r="G24" s="37"/>
      <c r="H24" s="45"/>
      <c r="I24" s="45"/>
      <c r="J24" s="45"/>
      <c r="K24" s="37"/>
      <c r="L24" s="45"/>
      <c r="M24" s="45"/>
      <c r="N24" s="45"/>
      <c r="O24" s="37"/>
      <c r="P24" s="45"/>
      <c r="Q24" s="45"/>
      <c r="R24" s="45"/>
      <c r="S24" s="37"/>
      <c r="T24" s="45"/>
      <c r="U24" s="46"/>
      <c r="V24" s="39"/>
    </row>
    <row r="25">
      <c r="A25" s="20"/>
      <c r="B25" s="72" t="s">
        <v>66</v>
      </c>
      <c r="C25" s="25"/>
      <c r="D25" s="39"/>
      <c r="E25" s="39"/>
      <c r="F25" s="73">
        <f>SUMPRODUCT(E15:E19,F15:F19)</f>
        <v>95.48</v>
      </c>
      <c r="G25" s="65"/>
      <c r="H25" s="64"/>
      <c r="I25" s="64"/>
      <c r="J25" s="73">
        <f>SUMPRODUCT(I15:I19,J15:J19)</f>
        <v>409.4291373</v>
      </c>
      <c r="K25" s="65"/>
      <c r="L25" s="64"/>
      <c r="M25" s="64"/>
      <c r="N25" s="73">
        <f>SUMPRODUCT(M15:M19,N15:N19)</f>
        <v>416.0091373</v>
      </c>
      <c r="O25" s="65"/>
      <c r="P25" s="64"/>
      <c r="Q25" s="64"/>
      <c r="R25" s="73">
        <f>SUMPRODUCT(Q15:Q19,R15:R19)</f>
        <v>413.8291373</v>
      </c>
      <c r="S25" s="65"/>
      <c r="T25" s="64"/>
      <c r="U25" s="64"/>
      <c r="V25" s="73">
        <f>SUMPRODUCT(U15:U19,V15:V19)</f>
        <v>417.1691373</v>
      </c>
    </row>
    <row r="26">
      <c r="B26" s="74" t="s">
        <v>67</v>
      </c>
      <c r="C26" s="25"/>
      <c r="D26" s="39"/>
      <c r="E26" s="39"/>
      <c r="F26" s="73">
        <f>SUMPRODUCT(E20:E21,F20:F21)</f>
        <v>30</v>
      </c>
      <c r="H26" s="64"/>
      <c r="I26" s="64"/>
      <c r="J26" s="73">
        <f>SUMPRODUCT(I20:I22,J20:J22)</f>
        <v>142.5</v>
      </c>
      <c r="L26" s="64"/>
      <c r="M26" s="64"/>
      <c r="N26" s="73">
        <f>SUMPRODUCT(M20:M22,N20:N22)</f>
        <v>142.5</v>
      </c>
      <c r="P26" s="64"/>
      <c r="Q26" s="64"/>
      <c r="R26" s="73">
        <f>SUMPRODUCT(Q20:Q22,R20:R22)</f>
        <v>142.5</v>
      </c>
      <c r="T26" s="64"/>
      <c r="U26" s="64"/>
      <c r="V26" s="73">
        <f>SUMPRODUCT(U20:U22,V20:V22)</f>
        <v>142.5</v>
      </c>
    </row>
    <row r="37">
      <c r="A37" s="31"/>
      <c r="B37" s="31"/>
      <c r="C37" s="31"/>
      <c r="D37" s="31"/>
      <c r="E37" s="31"/>
      <c r="F37" s="31"/>
      <c r="K37" s="31"/>
      <c r="L37" s="31"/>
      <c r="M37" s="31"/>
      <c r="N37" s="31"/>
      <c r="O37" s="31"/>
      <c r="P37" s="31"/>
      <c r="Q37" s="31"/>
      <c r="R37" s="31"/>
    </row>
  </sheetData>
  <mergeCells count="22">
    <mergeCell ref="P2:R2"/>
    <mergeCell ref="S2:S25"/>
    <mergeCell ref="T2:V2"/>
    <mergeCell ref="B4:C9"/>
    <mergeCell ref="B10:C10"/>
    <mergeCell ref="B11:C11"/>
    <mergeCell ref="B12:C12"/>
    <mergeCell ref="B13:C13"/>
    <mergeCell ref="B14:C14"/>
    <mergeCell ref="B15:B23"/>
    <mergeCell ref="C15:C19"/>
    <mergeCell ref="C20:C23"/>
    <mergeCell ref="B24:C24"/>
    <mergeCell ref="B25:C25"/>
    <mergeCell ref="B26:C26"/>
    <mergeCell ref="B2:C3"/>
    <mergeCell ref="D2:F2"/>
    <mergeCell ref="G2:G25"/>
    <mergeCell ref="H2:J2"/>
    <mergeCell ref="K2:K25"/>
    <mergeCell ref="L2:N2"/>
    <mergeCell ref="O2:O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23.14"/>
  </cols>
  <sheetData>
    <row r="2">
      <c r="A2" s="75"/>
      <c r="B2" s="76" t="s">
        <v>68</v>
      </c>
      <c r="C2" s="76" t="s">
        <v>69</v>
      </c>
      <c r="D2" s="76" t="s">
        <v>70</v>
      </c>
    </row>
    <row r="3">
      <c r="A3" s="75"/>
      <c r="B3" s="77" t="s">
        <v>71</v>
      </c>
      <c r="C3" s="78">
        <v>5.72</v>
      </c>
      <c r="D3" s="79" t="s">
        <v>72</v>
      </c>
    </row>
    <row r="4">
      <c r="A4" s="75"/>
      <c r="B4" s="77" t="s">
        <v>73</v>
      </c>
      <c r="C4" s="79">
        <v>0.34</v>
      </c>
      <c r="D4" s="79" t="s">
        <v>72</v>
      </c>
    </row>
    <row r="5">
      <c r="A5" s="75"/>
      <c r="B5" s="77" t="s">
        <v>74</v>
      </c>
      <c r="C5" s="79">
        <v>0.19</v>
      </c>
      <c r="D5" s="79" t="s">
        <v>72</v>
      </c>
    </row>
    <row r="6">
      <c r="A6" s="75"/>
      <c r="B6" s="77" t="s">
        <v>75</v>
      </c>
      <c r="C6" s="79">
        <v>2.66</v>
      </c>
      <c r="D6" s="79" t="s">
        <v>72</v>
      </c>
    </row>
    <row r="7">
      <c r="A7" s="75"/>
      <c r="B7" s="77" t="s">
        <v>76</v>
      </c>
      <c r="C7" s="80">
        <f>8000/1000000000</f>
        <v>0.000008</v>
      </c>
      <c r="D7" s="79" t="s">
        <v>77</v>
      </c>
    </row>
    <row r="8">
      <c r="A8" s="75"/>
      <c r="B8" s="77" t="s">
        <v>78</v>
      </c>
      <c r="C8" s="79">
        <v>4.0</v>
      </c>
      <c r="D8" s="79" t="s">
        <v>72</v>
      </c>
      <c r="E8" s="6"/>
      <c r="F8" s="81" t="s">
        <v>79</v>
      </c>
    </row>
    <row r="9">
      <c r="A9" s="82"/>
      <c r="B9" s="83" t="s">
        <v>80</v>
      </c>
      <c r="C9" s="84">
        <v>50.0</v>
      </c>
      <c r="D9" s="84" t="s">
        <v>81</v>
      </c>
    </row>
    <row r="10">
      <c r="A10" s="82"/>
      <c r="B10" s="83" t="s">
        <v>82</v>
      </c>
      <c r="C10" s="84">
        <v>14.0</v>
      </c>
      <c r="D10" s="84" t="s">
        <v>83</v>
      </c>
    </row>
    <row r="11">
      <c r="A11" s="82"/>
      <c r="B11" s="83" t="s">
        <v>84</v>
      </c>
      <c r="C11" s="84">
        <v>120.0</v>
      </c>
      <c r="D11" s="84" t="s">
        <v>83</v>
      </c>
    </row>
    <row r="12">
      <c r="A12" s="82"/>
      <c r="B12" s="83" t="s">
        <v>3</v>
      </c>
      <c r="C12" s="84">
        <v>7.0</v>
      </c>
      <c r="D12" s="84" t="s">
        <v>81</v>
      </c>
    </row>
    <row r="13">
      <c r="A13" s="82"/>
      <c r="B13" s="83" t="s">
        <v>85</v>
      </c>
      <c r="C13" s="84">
        <v>50.0</v>
      </c>
      <c r="D13" s="84" t="s">
        <v>81</v>
      </c>
    </row>
  </sheetData>
  <hyperlinks>
    <hyperlink r:id="rId1" ref="F8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2022-12-05T11:56:09Z</dcterms:created>
  <dc:creator>Barbara Kośka</dc:creator>
</cp:coreProperties>
</file>