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omments11.xml" ContentType="application/vnd.openxmlformats-officedocument.spreadsheetml.comments+xml"/>
  <Override PartName="/xl/drawings/drawing1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omments12.xml" ContentType="application/vnd.openxmlformats-officedocument.spreadsheetml.comments+xml"/>
  <Override PartName="/xl/drawings/drawing19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omments13.xml" ContentType="application/vnd.openxmlformats-officedocument.spreadsheetml.comments+xml"/>
  <Override PartName="/xl/drawings/drawing20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comments14.xml" ContentType="application/vnd.openxmlformats-officedocument.spreadsheetml.comments+xml"/>
  <Override PartName="/xl/drawings/drawing21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omments15.xml" ContentType="application/vnd.openxmlformats-officedocument.spreadsheetml.comments+xml"/>
  <Override PartName="/xl/drawings/drawing2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omments16.xml" ContentType="application/vnd.openxmlformats-officedocument.spreadsheetml.comments+xml"/>
  <Override PartName="/xl/drawings/drawing23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comments17.xml" ContentType="application/vnd.openxmlformats-officedocument.spreadsheetml.comments+xml"/>
  <Override PartName="/xl/drawings/drawing24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omments18.xml" ContentType="application/vnd.openxmlformats-officedocument.spreadsheetml.comments+xml"/>
  <Override PartName="/xl/drawings/drawing25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drawings/drawing2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27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40FEBFAF-B958-4A44-8E1B-E07F2140BC50}" xr6:coauthVersionLast="47" xr6:coauthVersionMax="47" xr10:uidLastSave="{00000000-0000-0000-0000-000000000000}"/>
  <bookViews>
    <workbookView xWindow="4290" yWindow="915" windowWidth="29775" windowHeight="19965" tabRatio="612" firstSheet="2" activeTab="3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2" r:id="rId18"/>
    <sheet name="3" sheetId="213" r:id="rId19"/>
    <sheet name="4" sheetId="214" r:id="rId20"/>
    <sheet name="5" sheetId="215" r:id="rId21"/>
    <sheet name="6" sheetId="216" r:id="rId22"/>
    <sheet name="7" sheetId="217" r:id="rId23"/>
    <sheet name="8" sheetId="218" r:id="rId24"/>
    <sheet name="9" sheetId="219" r:id="rId25"/>
    <sheet name="10" sheetId="220" r:id="rId26"/>
    <sheet name="11" sheetId="221" r:id="rId27"/>
    <sheet name="Q1" sheetId="100" r:id="rId28"/>
    <sheet name="Q2" sheetId="117" r:id="rId29"/>
    <sheet name="Q3" sheetId="115" r:id="rId3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7">'Q1'!$C$7</definedName>
    <definedName name="baseTemp" localSheetId="28">'Q2'!$C$7</definedName>
    <definedName name="baseTemp" localSheetId="2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21" l="1"/>
  <c r="E17" i="221"/>
  <c r="C19" i="221"/>
  <c r="C18" i="221"/>
  <c r="C17" i="221"/>
  <c r="C16" i="221"/>
  <c r="C15" i="221"/>
  <c r="C8" i="221"/>
  <c r="D8" i="221" s="1"/>
  <c r="C7" i="221"/>
  <c r="C6" i="221"/>
  <c r="C5" i="221"/>
  <c r="C4" i="221"/>
  <c r="C3" i="221"/>
  <c r="C2" i="221"/>
  <c r="F21" i="220"/>
  <c r="E17" i="220"/>
  <c r="F17" i="220" s="1"/>
  <c r="G17" i="220" s="1"/>
  <c r="C19" i="220"/>
  <c r="C18" i="220"/>
  <c r="C17" i="220"/>
  <c r="C16" i="220"/>
  <c r="C15" i="220"/>
  <c r="C8" i="220"/>
  <c r="D8" i="220" s="1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D8" i="219" s="1"/>
  <c r="C7" i="219"/>
  <c r="C6" i="219"/>
  <c r="C5" i="219"/>
  <c r="C4" i="219"/>
  <c r="C3" i="219"/>
  <c r="C2" i="219"/>
  <c r="F21" i="218"/>
  <c r="E17" i="218"/>
  <c r="E19" i="218" s="1"/>
  <c r="F19" i="218" s="1"/>
  <c r="G19" i="218" s="1"/>
  <c r="C19" i="218"/>
  <c r="C18" i="218"/>
  <c r="C17" i="218"/>
  <c r="C16" i="218"/>
  <c r="C15" i="218"/>
  <c r="C8" i="218"/>
  <c r="D8" i="218" s="1"/>
  <c r="C7" i="218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D8" i="216" s="1"/>
  <c r="C7" i="216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D8" i="215" s="1"/>
  <c r="C7" i="215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D8" i="214" s="1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D8" i="213" s="1"/>
  <c r="C7" i="213"/>
  <c r="C6" i="213"/>
  <c r="C5" i="213"/>
  <c r="C4" i="213"/>
  <c r="C3" i="213"/>
  <c r="C2" i="213"/>
  <c r="F21" i="212"/>
  <c r="E17" i="212"/>
  <c r="E19" i="212" s="1"/>
  <c r="F19" i="212" s="1"/>
  <c r="G19" i="212" s="1"/>
  <c r="C19" i="212"/>
  <c r="C18" i="212"/>
  <c r="C17" i="212"/>
  <c r="C16" i="212"/>
  <c r="C15" i="212"/>
  <c r="C8" i="212"/>
  <c r="C7" i="212"/>
  <c r="C6" i="212"/>
  <c r="C5" i="212"/>
  <c r="C4" i="212"/>
  <c r="C3" i="212"/>
  <c r="C2" i="21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1"/>
  <c r="I31" i="221"/>
  <c r="H31" i="221"/>
  <c r="G31" i="221"/>
  <c r="F31" i="221"/>
  <c r="E31" i="221"/>
  <c r="D31" i="221"/>
  <c r="J30" i="221"/>
  <c r="I30" i="221"/>
  <c r="H30" i="221"/>
  <c r="G30" i="221"/>
  <c r="F30" i="221"/>
  <c r="E30" i="221"/>
  <c r="D30" i="221"/>
  <c r="K30" i="221" s="1"/>
  <c r="D26" i="221"/>
  <c r="C22" i="221"/>
  <c r="E19" i="221"/>
  <c r="F19" i="221" s="1"/>
  <c r="G19" i="221" s="1"/>
  <c r="F17" i="221"/>
  <c r="G17" i="221" s="1"/>
  <c r="K16" i="221"/>
  <c r="K17" i="221" s="1"/>
  <c r="K18" i="221" s="1"/>
  <c r="L18" i="221" s="1"/>
  <c r="H26" i="221" s="1"/>
  <c r="G14" i="221"/>
  <c r="G13" i="221"/>
  <c r="F13" i="221"/>
  <c r="E13" i="221"/>
  <c r="D13" i="221"/>
  <c r="L12" i="221"/>
  <c r="H11" i="221"/>
  <c r="F11" i="221"/>
  <c r="E11" i="221"/>
  <c r="H10" i="221"/>
  <c r="H9" i="221"/>
  <c r="C9" i="221"/>
  <c r="G7" i="221"/>
  <c r="E7" i="221"/>
  <c r="E2" i="221"/>
  <c r="O14" i="52"/>
  <c r="F14" i="52"/>
  <c r="E14" i="52"/>
  <c r="B14" i="52"/>
  <c r="E19" i="220"/>
  <c r="F19" i="220" s="1"/>
  <c r="G19" i="220" s="1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K17" i="220"/>
  <c r="K18" i="220" s="1"/>
  <c r="L18" i="220" s="1"/>
  <c r="H26" i="220" s="1"/>
  <c r="K16" i="220"/>
  <c r="G14" i="220"/>
  <c r="G13" i="220"/>
  <c r="F13" i="220"/>
  <c r="E13" i="220"/>
  <c r="D13" i="220"/>
  <c r="L12" i="220"/>
  <c r="H11" i="220"/>
  <c r="F11" i="220"/>
  <c r="E11" i="220"/>
  <c r="H10" i="220"/>
  <c r="H9" i="220"/>
  <c r="C9" i="220"/>
  <c r="G7" i="220"/>
  <c r="E7" i="220"/>
  <c r="F2" i="220"/>
  <c r="E2" i="220"/>
  <c r="O13" i="52"/>
  <c r="F13" i="52"/>
  <c r="E13" i="52"/>
  <c r="B13" i="52"/>
  <c r="E19" i="219"/>
  <c r="F19" i="219" s="1"/>
  <c r="G19" i="219" s="1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K16" i="219"/>
  <c r="K17" i="219" s="1"/>
  <c r="K18" i="219" s="1"/>
  <c r="L18" i="219" s="1"/>
  <c r="H26" i="219" s="1"/>
  <c r="G14" i="219"/>
  <c r="G13" i="219"/>
  <c r="F13" i="219"/>
  <c r="E13" i="219"/>
  <c r="D13" i="219"/>
  <c r="L12" i="219"/>
  <c r="H11" i="219"/>
  <c r="F11" i="219"/>
  <c r="E11" i="219"/>
  <c r="H10" i="219"/>
  <c r="H9" i="219"/>
  <c r="C9" i="219"/>
  <c r="C12" i="219" s="1"/>
  <c r="A13" i="219" s="1"/>
  <c r="A12" i="219" s="1"/>
  <c r="G7" i="219"/>
  <c r="E7" i="219"/>
  <c r="E2" i="219"/>
  <c r="O12" i="52"/>
  <c r="F12" i="52"/>
  <c r="E12" i="52"/>
  <c r="B1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K30" i="218" s="1"/>
  <c r="D26" i="218"/>
  <c r="C22" i="218"/>
  <c r="K16" i="218"/>
  <c r="K17" i="218" s="1"/>
  <c r="K18" i="218" s="1"/>
  <c r="L18" i="218" s="1"/>
  <c r="H26" i="218" s="1"/>
  <c r="G14" i="218"/>
  <c r="G13" i="218"/>
  <c r="F13" i="218"/>
  <c r="E13" i="218"/>
  <c r="D13" i="218"/>
  <c r="L12" i="218"/>
  <c r="H11" i="218"/>
  <c r="F11" i="218"/>
  <c r="E11" i="218"/>
  <c r="H10" i="218"/>
  <c r="H9" i="218"/>
  <c r="C9" i="218"/>
  <c r="G7" i="218"/>
  <c r="E7" i="218"/>
  <c r="E2" i="218"/>
  <c r="F2" i="218" s="1"/>
  <c r="O11" i="52"/>
  <c r="F11" i="52"/>
  <c r="E11" i="52"/>
  <c r="B11" i="52"/>
  <c r="F17" i="217"/>
  <c r="G17" i="217" s="1"/>
  <c r="D8" i="217"/>
  <c r="C14" i="217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K30" i="217" s="1"/>
  <c r="D26" i="217"/>
  <c r="C22" i="217"/>
  <c r="K16" i="217"/>
  <c r="K17" i="217" s="1"/>
  <c r="K18" i="217" s="1"/>
  <c r="L18" i="217" s="1"/>
  <c r="H26" i="217" s="1"/>
  <c r="G14" i="217"/>
  <c r="G13" i="217"/>
  <c r="F13" i="217"/>
  <c r="E13" i="217"/>
  <c r="D13" i="217"/>
  <c r="L12" i="217"/>
  <c r="H11" i="217"/>
  <c r="F11" i="217"/>
  <c r="E11" i="217"/>
  <c r="H10" i="217"/>
  <c r="H9" i="217"/>
  <c r="C9" i="217"/>
  <c r="G7" i="217"/>
  <c r="E7" i="217"/>
  <c r="F2" i="217"/>
  <c r="E2" i="217"/>
  <c r="O10" i="52"/>
  <c r="F10" i="52"/>
  <c r="E10" i="52"/>
  <c r="B10" i="52"/>
  <c r="E19" i="216"/>
  <c r="F19" i="216" s="1"/>
  <c r="G19" i="216" s="1"/>
  <c r="J31" i="216"/>
  <c r="K31" i="216" s="1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K30" i="216" s="1"/>
  <c r="D26" i="216"/>
  <c r="C22" i="216"/>
  <c r="K16" i="216"/>
  <c r="K17" i="216" s="1"/>
  <c r="K18" i="216" s="1"/>
  <c r="L18" i="216" s="1"/>
  <c r="H26" i="216" s="1"/>
  <c r="G14" i="216"/>
  <c r="G13" i="216"/>
  <c r="F13" i="216"/>
  <c r="E13" i="216"/>
  <c r="D13" i="216"/>
  <c r="L12" i="216"/>
  <c r="H11" i="216"/>
  <c r="F11" i="216"/>
  <c r="E11" i="216"/>
  <c r="H10" i="216"/>
  <c r="H9" i="216"/>
  <c r="C9" i="216"/>
  <c r="G7" i="216"/>
  <c r="E7" i="216"/>
  <c r="E2" i="216"/>
  <c r="O9" i="52"/>
  <c r="F9" i="52"/>
  <c r="E9" i="52"/>
  <c r="B9" i="52"/>
  <c r="E19" i="215"/>
  <c r="F19" i="215" s="1"/>
  <c r="G19" i="215" s="1"/>
  <c r="J31" i="215"/>
  <c r="I31" i="215"/>
  <c r="H31" i="215"/>
  <c r="G31" i="215"/>
  <c r="F31" i="215"/>
  <c r="K31" i="215" s="1"/>
  <c r="E31" i="215"/>
  <c r="D31" i="215"/>
  <c r="J30" i="215"/>
  <c r="I30" i="215"/>
  <c r="H30" i="215"/>
  <c r="G30" i="215"/>
  <c r="F30" i="215"/>
  <c r="E30" i="215"/>
  <c r="D30" i="215"/>
  <c r="D26" i="215"/>
  <c r="C22" i="215"/>
  <c r="K16" i="215"/>
  <c r="K17" i="215" s="1"/>
  <c r="K18" i="215" s="1"/>
  <c r="L18" i="215" s="1"/>
  <c r="H26" i="215" s="1"/>
  <c r="G14" i="215"/>
  <c r="G13" i="215"/>
  <c r="F13" i="215"/>
  <c r="E13" i="215"/>
  <c r="D13" i="215"/>
  <c r="L12" i="215"/>
  <c r="H11" i="215"/>
  <c r="F11" i="215"/>
  <c r="E11" i="215"/>
  <c r="H10" i="215"/>
  <c r="H9" i="215"/>
  <c r="C9" i="215"/>
  <c r="G7" i="215"/>
  <c r="F2" i="215" s="1"/>
  <c r="E7" i="215"/>
  <c r="E2" i="215"/>
  <c r="O8" i="52"/>
  <c r="F8" i="52"/>
  <c r="E8" i="52"/>
  <c r="B8" i="52"/>
  <c r="F17" i="214"/>
  <c r="G17" i="214" s="1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K16" i="214"/>
  <c r="K17" i="214" s="1"/>
  <c r="K18" i="214" s="1"/>
  <c r="L18" i="214" s="1"/>
  <c r="H26" i="214" s="1"/>
  <c r="G14" i="214"/>
  <c r="G13" i="214"/>
  <c r="F13" i="214"/>
  <c r="E13" i="214"/>
  <c r="D13" i="214"/>
  <c r="L12" i="214"/>
  <c r="H11" i="214"/>
  <c r="F11" i="214"/>
  <c r="E11" i="214"/>
  <c r="H10" i="214"/>
  <c r="H9" i="214"/>
  <c r="C9" i="214"/>
  <c r="G7" i="214"/>
  <c r="E7" i="214"/>
  <c r="E2" i="214"/>
  <c r="O7" i="52"/>
  <c r="F7" i="52"/>
  <c r="E7" i="52"/>
  <c r="B7" i="52"/>
  <c r="E19" i="213"/>
  <c r="F19" i="213" s="1"/>
  <c r="G19" i="213" s="1"/>
  <c r="J31" i="213"/>
  <c r="I31" i="213"/>
  <c r="H31" i="213"/>
  <c r="G31" i="213"/>
  <c r="F31" i="213"/>
  <c r="E31" i="213"/>
  <c r="D31" i="213"/>
  <c r="J30" i="213"/>
  <c r="I30" i="213"/>
  <c r="H30" i="213"/>
  <c r="G30" i="213"/>
  <c r="F30" i="213"/>
  <c r="E30" i="213"/>
  <c r="D30" i="213"/>
  <c r="K30" i="213" s="1"/>
  <c r="D26" i="213"/>
  <c r="C22" i="213"/>
  <c r="K16" i="213"/>
  <c r="K17" i="213" s="1"/>
  <c r="K18" i="213" s="1"/>
  <c r="L18" i="213" s="1"/>
  <c r="H26" i="213" s="1"/>
  <c r="G14" i="213"/>
  <c r="G13" i="213"/>
  <c r="F13" i="213"/>
  <c r="E13" i="213"/>
  <c r="D13" i="213"/>
  <c r="L12" i="213"/>
  <c r="H11" i="213"/>
  <c r="F11" i="213"/>
  <c r="E11" i="213"/>
  <c r="H10" i="213"/>
  <c r="H9" i="213"/>
  <c r="C9" i="213"/>
  <c r="G7" i="213"/>
  <c r="E7" i="213"/>
  <c r="E2" i="213"/>
  <c r="O6" i="52"/>
  <c r="F6" i="52"/>
  <c r="E6" i="52"/>
  <c r="B6" i="52"/>
  <c r="D8" i="21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K16" i="212"/>
  <c r="K17" i="212" s="1"/>
  <c r="K18" i="212" s="1"/>
  <c r="L18" i="212" s="1"/>
  <c r="H26" i="212" s="1"/>
  <c r="G14" i="212"/>
  <c r="G13" i="212"/>
  <c r="F13" i="212"/>
  <c r="E13" i="212"/>
  <c r="D13" i="212"/>
  <c r="L12" i="212"/>
  <c r="H11" i="212"/>
  <c r="F11" i="212"/>
  <c r="E11" i="212"/>
  <c r="H10" i="212"/>
  <c r="H9" i="212"/>
  <c r="C9" i="212"/>
  <c r="G7" i="212"/>
  <c r="E7" i="212"/>
  <c r="E2" i="212"/>
  <c r="O5" i="52"/>
  <c r="F5" i="52"/>
  <c r="E5" i="52"/>
  <c r="B5" i="52"/>
  <c r="B4" i="52"/>
  <c r="O4" i="52"/>
  <c r="F4" i="52"/>
  <c r="E4" i="52"/>
  <c r="K31" i="221" l="1"/>
  <c r="K31" i="220"/>
  <c r="K30" i="220"/>
  <c r="K30" i="219"/>
  <c r="K31" i="219"/>
  <c r="K31" i="218"/>
  <c r="K31" i="217"/>
  <c r="K30" i="215"/>
  <c r="K31" i="214"/>
  <c r="K30" i="214"/>
  <c r="K31" i="213"/>
  <c r="K31" i="212"/>
  <c r="K30" i="212"/>
  <c r="C12" i="221"/>
  <c r="A13" i="221" s="1"/>
  <c r="A12" i="221" s="1"/>
  <c r="C14" i="218"/>
  <c r="C14" i="215"/>
  <c r="C12" i="214"/>
  <c r="A13" i="214" s="1"/>
  <c r="A12" i="214" s="1"/>
  <c r="C12" i="213"/>
  <c r="A13" i="213" s="1"/>
  <c r="A12" i="213" s="1"/>
  <c r="C14" i="212"/>
  <c r="C14" i="221"/>
  <c r="F7" i="221" s="1"/>
  <c r="C14" i="219"/>
  <c r="F7" i="219" s="1"/>
  <c r="F2" i="216"/>
  <c r="C14" i="216"/>
  <c r="J26" i="216" s="1"/>
  <c r="C14" i="214"/>
  <c r="F7" i="214" s="1"/>
  <c r="F2" i="214"/>
  <c r="F2" i="213"/>
  <c r="F2" i="212"/>
  <c r="H19" i="221"/>
  <c r="C12" i="220"/>
  <c r="A13" i="220" s="1"/>
  <c r="A12" i="220" s="1"/>
  <c r="F7" i="220"/>
  <c r="F2" i="221"/>
  <c r="F7" i="217"/>
  <c r="F17" i="219"/>
  <c r="G17" i="219" s="1"/>
  <c r="H19" i="220"/>
  <c r="F6" i="220"/>
  <c r="F5" i="220"/>
  <c r="J26" i="220"/>
  <c r="F7" i="215"/>
  <c r="C12" i="215"/>
  <c r="A13" i="215" s="1"/>
  <c r="A12" i="215" s="1"/>
  <c r="H19" i="219"/>
  <c r="F17" i="218"/>
  <c r="G17" i="218" s="1"/>
  <c r="F7" i="218"/>
  <c r="C12" i="218"/>
  <c r="A13" i="218" s="1"/>
  <c r="A12" i="218" s="1"/>
  <c r="F2" i="219"/>
  <c r="F6" i="218"/>
  <c r="J26" i="218"/>
  <c r="F5" i="218"/>
  <c r="H19" i="218"/>
  <c r="E19" i="217"/>
  <c r="F19" i="217" s="1"/>
  <c r="G19" i="217" s="1"/>
  <c r="H19" i="217" s="1"/>
  <c r="C12" i="217"/>
  <c r="A13" i="217" s="1"/>
  <c r="A12" i="217" s="1"/>
  <c r="C12" i="212"/>
  <c r="A13" i="212" s="1"/>
  <c r="A12" i="212" s="1"/>
  <c r="F6" i="217"/>
  <c r="F5" i="217"/>
  <c r="J26" i="217"/>
  <c r="F17" i="216"/>
  <c r="G17" i="216" s="1"/>
  <c r="C12" i="216"/>
  <c r="A13" i="216" s="1"/>
  <c r="A12" i="216" s="1"/>
  <c r="F17" i="215"/>
  <c r="G17" i="215" s="1"/>
  <c r="H19" i="216"/>
  <c r="F7" i="212"/>
  <c r="F5" i="215"/>
  <c r="F6" i="215"/>
  <c r="J26" i="215"/>
  <c r="H19" i="215"/>
  <c r="E19" i="214"/>
  <c r="F19" i="214" s="1"/>
  <c r="G19" i="214" s="1"/>
  <c r="H19" i="214" s="1"/>
  <c r="F6" i="214"/>
  <c r="F5" i="214"/>
  <c r="F17" i="213"/>
  <c r="G17" i="213" s="1"/>
  <c r="H19" i="213"/>
  <c r="F17" i="212"/>
  <c r="G17" i="212" s="1"/>
  <c r="C14" i="213"/>
  <c r="H19" i="212"/>
  <c r="F6" i="212"/>
  <c r="J26" i="212"/>
  <c r="F5" i="212"/>
  <c r="E2" i="55"/>
  <c r="F5" i="221" l="1"/>
  <c r="F6" i="221"/>
  <c r="J26" i="221"/>
  <c r="F6" i="219"/>
  <c r="J26" i="219"/>
  <c r="F5" i="219"/>
  <c r="F5" i="216"/>
  <c r="F7" i="216"/>
  <c r="F6" i="216"/>
  <c r="J26" i="214"/>
  <c r="F6" i="213"/>
  <c r="F5" i="213"/>
  <c r="J26" i="213"/>
  <c r="F7" i="213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6" i="52" l="1"/>
  <c r="E21" i="221" l="1"/>
  <c r="E22" i="221" s="1"/>
  <c r="E21" i="55"/>
  <c r="E21" i="219"/>
  <c r="E22" i="219" s="1"/>
  <c r="E21" i="220"/>
  <c r="E21" i="217"/>
  <c r="G21" i="217" s="1"/>
  <c r="E21" i="218"/>
  <c r="E21" i="215"/>
  <c r="E22" i="215" s="1"/>
  <c r="E21" i="216"/>
  <c r="E21" i="213"/>
  <c r="E22" i="213" s="1"/>
  <c r="E21" i="214"/>
  <c r="E21" i="21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221" l="1"/>
  <c r="G21" i="219"/>
  <c r="E22" i="217"/>
  <c r="G21" i="213"/>
  <c r="G21" i="215"/>
  <c r="E22" i="220"/>
  <c r="G21" i="220"/>
  <c r="E22" i="218"/>
  <c r="G21" i="218"/>
  <c r="E22" i="216"/>
  <c r="G21" i="216"/>
  <c r="E22" i="214"/>
  <c r="G21" i="214"/>
  <c r="E22" i="212"/>
  <c r="G21" i="21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20" l="1"/>
  <c r="E26" i="221"/>
  <c r="E26" i="218"/>
  <c r="E26" i="219"/>
  <c r="E26" i="216"/>
  <c r="E26" i="217"/>
  <c r="E26" i="214"/>
  <c r="E26" i="215"/>
  <c r="E26" i="212"/>
  <c r="E26" i="21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E4F008D-EC9F-4585-83B0-C7C8EBD27D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268B649-FC0B-4C31-AB74-E68F7D57F6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8F437DC5-B049-4792-A033-330A1FFFA2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D48567D-D25C-4183-B18F-2422D1FDEE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7A44F32-3C6B-452C-B09A-593BA30D92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D6FD88CA-F4A8-40DF-AC60-191D5A4DB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9CE73055-D4EA-4665-819C-DD0B4E04CD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714DA13C-0EE7-4B62-A66F-21359D09CF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F8BAEE1E-79F0-4BC2-8B19-71C0C1B463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7" authorId="0" shapeId="0" xr:uid="{57019650-8A40-4AC9-9EDD-FC7338BB88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B5FE830C-9A93-4E69-922E-20EF4C996F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C1DA367-6AAA-449B-BA7B-4CD26B6CC5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5F2849AB-7ECF-45C6-9D44-30F98FCC6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8" authorId="0" shapeId="0" xr:uid="{4FFED0A2-CFC9-4CBD-A625-CD55DB208F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EBF904-06CC-4ED2-A537-150DE97F4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90B2B40F-53E6-4FA2-9329-C7A4D382B7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F2B89E7E-5737-40FD-BCEF-1C1D11D968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9" authorId="0" shapeId="0" xr:uid="{116F50B4-5663-4E5C-BCA7-F529433C50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D95BAAF4-1178-4E0C-B51B-AEAFF96A22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36F90B9-C655-430D-B5B6-A9A8854F5A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C8D25499-315F-4CB2-9302-2C833383DE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0" authorId="0" shapeId="0" xr:uid="{2B9D1803-DBD1-45B9-A1EE-A89CAC2B02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1CCFCB48-6912-4099-AA7A-313AAA423F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6C405-EC54-4E70-BE5B-AEE598781C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27151882-7077-48E7-B5E7-ABB0C4D557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1" authorId="0" shapeId="0" xr:uid="{CE1C1B91-6309-4507-B848-452F592D0F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78E56393-CED6-46B0-9CFF-6F8D20F8A1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9D00C3D7-88A5-4DF9-8434-3D6CFD1B8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4F55D4A2-A451-46DC-917B-9D5638EF10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2" authorId="0" shapeId="0" xr:uid="{74A6EE6E-3706-4CD9-8BAC-4694F2BED1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C833E849-32EB-4FB6-B90E-B0779A5FBE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55216CC6-F87D-4470-A849-2544EE6CE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F840996B-46DA-4343-8D45-0E1A76B0DC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3" authorId="0" shapeId="0" xr:uid="{6F7EAF93-13E4-4593-B999-8D1001F518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2AFDED6C-D8B2-4584-A8A2-11337EC4A4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2D1AE759-CE67-457F-A1A0-45CB44743B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8A8B135D-6147-4CD8-BC15-B9DF673F29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4" authorId="0" shapeId="0" xr:uid="{DEC6D765-BF8E-476C-8DE2-6EACBC2987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72504788-AD06-4C3A-9EB9-6D4947F325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BC128E7E-CBF5-4D0C-B5AE-27BF3BF92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C31C410D-9885-40A9-A3E3-E5417F6244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B116D40-7B74-4483-819F-A2515DE1ED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2BF3E2E-3595-4E29-B903-9658D2A139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6A408F4-7744-43C1-A101-A9D8DCFCEA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A262525-1BBF-4CE8-9EB6-18E8FAA1EE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126A59F-2D32-4520-B144-9BE94A0ED0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21E58209-C2BD-4948-9983-9C071578CB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AE1E5C-6DAC-41D5-BAE7-EE9CD7A19E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9AD52B2-B35A-4F28-9946-DB1424EFEB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691D03BC-8DB2-496F-839F-F777ED71D7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0289B43-447B-4960-BD17-4AA8C28F2A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753C4DF-8A0C-44AC-A786-0597873EB4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2BC58D-4211-41C0-BA38-0A8F0FCEE5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36FDF79-0B96-4B31-943A-E1DB32E2C6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F5B482-A2FF-4C03-B05A-C075194323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12A76F6-D67B-49DB-8727-59F2F28D64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4398693-E507-4E27-B01C-58F7C0A4A5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FE12220-2AE2-4435-9AFF-7060FB8ACB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0001721-005D-4D40-9F28-3ED4048BC6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B118D6F-52C1-4991-B921-6EB041FC86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CEE24CC-470F-4F0E-B6D8-B1CB54A5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3D4F32-587C-4830-8A5B-896A5C4D2F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5BC204F-DE0E-4F02-B783-1812BDF76E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9F74AF-6778-4E96-AD05-36B819F893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86504C2-DAB8-41F0-9DBF-359B0ABF56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011A8D1-140A-4274-8B7E-FDFC8696D67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26175-4381-4531-BCAD-DF5F928C33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1ACFA0E-EC60-4192-981B-7FA523BD7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574C70E3-733D-4BF1-8E7C-EEED9E625A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77507B6A-9809-4668-9716-6D796C3A2F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34C763B-7CB2-4FD5-BD52-3538DF13B8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EFD6AAC-BF19-4DFD-B621-E065FA5B29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8279CD7-7F9B-4735-8B70-CC86B88A43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077EFE6-6922-41D2-8A61-C944790AD4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F60C370-C17C-4E09-B53F-F32C29BDD9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75AB12C-2316-444C-A0FA-4AA26A74C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EF2DA081-53DD-4E08-9E5F-04E6E22E49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7DA152E2-28AB-4590-8E21-C27B27004F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6685C84-75C8-450F-8C29-B8A7A90358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8E4718A-65AB-467D-AD40-BF14FCD554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1526DA4-D2D2-4BAC-B9BE-F0E5C552EB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DD61BD6-D9DE-4507-A20F-5D3C205E92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570BD2D-0B20-42B0-8F9F-4B8E7C40B36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3A6BCB8-A2B7-4C2A-970D-4359F5D39D4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248119F4-A2E9-40AE-8B35-7C6A36BB01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8B414180-4260-4764-A7C4-1C9D307D9D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AD243A7-CF76-4A99-8DE7-4AD5D7B68C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5BC9FA-C5DB-4C9E-AB64-44AD7A4780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9DA90B1-DACF-459F-B1D5-0073F67FD8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E94E39-3ACC-472A-A3A5-953FD7AF4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2919C2A-5170-4569-A12B-C13B455539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7DF5B39-1E34-4B69-A2BC-85DFD71080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8D6A406-A204-462F-AB34-C5C280219B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C5B0F1B-8CEF-4167-BF70-A8E423678A0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FC1F17C-74D0-44C5-BC73-565D53EF6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743300-DDBB-4A5C-9238-AB9DC0DDB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9B0795D0-950B-464E-88E8-C782C85E07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0477ABCF-883E-4294-83C6-637451D904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A77FD6E1-4B0B-471C-A092-EF66681B9E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C39202C-FE95-420A-B4AE-0DA7D8B4D9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32D9612-8A83-4C5E-8012-BEC11150BB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692BC5D-85CB-4D88-BAEC-625510EF72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1793DD0-BAB9-466A-B436-EBD5522AC4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0FA559E-699F-4D34-8E3F-AF1757931D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68C3DBD-590E-4EAB-A1C4-5016DA0506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3BA806AB-E945-430B-A7E4-D39D61F178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E20DE5-DA2A-4C1B-9708-68DA1F0D9A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6F7C822-32AE-4DC8-AAF5-2CF84DD00F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AAD320A-47E9-4FFC-B785-27CD214D22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D92441-97D1-44A0-98DF-980216E6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903C67-8A9E-4822-8132-E0D2660CBA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58F7117-746A-49A8-BE38-BA1E73189CE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2D47C7C-456A-4CD5-A5C7-E3F227A6F0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21947EB2-1067-438B-B94A-BF43C9FB7E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3FD5AF5-BC5E-405D-A63F-6B155F1E8D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A946A3F-C4E7-43E4-B70C-9C9F93FF78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E464B1-A195-400F-AE24-939922D18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80D5494-31B7-4A63-9BFB-8EF242684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E2A416-FF76-44E9-B1FB-13EA10D397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F76C0A-068C-4BAB-928C-778C6AD69D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04B7B9E-FCEC-464D-B02E-3A40281A2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784534B-76B9-4560-8A50-7B41C53382D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E73E4F5-B5EC-44DC-B1FE-36081D34AF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03EADD5-D872-41F2-BEF1-5D5C0A12B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FC985390-906C-40E0-87AF-F3B86C418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064C7161-2A58-47AA-B289-4CC1934D33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297431B-D179-4AD2-802C-77E0A545B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E3FCA95-C4F6-4D72-A12F-3A5C9704DC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4C3D8C5-B4ED-439C-AED0-13ACA4705B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BAADF6F6-7AC4-4E64-88C3-D1841766A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914F7A3-4D8C-4F1E-8A04-FB83C51F95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03D7864-F3D6-4A1B-8A9D-0E0F9C83E1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E5FDCFF5-8058-4872-AA28-26CE6827F9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5EC6CD90-FAAE-4D60-83C0-0A663BE361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7FF1F5-9FF3-469E-AED7-8B78BCA6E2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7CF4959-2483-4D77-B87B-B31A426DED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CFBCEF9-E941-44CB-9769-9127F83D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048AD7B-3FCD-4E84-890D-33B370CB6F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D1D0AB4-723A-4C6E-A8DE-B74E9D228D7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B68FD3C-6C40-468D-BEF3-E3B22091F3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2879145B-5D10-4641-BAD0-E66D08CBF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983B7A6F-AD72-496F-8E27-BC33D4A4EF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F56DFBF-4A70-409E-98B7-497681F7D7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061710-BB51-431C-A7C1-B36AE3F6E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1F9BDF5-4447-4A24-99E7-ABEBC058CD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C80576B-91A4-4ADE-9E27-F70742149C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AD1355-C42C-4416-BD9E-95F6582767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5915A0F-2D83-4238-8E03-31F1D52C25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E3D240B-4D84-48FB-85E3-25C6EE3F59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3EA7169-AABE-46A1-A905-9D4D58703B1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DA550DB-3FDF-4727-927D-0C900F06C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95D779C-5B83-4386-9027-376053A86F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955C63B1-6886-47F5-B0B8-0BBE04580F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917206B9-F652-4F09-A387-7B9491F626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3E3033B1-DCEF-42E2-B64E-A9629E335A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91B0389-7868-4647-8334-073C402CD3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9C83C6-A1F3-40D7-B375-31F67A8FF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3818ACFB-6DC4-4799-8E2F-DC9F1A2941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F93DB36-81DE-4670-AFF1-47B00C67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862B8-EA9B-4CCF-8773-21753401DF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69A903E-AF4F-4828-87B5-64E81966E0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0FDA60C9-BCD1-43EF-892C-4331BE9AFD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1CCB4AA-139F-47F0-B3D6-DCBDE92887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E04D42F-1ADA-4577-8CB9-2CDCB61F21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CDF8FF2-9B4A-4B93-BC1F-BCD72D8C60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6A7A2C4-AD2B-4AF5-8F21-705C51F658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2DFD05-04A4-44FF-9005-2EDB36F2E8C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73EBAB5-48AC-4F58-8EEA-D3C4E676F2B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36B3B59A-F2FB-43F7-A9A8-F437B66354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5F88BEC4-5424-4708-BA17-67C9E492FE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AFEFD4D-9CFC-4EA2-B37F-6000C7813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A8756A9-3C28-49F3-8291-673B106997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081E3-2D3C-4A1C-938B-E943F15F3E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1D24485-0492-421F-A599-B12049D56B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4C4376-07FE-4B39-B612-0B30E2CBCF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E9C6374-9595-468F-8507-5694C0DCC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3CB6EC5-1E79-4A2A-9C86-3B51853F82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4621588-0723-419A-86A1-344E291596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E9237-4F0C-4308-9CD4-752D21462D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59D809-3390-4C88-B2D1-B6AD64390F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AB5CE06-AA32-4504-97F3-B35525E92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8C9E92A5-39A4-4D4D-82C3-322F405F67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ED7668B7-A5CF-4A14-A1A4-C4B505873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41DAA6B-B9F2-465F-A91E-50BAB0B57A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25C94B6-6892-4476-988F-C9F136A326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1C15CD79-793B-47A8-A31D-1E83E674F6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1DE5D22-F0C4-4724-9A23-AA14EDB805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877DC3-1972-47B8-8D65-EDDA62B47E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94469C9-8D4B-401D-A7BE-1A824D103E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03839A19-9474-4AF8-89F4-E4EA95E51B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CFBE7-F30E-4074-A9F8-4C67ACE7DA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8F56E25-D394-48D3-B654-AB1C9E05FE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EE77300-619B-4F93-8A65-DB05540E91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A19FB8-E280-41E0-853D-EEC74F28CF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C8130D9-5D7A-4D1B-A027-C63C60E021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1C57977-5302-49BC-B19F-0BAC4DCE5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84CEE40-4805-4475-AB71-2138F6E4AE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6001DF74-A070-457F-BA04-C861DA5EE3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57AD6B4-6CAC-41D6-8B79-A08BA03BEF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4D089EE-17F0-4A18-9981-2CF0F2F7AA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A03C073-9B56-42C5-BF5E-BCBFCA2DF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AEAE03-A4E5-467D-90A7-320A183F3B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5679D52-1A2F-46C0-9066-BA45AA6C22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248A586-B65C-495A-90FD-A13D2F0493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084CEAA-3C03-4A09-B942-29D39BB67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6E0DD96-0048-4D9E-8A51-907BE8E561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668BF9-15DD-40E1-83C5-AC82F8F1BF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CB69C6C-E071-4876-852E-860B86304C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A089EA1-4129-46F6-B958-E326168E46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C9E6F99-E7A7-4263-B887-C0B4831C55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8CA69477-8705-4E30-8A68-8B66542D47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A8F173E-CD27-4838-AB52-181400AA4D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27A6429-E3E5-4268-A689-7F7BDF50B7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348C639-9030-416F-A368-4977140697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568F6BB-3A2B-4DDE-AD42-38AF7F4D7E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A15D558-4459-4170-9B79-2CA99E958A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255D2A6F-C51B-47CB-A6A4-4C79BC24FC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2F87256-9C54-429A-834C-68BDCF60BC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964563C-F96C-4E75-AC3C-17D8E47188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23D92ED-8BAD-482A-BBD0-1E0023D480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74BBF8C-BE6D-4590-8197-BBBE10907B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D0C3B4D-9C17-4F4E-AED4-EAA4CA7B5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28272A7-0375-442D-9020-99F84F60070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987642C-341F-469E-B553-7995FCF687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86E27E8F-27DB-48BB-9DDF-DEE795B371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8C101BB-EE68-4B4F-9433-AC9D0351BA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2E14519-2B60-49CF-99B5-B3AE9EC2EC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4502476-B7C8-4237-8524-F99E56639F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1BBADA-AAAD-416C-A2F1-3809E7ACC8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99D86F-5CEB-423E-8886-9E0F781B77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7872281-A6DA-498B-9CED-E5426773EC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899449-21DB-41E1-A576-60309ADA0F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1B30815-5DFF-4D60-8F9A-9CEA9A3352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2A3DBE-32A5-4781-A390-57570F325B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74DA031-1BCF-4DDB-9A03-143FDB07A9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FD955AF-22D8-40D5-9DF6-4BA8C3E0A3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D710E708-8F09-4C67-8417-A6A900427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23EF442-A465-4B17-82CC-893817478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546E60B8-4B10-404C-A708-699395C8EF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763393D-F4C3-4AF9-A6CE-99EBBDA353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FC176C3-AD4E-41CC-8752-5A59977611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BCBD343-292A-4723-8BB5-8ECF4C637F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3299207-7B61-46C9-865F-19FE4DC631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A9EF485-75C9-4A7C-8394-44C49BCF28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5695E006-E1F2-405C-BAB1-32C794C54F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6E4EAD01-66EA-4B6C-88B1-F1032EB5A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8B72730-0635-4D6B-95A6-EEF7B7879D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D2E64C4-A110-4D17-A51B-5B2A0D8E24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101319C-67FB-4F71-B8D3-9FA05CB2F0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C5568B4-202A-4DAC-BB19-0A89BA0E1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E47649F-238C-435B-9D1E-7471FFD6B6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741060B-7918-4933-91E9-F1748DDD89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08EDB61C-0C60-4C0A-A792-1E9A70B88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6B851560-10DE-451D-B199-DF73588E72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099E4BC-DAFA-4810-88A5-E1708F24129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978AC84-8CC4-4939-BDE7-ECA06442A6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BE204F2-DF66-4F1C-80A1-F5531710D3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FB6B93-5B42-43DE-B3CA-788610F691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EC846F2-D596-4174-8C4B-7D0AD552DB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D270637-1624-4F4B-AD77-9DBA4F55141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C13E128-CC2D-47B2-A98C-F471568D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DAC4598-5E30-45AD-969B-E0756AFD7BE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0642DDF-E7F5-4F87-A451-1B33FC039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2816B8D-7F62-4B53-8D6F-E74D3D1E5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FEF6D6A3-F8EF-4A99-9EB0-BE3758E4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44973C63-DF52-477F-81B3-055F1A6942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F86678-1CAA-4EA4-9470-03060B97FC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CB45B13-F094-469B-8C67-4E2F3D3BE2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95F78A0-033D-46EE-B430-CB029BA9E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C497B-A705-424C-BFEC-0DFB0DC11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2E541C-D7D6-4CF8-8E0C-4618BD8FDC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056470-633A-4BCE-BC7D-388379D75E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09ECEDA-0D35-4971-B0D8-D324DB654A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9BA5B05-E20F-4B59-B04F-A66168C4A8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ADC09FB-3ED8-46BF-920D-928787F80D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546958-4CEA-4FBB-BB05-9B5F8B9912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B8A0EA-7032-493A-875E-0D2AE3408E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65206D4-EABB-4DA1-9338-0740F110FC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A24E16D-CC41-4D94-8946-7EC7F50FBA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5A978F0-9B03-41E2-AEA4-60AAE652B7D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07BDDE14-6987-4B56-976D-5C37FD55CF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F04A708-5499-46C0-A17D-0815847CFB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A513395-77C4-463C-BED4-04DE440994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17ACAD7-A9ED-4972-A2D1-2791DB4C83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BF4682F-1495-4404-A1C0-A8EAAE37F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3FEC3A6-E102-4FD6-A43C-7E7B0CF8E5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358E69-3FAD-4812-9CCA-80F26965E8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5B8D59B-4C2A-4475-85A8-EEED6A9F48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B619AE-D4F7-4023-882D-911DB2701D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FFB6537-F892-49C2-893B-4AE28F75BA2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28CEEC7-882E-4BD4-818C-89C271D3F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D851061-E56D-4AB8-BA78-6B6F8B440F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89602B06-ECA6-4BD7-AB97-0F0786B604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C42A03B-3D23-4789-B85E-448959462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18BBF25F-61BB-4F7A-A37D-A10303807E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E34835D-4CE6-4548-BBC9-74EAAB6DB8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DD03C75-80D0-47CF-8A4B-666D414FA6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43BE9C6-F45B-4824-AFBC-8EEB491F7C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9CB285B-A115-4133-9C5D-D18E0E2397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5510E59-9848-44C6-AC35-CFD58B1EA9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203190CF-72D4-4F06-B35D-F3FF787279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DA43F6B9-309F-42E6-9142-EFA45E47DF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071F4B-70AC-4077-AB0A-E20B6910B1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D71D-79B2-4546-AEF0-F7227125B8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88AF98-1605-4AA7-AF8B-45EF629B7C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E27411-C1B8-4EFB-A5B5-146CD886DD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A8A0771-31D0-4F39-9F39-9295FA87D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266B6-5648-4D66-8E2F-2637A1548E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D5751ED9-7523-4EC1-9A5C-160AA176DD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12608413-7A2D-4325-AD2D-CE55C8097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703FA40-48AE-43AB-924A-7BDCF16FAD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A56B078-FD51-408C-8A6A-EC3F3BDF3D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B30E23-0EE7-4D4C-9E25-D6EE3A3E41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F053EA5-CE39-4DFA-AC3E-26EBEF821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C6C0FA2-0473-4AF9-B80B-DF3A422C20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2AD7842-D894-40FB-89BC-109A95549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7F5A29E-9D25-42FA-8085-273A01D7E8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DD5F90D-874E-4788-A976-F0B9CC539F0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6B522C8-55A3-4D1D-9F11-2124974F9F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E117307-F89C-44B5-8745-C9A9F0751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<sst xmlns="http://schemas.openxmlformats.org/spreadsheetml/2006/main" count="2274" uniqueCount="929">
  <si>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</si>
  <si>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</si>
  <si>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</si>
  <si>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</si>
  <si>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</si>
  <si>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</si>
  <si>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</si>
  <si>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</si>
  <si>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</si>
  <si>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</si>
  <si>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</si>
  <si>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</si>
  <si>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</si>
  <si>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</si>
  <si>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</si>
  <si>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</si>
  <si>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</si>
  <si>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</si>
  <si>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</si>
  <si>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</si>
  <si>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</si>
  <si>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</si>
  <si>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</si>
  <si>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</si>
  <si>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</si>
  <si>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</si>
  <si>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</si>
  <si>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</si>
  <si>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</si>
  <si>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</si>
  <si>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</si>
  <si>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</si>
  <si>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</si>
  <si>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</si>
  <si>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</si>
  <si>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</si>
  <si>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</si>
  <si>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</si>
  <si>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</si>
  <si>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</si>
  <si>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</si>
  <si>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</si>
  <si>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</si>
  <si>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</si>
  <si>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</si>
  <si>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</si>
  <si>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</si>
  <si>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</si>
  <si>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</si>
  <si>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</si>
  <si>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</si>
  <si>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</si>
  <si>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</si>
  <si>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</si>
  <si>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</si>
  <si>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</si>
  <si>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</si>
  <si>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</si>
  <si>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</si>
  <si>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</si>
  <si>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</si>
  <si>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</si>
  <si>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</si>
  <si>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</si>
  <si>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</si>
  <si>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</si>
  <si>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</si>
  <si>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</si>
  <si>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</si>
  <si>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</si>
  <si>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</si>
  <si>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</si>
  <si>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</si>
  <si>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</si>
  <si>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</si>
  <si>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</si>
  <si>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</si>
  <si>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</si>
  <si>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</si>
  <si>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</si>
  <si>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</si>
  <si>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</si>
  <si>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</si>
  <si>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</si>
  <si>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</si>
  <si>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</si>
  <si>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</si>
  <si>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</si>
  <si>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</si>
  <si>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</si>
  <si>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</si>
  <si>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</si>
  <si>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</si>
  <si>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</si>
  <si>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</si>
  <si>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</si>
  <si>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</si>
  <si>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</si>
  <si>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</si>
  <si>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</si>
  <si>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</si>
  <si>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</si>
  <si>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</si>
  <si>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</si>
  <si>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</si>
  <si>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</si>
  <si>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</si>
  <si>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</si>
  <si>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</si>
  <si>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</si>
  <si>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</si>
  <si>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</si>
  <si>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</si>
  <si>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</si>
  <si>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</si>
  <si>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</si>
  <si>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</si>
  <si>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</si>
  <si>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</si>
  <si>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</si>
  <si>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</si>
  <si>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</si>
  <si>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</si>
  <si>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</si>
  <si>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</si>
  <si>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</si>
  <si>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</si>
  <si>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</si>
  <si>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</si>
  <si>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</si>
  <si>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</si>
  <si>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</si>
  <si>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</si>
  <si>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</si>
  <si>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</si>
  <si>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</si>
  <si>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</si>
  <si>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</si>
  <si>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</si>
  <si>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</si>
  <si>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</si>
  <si>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</si>
  <si>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</si>
  <si>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</si>
  <si>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</si>
  <si>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</si>
  <si>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</si>
  <si>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</si>
  <si>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</si>
  <si>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</si>
  <si>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</si>
  <si>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</si>
  <si>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</si>
  <si>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</si>
  <si>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</si>
  <si>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</si>
  <si>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</si>
  <si>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</si>
  <si>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</si>
  <si>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</si>
  <si>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</si>
  <si>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</si>
  <si>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</si>
  <si>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</si>
  <si>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</si>
  <si>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</si>
  <si>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</si>
  <si>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</si>
  <si>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</si>
  <si>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</si>
  <si>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</si>
  <si>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</si>
  <si>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</si>
  <si>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</si>
  <si>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</si>
  <si>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</si>
  <si>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</si>
  <si>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</si>
  <si>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</si>
  <si>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</si>
  <si>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</si>
  <si>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</si>
  <si>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</si>
  <si>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</si>
  <si>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</si>
  <si>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</si>
  <si>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</si>
  <si>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</si>
  <si>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</si>
  <si>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</si>
  <si>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</si>
  <si>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</si>
  <si>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</si>
  <si>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</si>
  <si>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</si>
  <si>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</si>
  <si>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</si>
  <si>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</si>
  <si>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</si>
  <si>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</si>
  <si>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</si>
  <si>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</si>
  <si>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</si>
  <si>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</si>
  <si>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</si>
  <si>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</si>
  <si>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</si>
  <si>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</si>
  <si>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</si>
  <si>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</si>
  <si>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</si>
  <si>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</si>
  <si>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</si>
  <si>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</si>
  <si>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</si>
  <si>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</si>
  <si>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</si>
  <si>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</si>
  <si>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</si>
  <si>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</si>
  <si>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</si>
  <si>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</si>
  <si>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</si>
  <si>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</si>
  <si>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</si>
  <si>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</si>
  <si>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</si>
  <si>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</si>
  <si>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</si>
  <si>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</si>
  <si>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</si>
  <si>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</si>
  <si>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</si>
  <si>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</si>
  <si>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</si>
  <si>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</si>
  <si>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</si>
  <si>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</si>
  <si>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</si>
  <si>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</si>
  <si>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</si>
  <si>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</si>
  <si>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</si>
  <si>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</si>
  <si>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</si>
  <si>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</si>
  <si>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</si>
  <si>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</si>
  <si>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</si>
  <si>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</si>
  <si>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</si>
  <si>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</si>
  <si>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</si>
  <si>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</si>
  <si>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</si>
  <si>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</si>
  <si>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</si>
  <si>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</si>
  <si>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</si>
  <si>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</si>
  <si>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</si>
  <si>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</si>
  <si>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</si>
  <si>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</si>
  <si>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</si>
  <si>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</si>
  <si>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</si>
  <si>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</si>
  <si>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</si>
  <si>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</si>
  <si>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</si>
  <si>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</si>
  <si>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</si>
  <si>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</si>
  <si>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</si>
  <si>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</si>
  <si>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</si>
  <si>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</si>
  <si>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</si>
  <si>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</si>
  <si>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</si>
  <si>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</si>
  <si>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</si>
  <si>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</si>
  <si>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</si>
  <si>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</si>
  <si>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</si>
  <si>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</si>
  <si>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</si>
  <si>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</si>
  <si>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</si>
  <si>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</si>
  <si>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</si>
  <si>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</si>
  <si>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</si>
  <si>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</si>
  <si>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</si>
  <si>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</si>
  <si>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</si>
  <si>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</si>
  <si>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</si>
  <si>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</si>
  <si>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</si>
  <si>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</si>
  <si>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</si>
  <si>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</si>
  <si>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</si>
  <si>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</si>
  <si>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</si>
  <si>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</si>
  <si>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</si>
  <si>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</si>
  <si>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</si>
  <si>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</si>
  <si>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</si>
  <si>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</si>
  <si>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</si>
  <si>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</si>
  <si>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</si>
  <si>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</si>
  <si>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</si>
  <si>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</si>
  <si>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</si>
  <si>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</si>
  <si>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</si>
  <si>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</si>
  <si>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</si>
  <si>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</si>
  <si>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</si>
  <si>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</si>
  <si>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</si>
  <si>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</si>
  <si>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</si>
  <si>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</si>
  <si>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</si>
  <si>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</si>
  <si>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</si>
  <si>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</si>
  <si>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</si>
  <si>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</si>
  <si>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</si>
  <si>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</si>
  <si>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</si>
  <si>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</si>
  <si>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</si>
  <si>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</si>
  <si>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</si>
  <si>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</si>
  <si>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</si>
  <si>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</si>
  <si>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</si>
  <si>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</si>
  <si>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</si>
  <si>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</si>
  <si>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</si>
  <si>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</si>
  <si>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</si>
  <si>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</si>
  <si>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</si>
  <si>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</si>
  <si>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</si>
  <si>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</si>
  <si>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</si>
  <si>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</si>
  <si>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</si>
  <si>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</si>
  <si>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</si>
  <si>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</si>
  <si>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</si>
  <si>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</si>
  <si>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</si>
  <si>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</si>
  <si>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</si>
  <si>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</si>
  <si>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</si>
  <si>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</si>
  <si>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</si>
  <si>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</si>
  <si>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</si>
  <si>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</si>
  <si>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</si>
  <si>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</si>
  <si>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</si>
  <si>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</si>
  <si>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</si>
  <si>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</si>
  <si>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</si>
  <si>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</si>
  <si>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</si>
  <si>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</si>
  <si>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</si>
  <si>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</si>
  <si>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</si>
  <si>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</si>
  <si>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</si>
  <si>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</si>
  <si>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</si>
  <si>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</si>
  <si>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</si>
  <si>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</si>
  <si>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</si>
  <si>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</si>
  <si>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</si>
  <si>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</si>
  <si>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</si>
  <si>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</si>
  <si>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</si>
  <si>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</si>
  <si>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</si>
  <si>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</si>
  <si>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</si>
  <si>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</si>
  <si>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</si>
  <si>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</si>
  <si>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</si>
  <si>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</si>
  <si>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</si>
  <si>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</si>
  <si>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</si>
  <si>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</si>
  <si>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</si>
  <si>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</si>
  <si>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</si>
  <si>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</si>
  <si>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</si>
  <si>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</si>
  <si>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</si>
  <si>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</si>
  <si>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</si>
  <si>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</si>
  <si>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</si>
  <si>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</si>
  <si>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</si>
  <si>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</si>
  <si>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</si>
  <si>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</si>
  <si>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</si>
  <si>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</si>
  <si>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</si>
  <si>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</si>
  <si>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</si>
  <si>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</si>
  <si>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</si>
  <si>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</si>
  <si>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</si>
  <si>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</si>
  <si>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</si>
  <si>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</si>
  <si>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</si>
  <si>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</si>
  <si>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</si>
  <si>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</si>
  <si>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</si>
  <si>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</si>
  <si>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</si>
  <si>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</si>
  <si>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</si>
  <si>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</si>
  <si>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</si>
  <si>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</si>
  <si>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</si>
  <si>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</si>
  <si>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</si>
  <si>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</si>
  <si>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</si>
  <si>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</si>
  <si>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</si>
  <si>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</si>
  <si>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</si>
  <si>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</si>
  <si>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</si>
  <si>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</si>
  <si>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</si>
  <si>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</si>
  <si>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</si>
  <si>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</si>
  <si>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</si>
  <si>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</si>
  <si>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</si>
  <si>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</si>
  <si>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</si>
  <si>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</si>
  <si>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</si>
  <si>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</si>
  <si>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</si>
  <si>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</si>
  <si>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</si>
  <si>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</si>
  <si>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</si>
  <si>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</si>
  <si>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</si>
  <si>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</si>
  <si>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</si>
  <si>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</si>
  <si>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</si>
  <si>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</si>
  <si>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</si>
  <si>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</si>
  <si>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</si>
  <si>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</si>
  <si>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</si>
  <si>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</si>
  <si>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</si>
  <si>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</si>
  <si>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</si>
  <si>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</si>
  <si>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</si>
  <si>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</si>
  <si>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</si>
  <si>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</si>
  <si>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</si>
  <si>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</si>
  <si>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</si>
  <si>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</si>
  <si>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</si>
  <si>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</si>
  <si>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</si>
  <si>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</si>
  <si>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</si>
  <si>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</si>
  <si>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</si>
  <si>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</si>
  <si>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</si>
  <si>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</si>
  <si>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</si>
  <si>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</si>
  <si>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</si>
  <si>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</si>
  <si>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</si>
  <si>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</si>
  <si>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</si>
  <si>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</si>
  <si>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</si>
  <si>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</si>
  <si>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</si>
  <si>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</si>
  <si>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</si>
  <si>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</si>
  <si>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</si>
  <si>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</si>
  <si>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</si>
  <si>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</si>
  <si>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</si>
  <si>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</si>
  <si>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</si>
  <si>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</si>
  <si>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</si>
  <si>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</si>
  <si>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</si>
  <si>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</si>
  <si>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</si>
  <si>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</si>
  <si>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</si>
  <si>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</si>
  <si>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</si>
  <si>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</si>
  <si>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</si>
  <si>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</si>
  <si>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</si>
  <si>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</si>
  <si>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</si>
  <si>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</si>
  <si>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</si>
  <si>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</si>
  <si>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</si>
  <si>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</si>
  <si>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</si>
  <si>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</si>
  <si>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</si>
  <si>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</si>
  <si>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</si>
  <si>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</si>
  <si>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</si>
  <si>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</si>
  <si>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</si>
  <si>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</si>
  <si>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</si>
  <si>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</si>
  <si>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</si>
  <si>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</si>
  <si>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</si>
  <si>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</si>
  <si>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</si>
  <si>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</si>
  <si>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</si>
  <si>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</si>
  <si>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</si>
  <si>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</si>
  <si>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</si>
  <si>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</si>
  <si>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</si>
  <si>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</si>
  <si>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</si>
  <si>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</si>
  <si>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</si>
  <si>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</si>
  <si>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</si>
  <si>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</si>
  <si>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</si>
  <si>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</si>
  <si>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</si>
  <si>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</si>
  <si>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</si>
  <si>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</si>
  <si>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</si>
  <si>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</si>
  <si>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</si>
  <si>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</si>
  <si>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</si>
  <si>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</si>
  <si>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</si>
  <si>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</si>
  <si>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</si>
  <si>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</si>
  <si>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</si>
  <si>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</si>
  <si>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</si>
  <si>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</si>
  <si>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</si>
  <si>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</si>
  <si>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</si>
  <si>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</si>
  <si>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</si>
  <si>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</si>
  <si>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</si>
  <si>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</si>
  <si>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</si>
  <si>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</si>
  <si>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</si>
  <si>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</si>
  <si>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</si>
  <si>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</si>
  <si>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</si>
  <si>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</si>
  <si>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</si>
  <si>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</si>
  <si>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</si>
  <si>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</si>
  <si>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</si>
  <si>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</si>
  <si>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</si>
  <si>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</si>
  <si>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</si>
  <si>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</si>
  <si>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</si>
  <si>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</si>
  <si>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</si>
  <si>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</si>
  <si>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</si>
  <si>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</si>
  <si>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</si>
  <si>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</si>
  <si>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</si>
  <si>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</si>
  <si>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</si>
  <si>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</si>
  <si>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</si>
  <si>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</si>
  <si>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</si>
  <si>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</si>
  <si>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</si>
  <si>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</si>
  <si>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</si>
  <si>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</si>
  <si>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</si>
  <si>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</si>
  <si>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</si>
  <si>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</si>
  <si>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</si>
  <si>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</si>
  <si>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</si>
  <si>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</si>
  <si>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</si>
  <si>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</si>
  <si>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</si>
  <si>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</si>
  <si>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</si>
  <si>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</si>
  <si>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</si>
  <si>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</si>
  <si>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</si>
  <si>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</si>
  <si>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</si>
  <si>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</si>
  <si>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</si>
  <si>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</si>
  <si>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</si>
  <si>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</si>
  <si>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</si>
  <si>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</si>
  <si>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</si>
  <si>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</si>
  <si>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</si>
  <si>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</si>
  <si>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</si>
  <si>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</si>
  <si>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</si>
  <si>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</si>
  <si>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</si>
  <si>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</si>
  <si>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</si>
  <si>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</si>
  <si>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</si>
  <si>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</si>
  <si>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</si>
  <si>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</si>
  <si>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</si>
  <si>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</si>
  <si>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</si>
  <si>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</si>
  <si>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</si>
  <si>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</si>
  <si>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</si>
  <si>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</si>
  <si>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</si>
  <si>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</si>
  <si>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</si>
  <si>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</si>
  <si>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</si>
  <si>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</si>
  <si>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</si>
  <si>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</si>
  <si>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</si>
  <si>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</si>
  <si>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</si>
  <si>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</si>
  <si>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</si>
  <si>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</si>
  <si>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</si>
  <si>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</si>
  <si>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</si>
  <si>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</si>
  <si>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</si>
  <si>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</si>
  <si>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</si>
  <si>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</si>
  <si>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</si>
  <si>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</si>
  <si>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</si>
  <si>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</si>
  <si>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</si>
  <si>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</si>
  <si>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</si>
  <si>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</si>
  <si>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</si>
  <si>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</si>
  <si>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</si>
  <si>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</si>
  <si>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</si>
  <si>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</si>
  <si>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</si>
  <si>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</si>
  <si>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</si>
  <si>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</si>
  <si>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</si>
  <si>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</si>
  <si>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</si>
  <si>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</si>
  <si>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</si>
  <si>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</si>
  <si>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</si>
  <si>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</si>
  <si>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</si>
  <si>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</si>
  <si>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</si>
  <si>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</si>
  <si>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</si>
  <si>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</si>
  <si>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</si>
  <si>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</si>
  <si>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</si>
  <si>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</si>
  <si>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</si>
  <si>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</si>
  <si>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</si>
  <si>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</si>
  <si>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</si>
  <si>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</si>
  <si>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</si>
  <si>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</si>
  <si>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</si>
  <si>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</si>
  <si>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</si>
  <si>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</si>
  <si>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</si>
  <si>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</si>
  <si>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</si>
  <si>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</si>
  <si>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</si>
  <si>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</si>
  <si>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</si>
  <si>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</si>
  <si>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</si>
  <si>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</si>
  <si>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</si>
  <si>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</si>
  <si>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</si>
  <si>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</si>
  <si>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</si>
  <si>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</si>
  <si>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</si>
  <si>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</si>
  <si>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</si>
  <si>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</si>
  <si>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</si>
  <si>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</si>
  <si>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</si>
  <si>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</si>
  <si>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</si>
  <si>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</si>
  <si>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</si>
  <si>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</si>
  <si>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</si>
  <si>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</si>
  <si>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</si>
  <si>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</si>
  <si>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</si>
  <si>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</si>
  <si>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</si>
  <si>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</si>
  <si>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</si>
  <si>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</si>
  <si>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</si>
  <si>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</si>
  <si>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</si>
  <si>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</si>
  <si>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</si>
  <si>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</si>
  <si>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광주기상청</t>
    <phoneticPr fontId="7" type="noConversion"/>
  </si>
  <si>
    <t>영산강/영산강상류</t>
    <phoneticPr fontId="7" type="noConversion"/>
  </si>
  <si>
    <t>W1</t>
    <phoneticPr fontId="7" type="noConversion"/>
  </si>
  <si>
    <t>영산강/영산강상류</t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</si>
  <si>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</si>
  <si>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</si>
  <si>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</si>
  <si>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</si>
  <si>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</si>
  <si>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</si>
  <si>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W-4</t>
  </si>
  <si>
    <t>W-4</t>
    <phoneticPr fontId="7" type="noConversion"/>
  </si>
  <si>
    <t>A4_ge_OriginalSaveFile.xlsm</t>
    <phoneticPr fontId="7" type="noConversion"/>
  </si>
  <si>
    <t>W-5</t>
  </si>
  <si>
    <t>W-5</t>
    <phoneticPr fontId="7" type="noConversion"/>
  </si>
  <si>
    <t>A5_ge_OriginalSaveFile.xlsm</t>
    <phoneticPr fontId="7" type="noConversion"/>
  </si>
  <si>
    <t>W-6</t>
  </si>
  <si>
    <t>W-6</t>
    <phoneticPr fontId="7" type="noConversion"/>
  </si>
  <si>
    <t>A6_ge_OriginalSaveFile.xlsm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</si>
  <si>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</si>
  <si>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</si>
  <si>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</si>
  <si>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</si>
  <si>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</si>
  <si>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</si>
  <si>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주식회사 한일지하수</t>
    <phoneticPr fontId="7" type="noConversion"/>
  </si>
  <si>
    <t xml:space="preserve"> d</t>
    <phoneticPr fontId="7" type="noConversion"/>
  </si>
  <si>
    <t>W-7</t>
  </si>
  <si>
    <t>W-7</t>
    <phoneticPr fontId="7" type="noConversion"/>
  </si>
  <si>
    <t>A7_ge_OriginalSaveFile.xlsm</t>
    <phoneticPr fontId="7" type="noConversion"/>
  </si>
  <si>
    <t>W-8</t>
  </si>
  <si>
    <t>W-8</t>
    <phoneticPr fontId="7" type="noConversion"/>
  </si>
  <si>
    <t>A8_ge_OriginalSaveFile.xlsm</t>
    <phoneticPr fontId="7" type="noConversion"/>
  </si>
  <si>
    <t>W-9</t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</si>
  <si>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</si>
  <si>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</si>
  <si>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</si>
  <si>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</si>
  <si>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</si>
  <si>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</si>
  <si>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</si>
  <si>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</si>
  <si>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</si>
  <si>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</si>
  <si>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</si>
  <si>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</si>
  <si>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</si>
  <si>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W-7</t>
    <phoneticPr fontId="14" type="noConversion"/>
  </si>
  <si>
    <t>W-8</t>
    <phoneticPr fontId="14" type="noConversion"/>
  </si>
  <si>
    <t>W-9</t>
    <phoneticPr fontId="14" type="noConversion"/>
  </si>
  <si>
    <t>W-10</t>
    <phoneticPr fontId="14" type="noConversion"/>
  </si>
  <si>
    <t>W-11</t>
    <phoneticPr fontId="14" type="noConversion"/>
  </si>
  <si>
    <t>광주광역시 북구 매곡동 430번지</t>
  </si>
  <si>
    <t>국립광주박물관 도자문화관 건립 지열공사</t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</si>
  <si>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</si>
  <si>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</si>
  <si>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</si>
  <si>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</si>
  <si>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</si>
  <si>
    <t>16.77
18.85
21.19
23.80
27.78</t>
  </si>
  <si>
    <t>6.24
8.32
10.66
13.27
17.25</t>
  </si>
  <si>
    <t>12.019
11.418
10.924
10.324
9.133</t>
  </si>
  <si>
    <t>0.083200
0.087579
0.091541
0.096861
0.109489</t>
  </si>
  <si>
    <t>18.02
20.49
23.27
26.37
31.09</t>
  </si>
  <si>
    <t>7.40
9.87
12.65
15.75
20.47</t>
  </si>
  <si>
    <t>10.135
9.625
9.206
8.698
7.697</t>
  </si>
  <si>
    <t>0.098667
0.103895
0.108630
0.114964
0.129927</t>
  </si>
  <si>
    <t>17.61
20.04
22.77
25.82
30.46</t>
  </si>
  <si>
    <t>7.28
9.71
12.44
15.49
20.13</t>
  </si>
  <si>
    <t>10.302
9.784
9.361
8.844
7.827</t>
  </si>
  <si>
    <t>0.097067
0.102211
0.106827
0.113066
0.127769</t>
  </si>
  <si>
    <t>18.50
20.92
23.64
26.68
31.31</t>
  </si>
  <si>
    <t>7.26
9.68
12.40
15.44
20.07</t>
  </si>
  <si>
    <t>10.331
9.814
9.391
8.873
7.850</t>
  </si>
  <si>
    <t>0.096800
0.101895
0.106483
0.112701
0.127388</t>
  </si>
  <si>
    <t>18.13
20.52
23.22
26.22
30.80</t>
  </si>
  <si>
    <t>7.18
9.57
12.27
15.27
19.85</t>
  </si>
  <si>
    <t>10.446
9.927
9.491
8.972
7.937</t>
  </si>
  <si>
    <t>0.095733
0.100737
0.105367
0.111460
0.125992</t>
  </si>
  <si>
    <t>18.90
21.41
24.23
27.37
32.16</t>
  </si>
  <si>
    <t>7.51
10.02
12.84
15.98
20.77</t>
  </si>
  <si>
    <t>9.987
9.481
9.069
8.573
7.585</t>
  </si>
  <si>
    <t>0.100133
0.105474
0.110262
0.116642
0.131831</t>
  </si>
  <si>
    <t>18.60
20.97
23.63
26.59
31.11</t>
  </si>
  <si>
    <t>7.08
9.45
12.11
15.07
19.59</t>
  </si>
  <si>
    <t>10.593
10.053
9.616
9.091
8.042</t>
  </si>
  <si>
    <t>0.094400
0.099474
0.103993
0.110000
0.124341</t>
  </si>
  <si>
    <t>18.51
21.14
24.09
27.39
32.41</t>
  </si>
  <si>
    <t>7.88
10.51
13.46
16.76
21.78</t>
  </si>
  <si>
    <t>9.518
9.039
8.652
8.174
7.234</t>
  </si>
  <si>
    <t>0.105067
0.110632
0.115586
0.122336
0.138242</t>
  </si>
  <si>
    <t>18.36
20.90
23.75
26.93
31.78</t>
  </si>
  <si>
    <t>7.60
10.14
12.99
16.17
21.02</t>
  </si>
  <si>
    <t>9.868
9.369
8.965
8.472
7.495</t>
  </si>
  <si>
    <t>0.101333
0.106737
0.111550
0.118029
0.133418</t>
  </si>
  <si>
    <t>18.38
20.99
23.93
27.21
32.20</t>
  </si>
  <si>
    <t>7.83
10.44
13.38
16.66
21.65</t>
  </si>
  <si>
    <t>9.579
9.100
8.703
8.223
7.277</t>
  </si>
  <si>
    <t>0.104400
0.109895
0.114899
0.121606
0.137417</t>
  </si>
  <si>
    <t>국립광주박물관 도자문화관 건립 지열공사</t>
    <phoneticPr fontId="7" type="noConversion"/>
  </si>
  <si>
    <t>광주광역시 북구 매곡동 430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</si>
</sst>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0" borderId="0" xfId="0" applyFont="1" applyFill="1" applyAlignment="1">
      <alignment vertical="center"/>
    </xf>
    <xf numFmtId="0" fontId="24" fillId="30" borderId="0" xfId="0" applyFont="1" applyFill="1" applyAlignment="1">
      <alignment horizontal="center" vertical="center"/>
    </xf>
    <xf numFmtId="0" fontId="25" fillId="30" borderId="0" xfId="0" applyFont="1" applyFill="1" applyAlignment="1">
      <alignment horizontal="left" vertical="center"/>
    </xf>
    <xf numFmtId="0" fontId="3" fillId="30" borderId="0" xfId="21" applyFill="1" applyAlignment="1">
      <alignment horizontal="center" vertical="center"/>
    </xf>
    <xf numFmtId="41" fontId="24" fillId="30" borderId="0" xfId="20" applyFont="1" applyFill="1" applyAlignment="1">
      <alignment horizontal="center" vertical="center"/>
    </xf>
    <xf numFmtId="10" fontId="41" fillId="31" borderId="9" xfId="16" applyNumberFormat="1" applyFont="1" applyFill="1" applyBorder="1" applyAlignment="1">
      <alignment horizontal="center" vertical="center"/>
    </xf>
    <xf numFmtId="10" fontId="41" fillId="31" borderId="10" xfId="16" applyNumberFormat="1" applyFont="1" applyFill="1" applyBorder="1" applyAlignment="1">
      <alignment horizontal="center" vertical="center"/>
    </xf>
    <xf numFmtId="10" fontId="41" fillId="31" borderId="22" xfId="16" applyNumberFormat="1" applyFont="1" applyFill="1" applyBorder="1" applyAlignment="1">
      <alignment horizontal="center" vertical="center"/>
    </xf>
    <xf numFmtId="10" fontId="41" fillId="31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3" borderId="82" xfId="0" applyNumberFormat="1" applyFont="1" applyFill="1" applyBorder="1" applyAlignment="1">
      <alignment horizontal="center" vertical="center"/>
    </xf>
    <xf numFmtId="203" fontId="27" fillId="23" borderId="83" xfId="0" applyNumberFormat="1" applyFont="1" applyFill="1" applyBorder="1" applyAlignment="1">
      <alignment horizontal="center" vertical="center"/>
    </xf>
    <xf numFmtId="203" fontId="27" fillId="23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40" fillId="31" borderId="8" xfId="16" applyFont="1" applyFill="1" applyBorder="1" applyAlignment="1">
      <alignment horizontal="center" vertical="center"/>
    </xf>
    <xf numFmtId="0" fontId="40" fillId="31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1" borderId="21" xfId="16" applyFont="1" applyFill="1" applyBorder="1" applyAlignment="1">
      <alignment horizontal="center" vertical="center"/>
    </xf>
    <xf numFmtId="0" fontId="40" fillId="31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91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91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92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1049.5999999999999</c:v>
                </c:pt>
                <c:pt idx="1">
                  <c:v>1482.3</c:v>
                </c:pt>
                <c:pt idx="2">
                  <c:v>936.6</c:v>
                </c:pt>
                <c:pt idx="3">
                  <c:v>1427.9</c:v>
                </c:pt>
                <c:pt idx="4">
                  <c:v>1085.9000000000001</c:v>
                </c:pt>
                <c:pt idx="5">
                  <c:v>2027</c:v>
                </c:pt>
                <c:pt idx="6">
                  <c:v>1303.8</c:v>
                </c:pt>
                <c:pt idx="7">
                  <c:v>769.9</c:v>
                </c:pt>
                <c:pt idx="8">
                  <c:v>2116.1</c:v>
                </c:pt>
                <c:pt idx="9">
                  <c:v>1291</c:v>
                </c:pt>
                <c:pt idx="10">
                  <c:v>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764.4</c:v>
                </c:pt>
                <c:pt idx="1">
                  <c:v>1268.8</c:v>
                </c:pt>
                <c:pt idx="2">
                  <c:v>1479.2</c:v>
                </c:pt>
                <c:pt idx="3">
                  <c:v>1943</c:v>
                </c:pt>
                <c:pt idx="4">
                  <c:v>1429.7</c:v>
                </c:pt>
                <c:pt idx="5">
                  <c:v>1511</c:v>
                </c:pt>
                <c:pt idx="6">
                  <c:v>1129.9000000000001</c:v>
                </c:pt>
                <c:pt idx="7">
                  <c:v>1458.7</c:v>
                </c:pt>
                <c:pt idx="8">
                  <c:v>1994.1</c:v>
                </c:pt>
                <c:pt idx="9">
                  <c:v>1742.3</c:v>
                </c:pt>
                <c:pt idx="10">
                  <c:v>1289.5999999999999</c:v>
                </c:pt>
                <c:pt idx="11">
                  <c:v>1520.2</c:v>
                </c:pt>
                <c:pt idx="12">
                  <c:v>1620.6</c:v>
                </c:pt>
                <c:pt idx="13">
                  <c:v>1007.2</c:v>
                </c:pt>
                <c:pt idx="14">
                  <c:v>1488.2</c:v>
                </c:pt>
                <c:pt idx="15">
                  <c:v>1573.1</c:v>
                </c:pt>
                <c:pt idx="16">
                  <c:v>1300.3</c:v>
                </c:pt>
                <c:pt idx="17">
                  <c:v>1626.8</c:v>
                </c:pt>
                <c:pt idx="18">
                  <c:v>1245.4000000000001</c:v>
                </c:pt>
                <c:pt idx="19">
                  <c:v>1290.3</c:v>
                </c:pt>
                <c:pt idx="20">
                  <c:v>1049.5999999999999</c:v>
                </c:pt>
                <c:pt idx="21">
                  <c:v>1482.3</c:v>
                </c:pt>
                <c:pt idx="22">
                  <c:v>936.6</c:v>
                </c:pt>
                <c:pt idx="23">
                  <c:v>1427.9</c:v>
                </c:pt>
                <c:pt idx="24">
                  <c:v>1085.9000000000001</c:v>
                </c:pt>
                <c:pt idx="25">
                  <c:v>2027</c:v>
                </c:pt>
                <c:pt idx="26">
                  <c:v>1303.8</c:v>
                </c:pt>
                <c:pt idx="27">
                  <c:v>769.9</c:v>
                </c:pt>
                <c:pt idx="28">
                  <c:v>2116.1</c:v>
                </c:pt>
                <c:pt idx="29">
                  <c:v>1291</c:v>
                </c:pt>
                <c:pt idx="30">
                  <c:v>1405.8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33</c:v>
                </c:pt>
                <c:pt idx="1">
                  <c:v>37.799999999999997</c:v>
                </c:pt>
                <c:pt idx="2">
                  <c:v>66</c:v>
                </c:pt>
                <c:pt idx="3">
                  <c:v>88.8</c:v>
                </c:pt>
                <c:pt idx="4">
                  <c:v>87.6</c:v>
                </c:pt>
                <c:pt idx="5">
                  <c:v>167.5</c:v>
                </c:pt>
                <c:pt idx="6">
                  <c:v>286.89999999999998</c:v>
                </c:pt>
                <c:pt idx="7">
                  <c:v>262.89999999999998</c:v>
                </c:pt>
                <c:pt idx="8">
                  <c:v>145.5</c:v>
                </c:pt>
                <c:pt idx="9">
                  <c:v>86.4</c:v>
                </c:pt>
                <c:pt idx="10">
                  <c:v>52.5</c:v>
                </c:pt>
                <c:pt idx="11">
                  <c:v>34.299999999999997</c:v>
                </c:pt>
                <c:pt idx="1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" Type="http://schemas.openxmlformats.org/officeDocument/2006/relationships/image" Target="../media/image29.png"/><Relationship Id="rId21" Type="http://schemas.openxmlformats.org/officeDocument/2006/relationships/image" Target="../media/image47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0" Type="http://schemas.openxmlformats.org/officeDocument/2006/relationships/image" Target="../media/image46.png"/><Relationship Id="rId29" Type="http://schemas.openxmlformats.org/officeDocument/2006/relationships/image" Target="../media/image55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10" Type="http://schemas.openxmlformats.org/officeDocument/2006/relationships/image" Target="../media/image36.png"/><Relationship Id="rId19" Type="http://schemas.openxmlformats.org/officeDocument/2006/relationships/image" Target="../media/image45.png"/><Relationship Id="rId31" Type="http://schemas.openxmlformats.org/officeDocument/2006/relationships/image" Target="../media/image57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8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13" Type="http://schemas.openxmlformats.org/officeDocument/2006/relationships/image" Target="../media/image90.emf"/><Relationship Id="rId3" Type="http://schemas.openxmlformats.org/officeDocument/2006/relationships/image" Target="../media/image82.emf"/><Relationship Id="rId7" Type="http://schemas.openxmlformats.org/officeDocument/2006/relationships/image" Target="../media/image79.emf"/><Relationship Id="rId12" Type="http://schemas.openxmlformats.org/officeDocument/2006/relationships/image" Target="../media/image78.emf"/><Relationship Id="rId2" Type="http://schemas.openxmlformats.org/officeDocument/2006/relationships/image" Target="../media/image83.emf"/><Relationship Id="rId16" Type="http://schemas.openxmlformats.org/officeDocument/2006/relationships/image" Target="../media/image91.emf"/><Relationship Id="rId1" Type="http://schemas.openxmlformats.org/officeDocument/2006/relationships/image" Target="../media/image84.emf"/><Relationship Id="rId6" Type="http://schemas.openxmlformats.org/officeDocument/2006/relationships/image" Target="../media/image85.emf"/><Relationship Id="rId11" Type="http://schemas.openxmlformats.org/officeDocument/2006/relationships/image" Target="../media/image89.emf"/><Relationship Id="rId5" Type="http://schemas.openxmlformats.org/officeDocument/2006/relationships/image" Target="../media/image80.emf"/><Relationship Id="rId15" Type="http://schemas.openxmlformats.org/officeDocument/2006/relationships/image" Target="../media/image76.emf"/><Relationship Id="rId10" Type="http://schemas.openxmlformats.org/officeDocument/2006/relationships/image" Target="../media/image88.emf"/><Relationship Id="rId4" Type="http://schemas.openxmlformats.org/officeDocument/2006/relationships/image" Target="../media/image81.emf"/><Relationship Id="rId9" Type="http://schemas.openxmlformats.org/officeDocument/2006/relationships/image" Target="../media/image87.emf"/><Relationship Id="rId14" Type="http://schemas.openxmlformats.org/officeDocument/2006/relationships/image" Target="../media/image7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5" Type="http://schemas.openxmlformats.org/officeDocument/2006/relationships/image" Target="../media/image96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8.emf"/><Relationship Id="rId1" Type="http://schemas.openxmlformats.org/officeDocument/2006/relationships/image" Target="../media/image99.emf"/><Relationship Id="rId5" Type="http://schemas.openxmlformats.org/officeDocument/2006/relationships/image" Target="../media/image97.emf"/><Relationship Id="rId4" Type="http://schemas.openxmlformats.org/officeDocument/2006/relationships/image" Target="../media/image10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5.emf"/><Relationship Id="rId2" Type="http://schemas.openxmlformats.org/officeDocument/2006/relationships/image" Target="../media/image104.emf"/><Relationship Id="rId1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97029" name="그림 297028">
          <a:extLst>
            <a:ext uri="{FF2B5EF4-FFF2-40B4-BE49-F238E27FC236}">
              <a16:creationId xmlns:a16="http://schemas.microsoft.com/office/drawing/2014/main" id="{A0BDCE05-BCF9-3D88-3769-684E0C46E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4039C2F6-009D-61B5-DA8E-5CFBCC8E7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97033" name="그림 297032">
          <a:extLst>
            <a:ext uri="{FF2B5EF4-FFF2-40B4-BE49-F238E27FC236}">
              <a16:creationId xmlns:a16="http://schemas.microsoft.com/office/drawing/2014/main" id="{6D5A78F4-DB26-BE92-7042-848A92B50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9A660EB3-7983-1F5E-E19A-3773CA5FA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7037" name="그림 297036">
          <a:extLst>
            <a:ext uri="{FF2B5EF4-FFF2-40B4-BE49-F238E27FC236}">
              <a16:creationId xmlns:a16="http://schemas.microsoft.com/office/drawing/2014/main" id="{3CB03E36-FB27-41C2-B130-88BDE3766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831BE557-9F9E-1CF5-3779-82F69C248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297041" name="그림 297040">
          <a:extLst>
            <a:ext uri="{FF2B5EF4-FFF2-40B4-BE49-F238E27FC236}">
              <a16:creationId xmlns:a16="http://schemas.microsoft.com/office/drawing/2014/main" id="{EFFEB2D0-18AB-303C-D9EF-8B00CC548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19D5EE50-E5A8-03C2-0564-1F3EB0459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297045" name="그림 297044">
          <a:extLst>
            <a:ext uri="{FF2B5EF4-FFF2-40B4-BE49-F238E27FC236}">
              <a16:creationId xmlns:a16="http://schemas.microsoft.com/office/drawing/2014/main" id="{83850699-0E30-C77B-5000-C1E01EB5B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63</xdr:row>
      <xdr:rowOff>91536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149AA79C-B2EA-705C-C3F4-D2B0C1046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63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4CF64BEB-0142-E782-7D69-FD3459E8D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28574</xdr:colOff>
      <xdr:row>64</xdr:row>
      <xdr:rowOff>95250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529114BE-B506-B36C-B176-AAF013644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79</xdr:row>
      <xdr:rowOff>91536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A2C750D8-52C2-9EEB-0861-8BE59451D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79</xdr:row>
      <xdr:rowOff>161925</xdr:rowOff>
    </xdr:to>
    <xdr:pic>
      <xdr:nvPicPr>
        <xdr:cNvPr id="297056" name="그림 297055">
          <a:extLst>
            <a:ext uri="{FF2B5EF4-FFF2-40B4-BE49-F238E27FC236}">
              <a16:creationId xmlns:a16="http://schemas.microsoft.com/office/drawing/2014/main" id="{E1A51CE3-F735-8B2B-2097-35C2EB826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28574</xdr:colOff>
      <xdr:row>80</xdr:row>
      <xdr:rowOff>95250</xdr:rowOff>
    </xdr:to>
    <xdr:pic>
      <xdr:nvPicPr>
        <xdr:cNvPr id="297060" name="그림 297059">
          <a:extLst>
            <a:ext uri="{FF2B5EF4-FFF2-40B4-BE49-F238E27FC236}">
              <a16:creationId xmlns:a16="http://schemas.microsoft.com/office/drawing/2014/main" id="{2004CBFB-58D2-05FB-B43D-5EDA32D3E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95</xdr:row>
      <xdr:rowOff>91536</xdr:rowOff>
    </xdr:to>
    <xdr:pic>
      <xdr:nvPicPr>
        <xdr:cNvPr id="297064" name="그림 297063">
          <a:extLst>
            <a:ext uri="{FF2B5EF4-FFF2-40B4-BE49-F238E27FC236}">
              <a16:creationId xmlns:a16="http://schemas.microsoft.com/office/drawing/2014/main" id="{DA46D1BA-C5C3-C004-852F-E1BA54906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95</xdr:row>
      <xdr:rowOff>161925</xdr:rowOff>
    </xdr:to>
    <xdr:pic>
      <xdr:nvPicPr>
        <xdr:cNvPr id="297068" name="그림 297067">
          <a:extLst>
            <a:ext uri="{FF2B5EF4-FFF2-40B4-BE49-F238E27FC236}">
              <a16:creationId xmlns:a16="http://schemas.microsoft.com/office/drawing/2014/main" id="{9A0DACE3-B2DB-A475-305D-4719D7B56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28574</xdr:colOff>
      <xdr:row>96</xdr:row>
      <xdr:rowOff>95250</xdr:rowOff>
    </xdr:to>
    <xdr:pic>
      <xdr:nvPicPr>
        <xdr:cNvPr id="297072" name="그림 297071">
          <a:extLst>
            <a:ext uri="{FF2B5EF4-FFF2-40B4-BE49-F238E27FC236}">
              <a16:creationId xmlns:a16="http://schemas.microsoft.com/office/drawing/2014/main" id="{CD800F14-8B85-EBE3-3320-58600A3BD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111</xdr:row>
      <xdr:rowOff>91536</xdr:rowOff>
    </xdr:to>
    <xdr:pic>
      <xdr:nvPicPr>
        <xdr:cNvPr id="297076" name="그림 297075">
          <a:extLst>
            <a:ext uri="{FF2B5EF4-FFF2-40B4-BE49-F238E27FC236}">
              <a16:creationId xmlns:a16="http://schemas.microsoft.com/office/drawing/2014/main" id="{390842CE-E9CB-A08F-632D-A0DDC23C5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111</xdr:row>
      <xdr:rowOff>161925</xdr:rowOff>
    </xdr:to>
    <xdr:pic>
      <xdr:nvPicPr>
        <xdr:cNvPr id="297080" name="그림 297079">
          <a:extLst>
            <a:ext uri="{FF2B5EF4-FFF2-40B4-BE49-F238E27FC236}">
              <a16:creationId xmlns:a16="http://schemas.microsoft.com/office/drawing/2014/main" id="{E83522F2-8846-792A-88E4-E9F77E93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28574</xdr:colOff>
      <xdr:row>112</xdr:row>
      <xdr:rowOff>95250</xdr:rowOff>
    </xdr:to>
    <xdr:pic>
      <xdr:nvPicPr>
        <xdr:cNvPr id="297084" name="그림 297083">
          <a:extLst>
            <a:ext uri="{FF2B5EF4-FFF2-40B4-BE49-F238E27FC236}">
              <a16:creationId xmlns:a16="http://schemas.microsoft.com/office/drawing/2014/main" id="{CD4BFEF3-1E59-1C50-1190-27FC6F77D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127</xdr:row>
      <xdr:rowOff>91536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A8BE9F4F-120A-8B6A-2B4E-F40FBE5F7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127</xdr:row>
      <xdr:rowOff>161925</xdr:rowOff>
    </xdr:to>
    <xdr:pic>
      <xdr:nvPicPr>
        <xdr:cNvPr id="297091" name="그림 297090">
          <a:extLst>
            <a:ext uri="{FF2B5EF4-FFF2-40B4-BE49-F238E27FC236}">
              <a16:creationId xmlns:a16="http://schemas.microsoft.com/office/drawing/2014/main" id="{7E65A14A-1CB5-4AB0-74C2-EF83C6EDE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28574</xdr:colOff>
      <xdr:row>128</xdr:row>
      <xdr:rowOff>95250</xdr:rowOff>
    </xdr:to>
    <xdr:pic>
      <xdr:nvPicPr>
        <xdr:cNvPr id="297093" name="그림 297092">
          <a:extLst>
            <a:ext uri="{FF2B5EF4-FFF2-40B4-BE49-F238E27FC236}">
              <a16:creationId xmlns:a16="http://schemas.microsoft.com/office/drawing/2014/main" id="{6189A0F5-2B14-B615-99D6-0BFDA6E78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143</xdr:row>
      <xdr:rowOff>91536</xdr:rowOff>
    </xdr:to>
    <xdr:pic>
      <xdr:nvPicPr>
        <xdr:cNvPr id="297095" name="그림 297094">
          <a:extLst>
            <a:ext uri="{FF2B5EF4-FFF2-40B4-BE49-F238E27FC236}">
              <a16:creationId xmlns:a16="http://schemas.microsoft.com/office/drawing/2014/main" id="{C7AF90B9-EF99-0CFA-9898-D80637A9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143</xdr:row>
      <xdr:rowOff>161925</xdr:rowOff>
    </xdr:to>
    <xdr:pic>
      <xdr:nvPicPr>
        <xdr:cNvPr id="297097" name="그림 297096">
          <a:extLst>
            <a:ext uri="{FF2B5EF4-FFF2-40B4-BE49-F238E27FC236}">
              <a16:creationId xmlns:a16="http://schemas.microsoft.com/office/drawing/2014/main" id="{E9239075-2617-AD91-C7F1-A1E5C6F00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28574</xdr:colOff>
      <xdr:row>144</xdr:row>
      <xdr:rowOff>95250</xdr:rowOff>
    </xdr:to>
    <xdr:pic>
      <xdr:nvPicPr>
        <xdr:cNvPr id="297099" name="그림 297098">
          <a:extLst>
            <a:ext uri="{FF2B5EF4-FFF2-40B4-BE49-F238E27FC236}">
              <a16:creationId xmlns:a16="http://schemas.microsoft.com/office/drawing/2014/main" id="{165D8BC0-0AFA-0F29-4F16-A10998B3A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159</xdr:row>
      <xdr:rowOff>91536</xdr:rowOff>
    </xdr:to>
    <xdr:pic>
      <xdr:nvPicPr>
        <xdr:cNvPr id="297101" name="그림 297100">
          <a:extLst>
            <a:ext uri="{FF2B5EF4-FFF2-40B4-BE49-F238E27FC236}">
              <a16:creationId xmlns:a16="http://schemas.microsoft.com/office/drawing/2014/main" id="{69919B41-95D4-A583-635A-BC78D8691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159</xdr:row>
      <xdr:rowOff>161925</xdr:rowOff>
    </xdr:to>
    <xdr:pic>
      <xdr:nvPicPr>
        <xdr:cNvPr id="297103" name="그림 297102">
          <a:extLst>
            <a:ext uri="{FF2B5EF4-FFF2-40B4-BE49-F238E27FC236}">
              <a16:creationId xmlns:a16="http://schemas.microsoft.com/office/drawing/2014/main" id="{D43D32E1-D8D1-C703-C698-72163FE6A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28574</xdr:colOff>
      <xdr:row>160</xdr:row>
      <xdr:rowOff>95250</xdr:rowOff>
    </xdr:to>
    <xdr:pic>
      <xdr:nvPicPr>
        <xdr:cNvPr id="297105" name="그림 297104">
          <a:extLst>
            <a:ext uri="{FF2B5EF4-FFF2-40B4-BE49-F238E27FC236}">
              <a16:creationId xmlns:a16="http://schemas.microsoft.com/office/drawing/2014/main" id="{FAA36C8F-E295-E066-8547-1E8D9267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175</xdr:row>
      <xdr:rowOff>91536</xdr:rowOff>
    </xdr:to>
    <xdr:pic>
      <xdr:nvPicPr>
        <xdr:cNvPr id="297107" name="그림 297106">
          <a:extLst>
            <a:ext uri="{FF2B5EF4-FFF2-40B4-BE49-F238E27FC236}">
              <a16:creationId xmlns:a16="http://schemas.microsoft.com/office/drawing/2014/main" id="{70E68D7C-7EDD-BF2A-534A-E909E8EC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175</xdr:row>
      <xdr:rowOff>161925</xdr:rowOff>
    </xdr:to>
    <xdr:pic>
      <xdr:nvPicPr>
        <xdr:cNvPr id="297109" name="그림 297108">
          <a:extLst>
            <a:ext uri="{FF2B5EF4-FFF2-40B4-BE49-F238E27FC236}">
              <a16:creationId xmlns:a16="http://schemas.microsoft.com/office/drawing/2014/main" id="{E99AA121-0757-49FA-8331-7A01B79C3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28574</xdr:colOff>
      <xdr:row>176</xdr:row>
      <xdr:rowOff>95250</xdr:rowOff>
    </xdr:to>
    <xdr:pic>
      <xdr:nvPicPr>
        <xdr:cNvPr id="297111" name="그림 297110">
          <a:extLst>
            <a:ext uri="{FF2B5EF4-FFF2-40B4-BE49-F238E27FC236}">
              <a16:creationId xmlns:a16="http://schemas.microsoft.com/office/drawing/2014/main" id="{914DCCFC-269B-2373-00C0-B2A78BAEC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1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1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1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9" name="CommandButton8" hidden="1">
              <a:extLst>
                <a:ext uri="{63B3BB69-23CF-44E3-9099-C40C66FF867C}">
                  <a14:compatExt spid="_x0000_s349189"/>
                </a:ext>
                <a:ext uri="{FF2B5EF4-FFF2-40B4-BE49-F238E27FC236}">
                  <a16:creationId xmlns:a16="http://schemas.microsoft.com/office/drawing/2014/main" id="{00000000-0008-0000-1100-000005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2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2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2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2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3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3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3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3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4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4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4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4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5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5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15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15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6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6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16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16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17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17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17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17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18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18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18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18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19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19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19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19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1A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1A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1A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1A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B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B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B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B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B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C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C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C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C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D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D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D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D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6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6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6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6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6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71.emf"/><Relationship Id="rId5" Type="http://schemas.openxmlformats.org/officeDocument/2006/relationships/control" Target="../activeX/activeX41.xml"/><Relationship Id="rId4" Type="http://schemas.openxmlformats.org/officeDocument/2006/relationships/image" Target="../media/image7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7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7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4.emf"/><Relationship Id="rId34" Type="http://schemas.openxmlformats.org/officeDocument/2006/relationships/control" Target="../activeX/activeX60.xml"/><Relationship Id="rId7" Type="http://schemas.openxmlformats.org/officeDocument/2006/relationships/image" Target="../media/image77.emf"/><Relationship Id="rId12" Type="http://schemas.openxmlformats.org/officeDocument/2006/relationships/control" Target="../activeX/activeX49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33" Type="http://schemas.openxmlformats.org/officeDocument/2006/relationships/image" Target="../media/image9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7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23" Type="http://schemas.openxmlformats.org/officeDocument/2006/relationships/image" Target="../media/image85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83.emf"/><Relationship Id="rId31" Type="http://schemas.openxmlformats.org/officeDocument/2006/relationships/image" Target="../media/image89.emf"/><Relationship Id="rId4" Type="http://schemas.openxmlformats.org/officeDocument/2006/relationships/control" Target="../activeX/activeX45.xml"/><Relationship Id="rId9" Type="http://schemas.openxmlformats.org/officeDocument/2006/relationships/image" Target="../media/image7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87.emf"/><Relationship Id="rId30" Type="http://schemas.openxmlformats.org/officeDocument/2006/relationships/control" Target="../activeX/activeX58.xml"/><Relationship Id="rId35" Type="http://schemas.openxmlformats.org/officeDocument/2006/relationships/image" Target="../media/image91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3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94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3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9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9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3.emf"/><Relationship Id="rId12" Type="http://schemas.openxmlformats.org/officeDocument/2006/relationships/comments" Target="../comments1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3.emf"/><Relationship Id="rId12" Type="http://schemas.openxmlformats.org/officeDocument/2006/relationships/comments" Target="../comments1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9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81.xml"/><Relationship Id="rId4" Type="http://schemas.openxmlformats.org/officeDocument/2006/relationships/control" Target="../activeX/activeX78.xml"/><Relationship Id="rId9" Type="http://schemas.openxmlformats.org/officeDocument/2006/relationships/image" Target="../media/image9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3.emf"/><Relationship Id="rId12" Type="http://schemas.openxmlformats.org/officeDocument/2006/relationships/comments" Target="../comments1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3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3.emf"/><Relationship Id="rId12" Type="http://schemas.openxmlformats.org/officeDocument/2006/relationships/comments" Target="../comments1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87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89.xml"/><Relationship Id="rId4" Type="http://schemas.openxmlformats.org/officeDocument/2006/relationships/control" Target="../activeX/activeX86.xml"/><Relationship Id="rId9" Type="http://schemas.openxmlformats.org/officeDocument/2006/relationships/image" Target="../media/image9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1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93.xml"/><Relationship Id="rId4" Type="http://schemas.openxmlformats.org/officeDocument/2006/relationships/control" Target="../activeX/activeX90.xml"/><Relationship Id="rId9" Type="http://schemas.openxmlformats.org/officeDocument/2006/relationships/image" Target="../media/image92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93.emf"/><Relationship Id="rId12" Type="http://schemas.openxmlformats.org/officeDocument/2006/relationships/comments" Target="../comments1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95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97.xml"/><Relationship Id="rId4" Type="http://schemas.openxmlformats.org/officeDocument/2006/relationships/control" Target="../activeX/activeX94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3.emf"/><Relationship Id="rId12" Type="http://schemas.openxmlformats.org/officeDocument/2006/relationships/comments" Target="../comments1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99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101.xml"/><Relationship Id="rId4" Type="http://schemas.openxmlformats.org/officeDocument/2006/relationships/control" Target="../activeX/activeX98.xml"/><Relationship Id="rId9" Type="http://schemas.openxmlformats.org/officeDocument/2006/relationships/image" Target="../media/image92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03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105.xml"/><Relationship Id="rId4" Type="http://schemas.openxmlformats.org/officeDocument/2006/relationships/control" Target="../activeX/activeX102.xml"/><Relationship Id="rId9" Type="http://schemas.openxmlformats.org/officeDocument/2006/relationships/image" Target="../media/image9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8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8.emf"/><Relationship Id="rId12" Type="http://schemas.openxmlformats.org/officeDocument/2006/relationships/control" Target="../activeX/activeX11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0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109.xml"/><Relationship Id="rId4" Type="http://schemas.openxmlformats.org/officeDocument/2006/relationships/control" Target="../activeX/activeX106.xml"/><Relationship Id="rId9" Type="http://schemas.openxmlformats.org/officeDocument/2006/relationships/image" Target="../media/image99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0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12.xml"/><Relationship Id="rId11" Type="http://schemas.openxmlformats.org/officeDocument/2006/relationships/image" Target="../media/image98.emf"/><Relationship Id="rId5" Type="http://schemas.openxmlformats.org/officeDocument/2006/relationships/image" Target="../media/image99.emf"/><Relationship Id="rId10" Type="http://schemas.openxmlformats.org/officeDocument/2006/relationships/control" Target="../activeX/activeX114.xml"/><Relationship Id="rId4" Type="http://schemas.openxmlformats.org/officeDocument/2006/relationships/control" Target="../activeX/activeX111.xml"/><Relationship Id="rId9" Type="http://schemas.openxmlformats.org/officeDocument/2006/relationships/image" Target="../media/image101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16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5.xml"/><Relationship Id="rId9" Type="http://schemas.openxmlformats.org/officeDocument/2006/relationships/image" Target="../media/image10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23" sqref="R2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828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42.3</v>
      </c>
      <c r="D5" s="377">
        <v>34.9</v>
      </c>
      <c r="E5" s="377">
        <v>28.1</v>
      </c>
      <c r="F5" s="377">
        <v>111.7</v>
      </c>
      <c r="G5" s="377">
        <v>75.5</v>
      </c>
      <c r="H5" s="377">
        <v>96.4</v>
      </c>
      <c r="I5" s="377">
        <v>110</v>
      </c>
      <c r="J5" s="378">
        <v>151.4</v>
      </c>
      <c r="K5" s="377">
        <v>40.5</v>
      </c>
      <c r="L5" s="377">
        <v>17.2</v>
      </c>
      <c r="M5" s="377">
        <v>35.1</v>
      </c>
      <c r="N5" s="380">
        <v>21.3</v>
      </c>
      <c r="O5" s="384">
        <f>ROUND(SUM(C5:N5),1)</f>
        <v>764.4</v>
      </c>
      <c r="P5" s="246">
        <f>ROUND(O5/12,1)</f>
        <v>63.7</v>
      </c>
      <c r="Q5" s="370"/>
      <c r="R5" s="371"/>
      <c r="S5" s="372" t="s">
        <v>679</v>
      </c>
      <c r="T5" s="373" t="s">
        <v>678</v>
      </c>
      <c r="V5" s="371"/>
      <c r="W5" s="374"/>
    </row>
    <row r="6" spans="2:23" ht="22.5" customHeight="1" thickBot="1">
      <c r="B6" s="252">
        <v>1996</v>
      </c>
      <c r="C6" s="377">
        <v>32.9</v>
      </c>
      <c r="D6" s="377">
        <v>11.8</v>
      </c>
      <c r="E6" s="377">
        <v>127.4</v>
      </c>
      <c r="F6" s="377">
        <v>38.4</v>
      </c>
      <c r="G6" s="377">
        <v>37.4</v>
      </c>
      <c r="H6" s="377">
        <v>302.89999999999998</v>
      </c>
      <c r="I6" s="377">
        <v>186.3</v>
      </c>
      <c r="J6" s="378">
        <v>261.7</v>
      </c>
      <c r="K6" s="377">
        <v>66.099999999999994</v>
      </c>
      <c r="L6" s="377">
        <v>60.7</v>
      </c>
      <c r="M6" s="377">
        <v>112.4</v>
      </c>
      <c r="N6" s="380">
        <v>30.8</v>
      </c>
      <c r="O6" s="384">
        <f t="shared" ref="O6:O34" si="0">ROUND(SUM(C6:N6),1)</f>
        <v>1268.8</v>
      </c>
      <c r="P6" s="246">
        <f t="shared" ref="P6:P34" si="1">ROUND(O6/12,1)</f>
        <v>105.7</v>
      </c>
      <c r="Q6" s="370"/>
      <c r="R6" s="371"/>
      <c r="S6" s="375" t="str">
        <f>VLOOKUP(S5, tblLocation[], 2, FALSE)</f>
        <v>Table4</v>
      </c>
      <c r="T6" s="376" t="str">
        <f ca="1">IFERROR(UPPER(VLOOKUP(T5, INDIRECT(S6), 2,0)), " 지역설정")</f>
        <v>GWANGJU</v>
      </c>
      <c r="V6" s="371"/>
      <c r="W6" s="374"/>
    </row>
    <row r="7" spans="2:23" ht="22.5" customHeight="1">
      <c r="B7" s="252">
        <v>1997</v>
      </c>
      <c r="C7" s="377">
        <v>19.3</v>
      </c>
      <c r="D7" s="377">
        <v>43.6</v>
      </c>
      <c r="E7" s="377">
        <v>68.3</v>
      </c>
      <c r="F7" s="377">
        <v>82.1</v>
      </c>
      <c r="G7" s="377">
        <v>101.6</v>
      </c>
      <c r="H7" s="377">
        <v>177.2</v>
      </c>
      <c r="I7" s="377">
        <v>358.3</v>
      </c>
      <c r="J7" s="377">
        <v>381.9</v>
      </c>
      <c r="K7" s="377">
        <v>22.8</v>
      </c>
      <c r="L7" s="377">
        <v>14</v>
      </c>
      <c r="M7" s="377">
        <v>136.4</v>
      </c>
      <c r="N7" s="380">
        <v>73.7</v>
      </c>
      <c r="O7" s="384">
        <f t="shared" si="0"/>
        <v>1479.2</v>
      </c>
      <c r="P7" s="246">
        <f t="shared" si="1"/>
        <v>123.3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41.3</v>
      </c>
      <c r="D8" s="377">
        <v>44.4</v>
      </c>
      <c r="E8" s="377">
        <v>78.2</v>
      </c>
      <c r="F8" s="377">
        <v>124.2</v>
      </c>
      <c r="G8" s="377">
        <v>136.9</v>
      </c>
      <c r="H8" s="377">
        <v>369.6</v>
      </c>
      <c r="I8" s="377">
        <v>210.9</v>
      </c>
      <c r="J8" s="377">
        <v>531.20000000000005</v>
      </c>
      <c r="K8" s="377">
        <v>315.7</v>
      </c>
      <c r="L8" s="377">
        <v>57.4</v>
      </c>
      <c r="M8" s="377">
        <v>30.9</v>
      </c>
      <c r="N8" s="380">
        <v>2.2999999999999998</v>
      </c>
      <c r="O8" s="384">
        <f t="shared" si="0"/>
        <v>1943</v>
      </c>
      <c r="P8" s="246">
        <f t="shared" si="1"/>
        <v>161.9</v>
      </c>
      <c r="Q8" s="370"/>
      <c r="T8" s="230"/>
      <c r="V8" s="371"/>
      <c r="W8" s="374"/>
    </row>
    <row r="9" spans="2:23" ht="22.5" customHeight="1">
      <c r="B9" s="252">
        <v>1999</v>
      </c>
      <c r="C9" s="377">
        <v>41</v>
      </c>
      <c r="D9" s="377">
        <v>34.9</v>
      </c>
      <c r="E9" s="377">
        <v>111.9</v>
      </c>
      <c r="F9" s="377">
        <v>44.9</v>
      </c>
      <c r="G9" s="377">
        <v>106.9</v>
      </c>
      <c r="H9" s="377">
        <v>135.4</v>
      </c>
      <c r="I9" s="377">
        <v>220.7</v>
      </c>
      <c r="J9" s="377">
        <v>287.10000000000002</v>
      </c>
      <c r="K9" s="377">
        <v>281.7</v>
      </c>
      <c r="L9" s="377">
        <v>126.2</v>
      </c>
      <c r="M9" s="377">
        <v>22.1</v>
      </c>
      <c r="N9" s="380">
        <v>16.899999999999999</v>
      </c>
      <c r="O9" s="384">
        <f t="shared" si="0"/>
        <v>1429.7</v>
      </c>
      <c r="P9" s="246">
        <f t="shared" si="1"/>
        <v>119.1</v>
      </c>
      <c r="Q9" s="370"/>
      <c r="R9" s="582" t="s">
        <v>818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33.700000000000003</v>
      </c>
      <c r="D10" s="377">
        <v>15.4</v>
      </c>
      <c r="E10" s="377">
        <v>19.899999999999999</v>
      </c>
      <c r="F10" s="377">
        <v>16.3</v>
      </c>
      <c r="G10" s="377">
        <v>47.7</v>
      </c>
      <c r="H10" s="377">
        <v>197.7</v>
      </c>
      <c r="I10" s="377">
        <v>321.39999999999998</v>
      </c>
      <c r="J10" s="377">
        <v>538.29999999999995</v>
      </c>
      <c r="K10" s="377">
        <v>228.7</v>
      </c>
      <c r="L10" s="377">
        <v>31.7</v>
      </c>
      <c r="M10" s="377">
        <v>53.8</v>
      </c>
      <c r="N10" s="380">
        <v>6.4</v>
      </c>
      <c r="O10" s="384">
        <f t="shared" si="0"/>
        <v>1511</v>
      </c>
      <c r="P10" s="246">
        <f t="shared" si="1"/>
        <v>125.9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50.4</v>
      </c>
      <c r="D11" s="377">
        <v>83.9</v>
      </c>
      <c r="E11" s="377">
        <v>26.9</v>
      </c>
      <c r="F11" s="377">
        <v>43.7</v>
      </c>
      <c r="G11" s="377">
        <v>21.4</v>
      </c>
      <c r="H11" s="377">
        <v>245.8</v>
      </c>
      <c r="I11" s="377">
        <v>270.8</v>
      </c>
      <c r="J11" s="377">
        <v>113.2</v>
      </c>
      <c r="K11" s="377">
        <v>135.30000000000001</v>
      </c>
      <c r="L11" s="377">
        <v>69.7</v>
      </c>
      <c r="M11" s="377">
        <v>15.3</v>
      </c>
      <c r="N11" s="380">
        <v>53.5</v>
      </c>
      <c r="O11" s="384">
        <f t="shared" si="0"/>
        <v>1129.9000000000001</v>
      </c>
      <c r="P11" s="246">
        <f t="shared" si="1"/>
        <v>94.2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95.7</v>
      </c>
      <c r="D12" s="377">
        <v>13.5</v>
      </c>
      <c r="E12" s="377">
        <v>46.5</v>
      </c>
      <c r="F12" s="377">
        <v>117.8</v>
      </c>
      <c r="G12" s="377">
        <v>100.5</v>
      </c>
      <c r="H12" s="377">
        <v>108.5</v>
      </c>
      <c r="I12" s="377">
        <v>180</v>
      </c>
      <c r="J12" s="377">
        <v>584</v>
      </c>
      <c r="K12" s="377">
        <v>109</v>
      </c>
      <c r="L12" s="377">
        <v>38.6</v>
      </c>
      <c r="M12" s="377">
        <v>34.1</v>
      </c>
      <c r="N12" s="380">
        <v>30.5</v>
      </c>
      <c r="O12" s="384">
        <f t="shared" si="0"/>
        <v>1458.7</v>
      </c>
      <c r="P12" s="246">
        <f t="shared" si="1"/>
        <v>121.6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45</v>
      </c>
      <c r="D13" s="377">
        <v>52.2</v>
      </c>
      <c r="E13" s="377">
        <v>70.599999999999994</v>
      </c>
      <c r="F13" s="377">
        <v>243.9</v>
      </c>
      <c r="G13" s="377">
        <v>141</v>
      </c>
      <c r="H13" s="377">
        <v>150.19999999999999</v>
      </c>
      <c r="I13" s="377">
        <v>564.9</v>
      </c>
      <c r="J13" s="377">
        <v>411</v>
      </c>
      <c r="K13" s="377">
        <v>206.3</v>
      </c>
      <c r="L13" s="377">
        <v>36.200000000000003</v>
      </c>
      <c r="M13" s="377">
        <v>38.4</v>
      </c>
      <c r="N13" s="380">
        <v>34.4</v>
      </c>
      <c r="O13" s="384">
        <f t="shared" si="0"/>
        <v>1994.1</v>
      </c>
      <c r="P13" s="246">
        <f t="shared" si="1"/>
        <v>166.2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14</v>
      </c>
      <c r="D14" s="377">
        <v>54</v>
      </c>
      <c r="E14" s="377">
        <v>38.4</v>
      </c>
      <c r="F14" s="377">
        <v>63.7</v>
      </c>
      <c r="G14" s="377">
        <v>101.1</v>
      </c>
      <c r="H14" s="377">
        <v>153.80000000000001</v>
      </c>
      <c r="I14" s="377">
        <v>409.5</v>
      </c>
      <c r="J14" s="377">
        <v>570.5</v>
      </c>
      <c r="K14" s="377">
        <v>242</v>
      </c>
      <c r="L14" s="377">
        <v>3.4</v>
      </c>
      <c r="M14" s="377">
        <v>63.1</v>
      </c>
      <c r="N14" s="380">
        <v>28.8</v>
      </c>
      <c r="O14" s="384">
        <f t="shared" si="0"/>
        <v>1742.3</v>
      </c>
      <c r="P14" s="246">
        <f t="shared" si="1"/>
        <v>145.19999999999999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10.6</v>
      </c>
      <c r="D15" s="377">
        <v>48.3</v>
      </c>
      <c r="E15" s="377">
        <v>66.7</v>
      </c>
      <c r="F15" s="377">
        <v>92.5</v>
      </c>
      <c r="G15" s="377">
        <v>74.099999999999994</v>
      </c>
      <c r="H15" s="377">
        <v>185</v>
      </c>
      <c r="I15" s="377">
        <v>273.8</v>
      </c>
      <c r="J15" s="377">
        <v>303.3</v>
      </c>
      <c r="K15" s="377">
        <v>108.5</v>
      </c>
      <c r="L15" s="377">
        <v>17.399999999999999</v>
      </c>
      <c r="M15" s="377">
        <v>42.8</v>
      </c>
      <c r="N15" s="380">
        <v>66.599999999999994</v>
      </c>
      <c r="O15" s="384">
        <f t="shared" si="0"/>
        <v>1289.5999999999999</v>
      </c>
      <c r="P15" s="246">
        <f t="shared" si="1"/>
        <v>107.5</v>
      </c>
      <c r="S15" s="230"/>
    </row>
    <row r="16" spans="2:23" ht="22.5" customHeight="1">
      <c r="B16" s="252">
        <v>2006</v>
      </c>
      <c r="C16" s="377">
        <v>16.100000000000001</v>
      </c>
      <c r="D16" s="377">
        <v>51.9</v>
      </c>
      <c r="E16" s="377">
        <v>15</v>
      </c>
      <c r="F16" s="377">
        <v>87.8</v>
      </c>
      <c r="G16" s="377">
        <v>204.3</v>
      </c>
      <c r="H16" s="377">
        <v>226.7</v>
      </c>
      <c r="I16" s="377">
        <v>478.3</v>
      </c>
      <c r="J16" s="377">
        <v>295.5</v>
      </c>
      <c r="K16" s="377">
        <v>46.8</v>
      </c>
      <c r="L16" s="377">
        <v>18.2</v>
      </c>
      <c r="M16" s="377">
        <v>41.7</v>
      </c>
      <c r="N16" s="380">
        <v>37.9</v>
      </c>
      <c r="O16" s="384">
        <f t="shared" si="0"/>
        <v>1520.2</v>
      </c>
      <c r="P16" s="246">
        <f t="shared" si="1"/>
        <v>126.7</v>
      </c>
      <c r="S16" s="230"/>
    </row>
    <row r="17" spans="2:19" ht="22.5" customHeight="1">
      <c r="B17" s="252">
        <v>2007</v>
      </c>
      <c r="C17" s="377">
        <v>12.1</v>
      </c>
      <c r="D17" s="377">
        <v>79.099999999999994</v>
      </c>
      <c r="E17" s="377">
        <v>100.3</v>
      </c>
      <c r="F17" s="377">
        <v>38.700000000000003</v>
      </c>
      <c r="G17" s="377">
        <v>116</v>
      </c>
      <c r="H17" s="377">
        <v>52</v>
      </c>
      <c r="I17" s="377">
        <v>232</v>
      </c>
      <c r="J17" s="377">
        <v>339.3</v>
      </c>
      <c r="K17" s="377">
        <v>490.7</v>
      </c>
      <c r="L17" s="377">
        <v>95.5</v>
      </c>
      <c r="M17" s="377">
        <v>3.3</v>
      </c>
      <c r="N17" s="380">
        <v>61.6</v>
      </c>
      <c r="O17" s="384">
        <f t="shared" si="0"/>
        <v>1620.6</v>
      </c>
      <c r="P17" s="246">
        <f t="shared" si="1"/>
        <v>135.1</v>
      </c>
      <c r="S17" s="230"/>
    </row>
    <row r="18" spans="2:19" ht="22.5" customHeight="1">
      <c r="B18" s="252">
        <v>2008</v>
      </c>
      <c r="C18" s="377">
        <v>56.9</v>
      </c>
      <c r="D18" s="377">
        <v>11.1</v>
      </c>
      <c r="E18" s="377">
        <v>36.700000000000003</v>
      </c>
      <c r="F18" s="377">
        <v>54.2</v>
      </c>
      <c r="G18" s="377">
        <v>150.6</v>
      </c>
      <c r="H18" s="377">
        <v>273.2</v>
      </c>
      <c r="I18" s="377">
        <v>139.19999999999999</v>
      </c>
      <c r="J18" s="377">
        <v>157.5</v>
      </c>
      <c r="K18" s="377">
        <v>58.9</v>
      </c>
      <c r="L18" s="377">
        <v>15.3</v>
      </c>
      <c r="M18" s="377">
        <v>39.1</v>
      </c>
      <c r="N18" s="380">
        <v>14.5</v>
      </c>
      <c r="O18" s="384">
        <f t="shared" si="0"/>
        <v>1007.2</v>
      </c>
      <c r="P18" s="246">
        <f t="shared" si="1"/>
        <v>83.9</v>
      </c>
    </row>
    <row r="19" spans="2:19" ht="22.5" customHeight="1">
      <c r="B19" s="252">
        <v>2009</v>
      </c>
      <c r="C19" s="377">
        <v>36</v>
      </c>
      <c r="D19" s="377">
        <v>71.900000000000006</v>
      </c>
      <c r="E19" s="377">
        <v>42.1</v>
      </c>
      <c r="F19" s="377">
        <v>35.700000000000003</v>
      </c>
      <c r="G19" s="377">
        <v>114.9</v>
      </c>
      <c r="H19" s="377">
        <v>181.1</v>
      </c>
      <c r="I19" s="377">
        <v>607.4</v>
      </c>
      <c r="J19" s="377">
        <v>263.10000000000002</v>
      </c>
      <c r="K19" s="377">
        <v>22.6</v>
      </c>
      <c r="L19" s="377">
        <v>36.200000000000003</v>
      </c>
      <c r="M19" s="377">
        <v>26.7</v>
      </c>
      <c r="N19" s="380">
        <v>50.5</v>
      </c>
      <c r="O19" s="384">
        <f t="shared" si="0"/>
        <v>1488.2</v>
      </c>
      <c r="P19" s="246">
        <f t="shared" si="1"/>
        <v>124</v>
      </c>
    </row>
    <row r="20" spans="2:19" ht="22.5" customHeight="1">
      <c r="B20" s="252">
        <v>2010</v>
      </c>
      <c r="C20" s="377">
        <v>37.1</v>
      </c>
      <c r="D20" s="377">
        <v>135.80000000000001</v>
      </c>
      <c r="E20" s="377">
        <v>76</v>
      </c>
      <c r="F20" s="377">
        <v>133</v>
      </c>
      <c r="G20" s="377">
        <v>99</v>
      </c>
      <c r="H20" s="377">
        <v>70.599999999999994</v>
      </c>
      <c r="I20" s="377">
        <v>453</v>
      </c>
      <c r="J20" s="377">
        <v>337.6</v>
      </c>
      <c r="K20" s="377">
        <v>139.69999999999999</v>
      </c>
      <c r="L20" s="377">
        <v>42</v>
      </c>
      <c r="M20" s="377">
        <v>7.4</v>
      </c>
      <c r="N20" s="380">
        <v>41.9</v>
      </c>
      <c r="O20" s="384">
        <f t="shared" si="0"/>
        <v>1573.1</v>
      </c>
      <c r="P20" s="246">
        <f t="shared" si="1"/>
        <v>131.1</v>
      </c>
    </row>
    <row r="21" spans="2:19" ht="22.5" customHeight="1">
      <c r="B21" s="252">
        <v>2011</v>
      </c>
      <c r="C21" s="377">
        <v>7.4</v>
      </c>
      <c r="D21" s="377">
        <v>59.8</v>
      </c>
      <c r="E21" s="377">
        <v>23.1</v>
      </c>
      <c r="F21" s="377">
        <v>103</v>
      </c>
      <c r="G21" s="377">
        <v>142.9</v>
      </c>
      <c r="H21" s="377">
        <v>120</v>
      </c>
      <c r="I21" s="377">
        <v>277.5</v>
      </c>
      <c r="J21" s="377">
        <v>382.5</v>
      </c>
      <c r="K21" s="377">
        <v>13.5</v>
      </c>
      <c r="L21" s="377">
        <v>20.5</v>
      </c>
      <c r="M21" s="377">
        <v>136.80000000000001</v>
      </c>
      <c r="N21" s="380">
        <v>13.3</v>
      </c>
      <c r="O21" s="384">
        <f t="shared" si="0"/>
        <v>1300.3</v>
      </c>
      <c r="P21" s="246">
        <f t="shared" si="1"/>
        <v>108.4</v>
      </c>
    </row>
    <row r="22" spans="2:19" ht="22.5" customHeight="1">
      <c r="B22" s="252">
        <v>2012</v>
      </c>
      <c r="C22" s="377">
        <v>15.2</v>
      </c>
      <c r="D22" s="377">
        <v>18.600000000000001</v>
      </c>
      <c r="E22" s="377">
        <v>100.4</v>
      </c>
      <c r="F22" s="377">
        <v>82.5</v>
      </c>
      <c r="G22" s="377">
        <v>42.6</v>
      </c>
      <c r="H22" s="377">
        <v>83.1</v>
      </c>
      <c r="I22" s="377">
        <v>330.6</v>
      </c>
      <c r="J22" s="377">
        <v>473.5</v>
      </c>
      <c r="K22" s="377">
        <v>272</v>
      </c>
      <c r="L22" s="377">
        <v>82.8</v>
      </c>
      <c r="M22" s="377">
        <v>45.9</v>
      </c>
      <c r="N22" s="380">
        <v>79.599999999999994</v>
      </c>
      <c r="O22" s="384">
        <f t="shared" si="0"/>
        <v>1626.8</v>
      </c>
      <c r="P22" s="246">
        <f t="shared" si="1"/>
        <v>135.6</v>
      </c>
    </row>
    <row r="23" spans="2:19" ht="22.5" customHeight="1">
      <c r="B23" s="252">
        <v>2013</v>
      </c>
      <c r="C23" s="377">
        <v>20.6</v>
      </c>
      <c r="D23" s="377">
        <v>48</v>
      </c>
      <c r="E23" s="377">
        <v>76.900000000000006</v>
      </c>
      <c r="F23" s="377">
        <v>54.9</v>
      </c>
      <c r="G23" s="377">
        <v>86.5</v>
      </c>
      <c r="H23" s="377">
        <v>83.7</v>
      </c>
      <c r="I23" s="377">
        <v>349.1</v>
      </c>
      <c r="J23" s="377">
        <v>293.2</v>
      </c>
      <c r="K23" s="377">
        <v>88.5</v>
      </c>
      <c r="L23" s="377">
        <v>30.8</v>
      </c>
      <c r="M23" s="377">
        <v>95</v>
      </c>
      <c r="N23" s="380">
        <v>18.2</v>
      </c>
      <c r="O23" s="384">
        <f t="shared" si="0"/>
        <v>1245.4000000000001</v>
      </c>
      <c r="P23" s="246">
        <f t="shared" si="1"/>
        <v>103.8</v>
      </c>
    </row>
    <row r="24" spans="2:19" ht="22.5" customHeight="1">
      <c r="B24" s="252">
        <v>2014</v>
      </c>
      <c r="C24" s="377">
        <v>12.9</v>
      </c>
      <c r="D24" s="377">
        <v>8.6</v>
      </c>
      <c r="E24" s="377">
        <v>101.7</v>
      </c>
      <c r="F24" s="377">
        <v>62.5</v>
      </c>
      <c r="G24" s="377">
        <v>57</v>
      </c>
      <c r="H24" s="377">
        <v>72</v>
      </c>
      <c r="I24" s="377">
        <v>240.9</v>
      </c>
      <c r="J24" s="377">
        <v>370.2</v>
      </c>
      <c r="K24" s="377">
        <v>116.5</v>
      </c>
      <c r="L24" s="377">
        <v>105</v>
      </c>
      <c r="M24" s="377">
        <v>95.5</v>
      </c>
      <c r="N24" s="380">
        <v>47.5</v>
      </c>
      <c r="O24" s="384">
        <f t="shared" si="0"/>
        <v>1290.3</v>
      </c>
      <c r="P24" s="246">
        <f t="shared" si="1"/>
        <v>107.5</v>
      </c>
    </row>
    <row r="25" spans="2:19" ht="22.5" customHeight="1">
      <c r="B25" s="252">
        <v>2015</v>
      </c>
      <c r="C25" s="377">
        <v>47.2</v>
      </c>
      <c r="D25" s="377">
        <v>23.9</v>
      </c>
      <c r="E25" s="377">
        <v>36.5</v>
      </c>
      <c r="F25" s="377">
        <v>145.5</v>
      </c>
      <c r="G25" s="377">
        <v>48.6</v>
      </c>
      <c r="H25" s="377">
        <v>96.1</v>
      </c>
      <c r="I25" s="377">
        <v>164.3</v>
      </c>
      <c r="J25" s="377">
        <v>148.9</v>
      </c>
      <c r="K25" s="377">
        <v>66.599999999999994</v>
      </c>
      <c r="L25" s="377">
        <v>90.9</v>
      </c>
      <c r="M25" s="377">
        <v>121.9</v>
      </c>
      <c r="N25" s="380">
        <v>59.2</v>
      </c>
      <c r="O25" s="384">
        <f t="shared" si="0"/>
        <v>1049.5999999999999</v>
      </c>
      <c r="P25" s="246">
        <f t="shared" si="1"/>
        <v>87.5</v>
      </c>
    </row>
    <row r="26" spans="2:19" ht="22.5" customHeight="1">
      <c r="B26" s="252">
        <v>2016</v>
      </c>
      <c r="C26" s="377">
        <v>49.7</v>
      </c>
      <c r="D26" s="377">
        <v>45.2</v>
      </c>
      <c r="E26" s="377">
        <v>55.2</v>
      </c>
      <c r="F26" s="377">
        <v>185</v>
      </c>
      <c r="G26" s="377">
        <v>104.5</v>
      </c>
      <c r="H26" s="377">
        <v>116.1</v>
      </c>
      <c r="I26" s="377">
        <v>301.3</v>
      </c>
      <c r="J26" s="377">
        <v>81</v>
      </c>
      <c r="K26" s="377">
        <v>251.2</v>
      </c>
      <c r="L26" s="377">
        <v>216.7</v>
      </c>
      <c r="M26" s="377">
        <v>31.5</v>
      </c>
      <c r="N26" s="380">
        <v>44.9</v>
      </c>
      <c r="O26" s="384">
        <f t="shared" si="0"/>
        <v>1482.3</v>
      </c>
      <c r="P26" s="246">
        <f t="shared" si="1"/>
        <v>123.5</v>
      </c>
    </row>
    <row r="27" spans="2:19" ht="22.5" customHeight="1">
      <c r="B27" s="252">
        <v>2017</v>
      </c>
      <c r="C27" s="377">
        <v>11.7</v>
      </c>
      <c r="D27" s="377">
        <v>41.9</v>
      </c>
      <c r="E27" s="377">
        <v>33.200000000000003</v>
      </c>
      <c r="F27" s="377">
        <v>60.6</v>
      </c>
      <c r="G27" s="377">
        <v>30.2</v>
      </c>
      <c r="H27" s="377">
        <v>42.1</v>
      </c>
      <c r="I27" s="377">
        <v>211.6</v>
      </c>
      <c r="J27" s="377">
        <v>280.5</v>
      </c>
      <c r="K27" s="377">
        <v>108.8</v>
      </c>
      <c r="L27" s="377">
        <v>85.4</v>
      </c>
      <c r="M27" s="377">
        <v>2.1</v>
      </c>
      <c r="N27" s="380">
        <v>28.5</v>
      </c>
      <c r="O27" s="384">
        <f t="shared" si="0"/>
        <v>936.6</v>
      </c>
      <c r="P27" s="246">
        <f t="shared" si="1"/>
        <v>78.099999999999994</v>
      </c>
    </row>
    <row r="28" spans="2:19" ht="22.5" customHeight="1">
      <c r="B28" s="252">
        <v>2018</v>
      </c>
      <c r="C28" s="377">
        <v>38.799999999999997</v>
      </c>
      <c r="D28" s="377">
        <v>22</v>
      </c>
      <c r="E28" s="377">
        <v>115.8</v>
      </c>
      <c r="F28" s="377">
        <v>127.4</v>
      </c>
      <c r="G28" s="377">
        <v>85.4</v>
      </c>
      <c r="H28" s="377">
        <v>222.4</v>
      </c>
      <c r="I28" s="377">
        <v>84.5</v>
      </c>
      <c r="J28" s="377">
        <v>397.1</v>
      </c>
      <c r="K28" s="377">
        <v>129.69999999999999</v>
      </c>
      <c r="L28" s="377">
        <v>125.2</v>
      </c>
      <c r="M28" s="377">
        <v>47.2</v>
      </c>
      <c r="N28" s="380">
        <v>32.4</v>
      </c>
      <c r="O28" s="384">
        <f t="shared" si="0"/>
        <v>1427.9</v>
      </c>
      <c r="P28" s="246">
        <f t="shared" si="1"/>
        <v>119</v>
      </c>
    </row>
    <row r="29" spans="2:19" ht="22.5" customHeight="1">
      <c r="B29" s="252">
        <v>2019</v>
      </c>
      <c r="C29" s="377">
        <v>16.399999999999999</v>
      </c>
      <c r="D29" s="377">
        <v>37</v>
      </c>
      <c r="E29" s="377">
        <v>33.9</v>
      </c>
      <c r="F29" s="377">
        <v>84.7</v>
      </c>
      <c r="G29" s="377">
        <v>78.8</v>
      </c>
      <c r="H29" s="377">
        <v>158</v>
      </c>
      <c r="I29" s="377">
        <v>242.2</v>
      </c>
      <c r="J29" s="377">
        <v>64.8</v>
      </c>
      <c r="K29" s="377">
        <v>165.8</v>
      </c>
      <c r="L29" s="377">
        <v>149.9</v>
      </c>
      <c r="M29" s="377">
        <v>22.8</v>
      </c>
      <c r="N29" s="380">
        <v>31.6</v>
      </c>
      <c r="O29" s="384">
        <f t="shared" si="0"/>
        <v>1085.9000000000001</v>
      </c>
      <c r="P29" s="246">
        <f t="shared" si="1"/>
        <v>90.5</v>
      </c>
    </row>
    <row r="30" spans="2:19" ht="22.5" customHeight="1">
      <c r="B30" s="252">
        <v>2020</v>
      </c>
      <c r="C30" s="377">
        <v>74.900000000000006</v>
      </c>
      <c r="D30" s="377">
        <v>47.8</v>
      </c>
      <c r="E30" s="377">
        <v>43.5</v>
      </c>
      <c r="F30" s="377">
        <v>55.3</v>
      </c>
      <c r="G30" s="377">
        <v>96.8</v>
      </c>
      <c r="H30" s="377">
        <v>199.9</v>
      </c>
      <c r="I30" s="377">
        <v>533.29999999999995</v>
      </c>
      <c r="J30" s="377">
        <v>738.1</v>
      </c>
      <c r="K30" s="377">
        <v>178.3</v>
      </c>
      <c r="L30" s="377">
        <v>12.1</v>
      </c>
      <c r="M30" s="377">
        <v>28.3</v>
      </c>
      <c r="N30" s="380">
        <v>18.7</v>
      </c>
      <c r="O30" s="384">
        <f t="shared" si="0"/>
        <v>2027</v>
      </c>
      <c r="P30" s="246">
        <f t="shared" si="1"/>
        <v>168.9</v>
      </c>
    </row>
    <row r="31" spans="2:19" ht="22.5" customHeight="1">
      <c r="B31" s="252">
        <v>2021</v>
      </c>
      <c r="C31" s="377">
        <v>33</v>
      </c>
      <c r="D31" s="377">
        <v>31.1</v>
      </c>
      <c r="E31" s="377">
        <v>122.4</v>
      </c>
      <c r="F31" s="377">
        <v>34.200000000000003</v>
      </c>
      <c r="G31" s="377">
        <v>139.4</v>
      </c>
      <c r="H31" s="377">
        <v>118.1</v>
      </c>
      <c r="I31" s="377">
        <v>227.6</v>
      </c>
      <c r="J31" s="377">
        <v>338.7</v>
      </c>
      <c r="K31" s="377">
        <v>131.1</v>
      </c>
      <c r="L31" s="377">
        <v>35.299999999999997</v>
      </c>
      <c r="M31" s="377">
        <v>85.8</v>
      </c>
      <c r="N31" s="380">
        <v>7.1</v>
      </c>
      <c r="O31" s="384">
        <f t="shared" si="0"/>
        <v>1303.8</v>
      </c>
      <c r="P31" s="246">
        <f t="shared" si="1"/>
        <v>108.7</v>
      </c>
    </row>
    <row r="32" spans="2:19" ht="22.5" customHeight="1">
      <c r="B32" s="252">
        <v>2022</v>
      </c>
      <c r="C32" s="377">
        <v>0.3</v>
      </c>
      <c r="D32" s="377">
        <v>2.7</v>
      </c>
      <c r="E32" s="377">
        <v>105.2</v>
      </c>
      <c r="F32" s="377">
        <v>49.4</v>
      </c>
      <c r="G32" s="377">
        <v>0.4</v>
      </c>
      <c r="H32" s="377">
        <v>131.69999999999999</v>
      </c>
      <c r="I32" s="377">
        <v>169</v>
      </c>
      <c r="J32" s="377">
        <v>106.4</v>
      </c>
      <c r="K32" s="377">
        <v>89.2</v>
      </c>
      <c r="L32" s="377">
        <v>38.299999999999997</v>
      </c>
      <c r="M32" s="377">
        <v>46.7</v>
      </c>
      <c r="N32" s="380">
        <v>30.6</v>
      </c>
      <c r="O32" s="384">
        <f t="shared" si="0"/>
        <v>769.9</v>
      </c>
      <c r="P32" s="246">
        <f t="shared" si="1"/>
        <v>64.2</v>
      </c>
    </row>
    <row r="33" spans="2:16" ht="22.5" customHeight="1">
      <c r="B33" s="252">
        <v>2023</v>
      </c>
      <c r="C33" s="377">
        <v>26.8</v>
      </c>
      <c r="D33" s="377">
        <v>14.8</v>
      </c>
      <c r="E33" s="377">
        <v>34.799999999999997</v>
      </c>
      <c r="F33" s="377">
        <v>66.5</v>
      </c>
      <c r="G33" s="377">
        <v>190.1</v>
      </c>
      <c r="H33" s="377">
        <v>441.2</v>
      </c>
      <c r="I33" s="377">
        <v>684.6</v>
      </c>
      <c r="J33" s="377">
        <v>341.2</v>
      </c>
      <c r="K33" s="377">
        <v>152.5</v>
      </c>
      <c r="L33" s="377">
        <v>11.5</v>
      </c>
      <c r="M33" s="377">
        <v>71.900000000000006</v>
      </c>
      <c r="N33" s="380">
        <v>80.2</v>
      </c>
      <c r="O33" s="384">
        <f t="shared" si="0"/>
        <v>2116.1</v>
      </c>
      <c r="P33" s="246">
        <f t="shared" si="1"/>
        <v>176.3</v>
      </c>
    </row>
    <row r="34" spans="2:16" ht="22.5" customHeight="1" thickBot="1">
      <c r="B34" s="387">
        <v>2024</v>
      </c>
      <c r="C34" s="388">
        <v>31.1</v>
      </c>
      <c r="D34" s="388">
        <v>111.3</v>
      </c>
      <c r="E34" s="388">
        <v>79.5</v>
      </c>
      <c r="F34" s="388">
        <v>79.599999999999994</v>
      </c>
      <c r="G34" s="388">
        <v>102</v>
      </c>
      <c r="H34" s="388">
        <v>149.1</v>
      </c>
      <c r="I34" s="388">
        <v>250.4</v>
      </c>
      <c r="J34" s="388">
        <v>132.1</v>
      </c>
      <c r="K34" s="388">
        <v>181.4</v>
      </c>
      <c r="L34" s="388">
        <v>98.2</v>
      </c>
      <c r="M34" s="388">
        <v>66.5</v>
      </c>
      <c r="N34" s="389">
        <v>9.8000000000000007</v>
      </c>
      <c r="O34" s="390">
        <f t="shared" si="0"/>
        <v>1291</v>
      </c>
      <c r="P34" s="391">
        <f t="shared" si="1"/>
        <v>107.6</v>
      </c>
    </row>
    <row r="35" spans="2:16" ht="22.5" customHeight="1">
      <c r="B35" s="319" t="s">
        <v>36</v>
      </c>
      <c r="C35" s="392">
        <f>MAX(C5:C34)</f>
        <v>95.7</v>
      </c>
      <c r="D35" s="392">
        <f t="shared" ref="D35:N35" si="2">MAX(D5:D34)</f>
        <v>135.80000000000001</v>
      </c>
      <c r="E35" s="392">
        <f t="shared" si="2"/>
        <v>127.4</v>
      </c>
      <c r="F35" s="392">
        <f t="shared" si="2"/>
        <v>243.9</v>
      </c>
      <c r="G35" s="392">
        <f t="shared" si="2"/>
        <v>204.3</v>
      </c>
      <c r="H35" s="392">
        <f t="shared" si="2"/>
        <v>441.2</v>
      </c>
      <c r="I35" s="392">
        <f t="shared" si="2"/>
        <v>684.6</v>
      </c>
      <c r="J35" s="392">
        <f t="shared" si="2"/>
        <v>738.1</v>
      </c>
      <c r="K35" s="392">
        <f t="shared" si="2"/>
        <v>490.7</v>
      </c>
      <c r="L35" s="392">
        <f t="shared" si="2"/>
        <v>216.7</v>
      </c>
      <c r="M35" s="392">
        <f t="shared" si="2"/>
        <v>136.80000000000001</v>
      </c>
      <c r="N35" s="320">
        <f t="shared" si="2"/>
        <v>80.2</v>
      </c>
      <c r="O35" s="393">
        <f t="shared" ref="O35" si="3">MAX(O5:O34)</f>
        <v>2116.1</v>
      </c>
      <c r="P35" s="320">
        <f>MAX(P5:P34)</f>
        <v>176.3</v>
      </c>
    </row>
    <row r="36" spans="2:16" ht="22.5" customHeight="1">
      <c r="B36" s="252" t="s">
        <v>37</v>
      </c>
      <c r="C36" s="120">
        <f>ROUND(MIN(C5:C34),1)</f>
        <v>0.3</v>
      </c>
      <c r="D36" s="120">
        <f t="shared" ref="D36:N36" si="4">ROUND(MIN(D5:D34),1)</f>
        <v>2.7</v>
      </c>
      <c r="E36" s="120">
        <f t="shared" si="4"/>
        <v>15</v>
      </c>
      <c r="F36" s="120">
        <f t="shared" si="4"/>
        <v>16.3</v>
      </c>
      <c r="G36" s="120">
        <f t="shared" si="4"/>
        <v>0.4</v>
      </c>
      <c r="H36" s="120">
        <f t="shared" si="4"/>
        <v>42.1</v>
      </c>
      <c r="I36" s="120">
        <f t="shared" si="4"/>
        <v>84.5</v>
      </c>
      <c r="J36" s="120">
        <f t="shared" si="4"/>
        <v>64.8</v>
      </c>
      <c r="K36" s="120">
        <f t="shared" si="4"/>
        <v>13.5</v>
      </c>
      <c r="L36" s="120">
        <f t="shared" si="4"/>
        <v>3.4</v>
      </c>
      <c r="M36" s="120">
        <f t="shared" si="4"/>
        <v>2.1</v>
      </c>
      <c r="N36" s="246">
        <f t="shared" si="4"/>
        <v>2.2999999999999998</v>
      </c>
      <c r="O36" s="385">
        <f>ROUND(MIN(O5:O34),1)</f>
        <v>764.4</v>
      </c>
      <c r="P36" s="380">
        <f>ROUND(MIN(P5:P34),1)</f>
        <v>63.7</v>
      </c>
    </row>
    <row r="37" spans="2:16" ht="22.5" customHeight="1" thickBot="1">
      <c r="B37" s="240" t="s">
        <v>45</v>
      </c>
      <c r="C37" s="238">
        <f>ROUND(AVERAGE(C5:C34),1)</f>
        <v>32.299999999999997</v>
      </c>
      <c r="D37" s="238">
        <f t="shared" ref="D37:N37" si="5">ROUND(AVERAGE(D5:D34),1)</f>
        <v>43.3</v>
      </c>
      <c r="E37" s="238">
        <f t="shared" si="5"/>
        <v>63.8</v>
      </c>
      <c r="F37" s="238">
        <f t="shared" si="5"/>
        <v>84</v>
      </c>
      <c r="G37" s="238">
        <f t="shared" si="5"/>
        <v>94.5</v>
      </c>
      <c r="H37" s="238">
        <f t="shared" si="5"/>
        <v>165.3</v>
      </c>
      <c r="I37" s="238">
        <f t="shared" si="5"/>
        <v>302.8</v>
      </c>
      <c r="J37" s="238">
        <f t="shared" si="5"/>
        <v>322.5</v>
      </c>
      <c r="K37" s="238">
        <f t="shared" si="5"/>
        <v>148.69999999999999</v>
      </c>
      <c r="L37" s="238">
        <f t="shared" si="5"/>
        <v>59.4</v>
      </c>
      <c r="M37" s="238">
        <f t="shared" si="5"/>
        <v>53.4</v>
      </c>
      <c r="N37" s="241">
        <f t="shared" si="5"/>
        <v>35.799999999999997</v>
      </c>
      <c r="O37" s="386">
        <f>ROUND(AVERAGE(O5:O34),1)</f>
        <v>1405.8</v>
      </c>
      <c r="P37" s="383">
        <f>ROUND(AVERAGE(P5:P34),1)</f>
        <v>117.2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47.2</v>
      </c>
      <c r="D41" s="377">
        <f t="shared" si="6"/>
        <v>23.9</v>
      </c>
      <c r="E41" s="377">
        <f t="shared" si="6"/>
        <v>36.5</v>
      </c>
      <c r="F41" s="377">
        <f t="shared" si="6"/>
        <v>145.5</v>
      </c>
      <c r="G41" s="377">
        <f t="shared" si="6"/>
        <v>48.6</v>
      </c>
      <c r="H41" s="377">
        <f t="shared" si="6"/>
        <v>96.1</v>
      </c>
      <c r="I41" s="377">
        <f t="shared" si="6"/>
        <v>164.3</v>
      </c>
      <c r="J41" s="377">
        <f t="shared" si="6"/>
        <v>148.9</v>
      </c>
      <c r="K41" s="377">
        <f t="shared" si="6"/>
        <v>66.599999999999994</v>
      </c>
      <c r="L41" s="377">
        <f t="shared" si="6"/>
        <v>90.9</v>
      </c>
      <c r="M41" s="377">
        <f t="shared" si="6"/>
        <v>121.9</v>
      </c>
      <c r="N41" s="394">
        <f t="shared" si="6"/>
        <v>59.2</v>
      </c>
      <c r="O41" s="379">
        <f>ROUND(SUM(C41:N41),1)</f>
        <v>1049.5999999999999</v>
      </c>
      <c r="P41" s="380">
        <f>ROUND(O41/12,1)</f>
        <v>87.5</v>
      </c>
    </row>
    <row r="42" spans="2:16" ht="22.5" customHeight="1">
      <c r="B42" s="379">
        <f t="shared" ref="B42:N42" si="7">B26</f>
        <v>2016</v>
      </c>
      <c r="C42" s="377">
        <f t="shared" si="7"/>
        <v>49.7</v>
      </c>
      <c r="D42" s="377">
        <f t="shared" si="7"/>
        <v>45.2</v>
      </c>
      <c r="E42" s="377">
        <f t="shared" si="7"/>
        <v>55.2</v>
      </c>
      <c r="F42" s="377">
        <f t="shared" si="7"/>
        <v>185</v>
      </c>
      <c r="G42" s="377">
        <f t="shared" si="7"/>
        <v>104.5</v>
      </c>
      <c r="H42" s="377">
        <f t="shared" si="7"/>
        <v>116.1</v>
      </c>
      <c r="I42" s="377">
        <f t="shared" si="7"/>
        <v>301.3</v>
      </c>
      <c r="J42" s="377">
        <f t="shared" si="7"/>
        <v>81</v>
      </c>
      <c r="K42" s="377">
        <f t="shared" si="7"/>
        <v>251.2</v>
      </c>
      <c r="L42" s="377">
        <f t="shared" si="7"/>
        <v>216.7</v>
      </c>
      <c r="M42" s="377">
        <f t="shared" si="7"/>
        <v>31.5</v>
      </c>
      <c r="N42" s="394">
        <f t="shared" si="7"/>
        <v>44.9</v>
      </c>
      <c r="O42" s="379">
        <f t="shared" ref="O42:O50" si="8">ROUND(SUM(C42:N42),1)</f>
        <v>1482.3</v>
      </c>
      <c r="P42" s="380">
        <f t="shared" ref="P42:P50" si="9">ROUND(O42/12,1)</f>
        <v>123.5</v>
      </c>
    </row>
    <row r="43" spans="2:16" ht="22.5" customHeight="1">
      <c r="B43" s="379">
        <f t="shared" ref="B43:N43" si="10">B27</f>
        <v>2017</v>
      </c>
      <c r="C43" s="377">
        <f t="shared" si="10"/>
        <v>11.7</v>
      </c>
      <c r="D43" s="377">
        <f t="shared" si="10"/>
        <v>41.9</v>
      </c>
      <c r="E43" s="377">
        <f t="shared" si="10"/>
        <v>33.200000000000003</v>
      </c>
      <c r="F43" s="377">
        <f t="shared" si="10"/>
        <v>60.6</v>
      </c>
      <c r="G43" s="377">
        <f t="shared" si="10"/>
        <v>30.2</v>
      </c>
      <c r="H43" s="377">
        <f t="shared" si="10"/>
        <v>42.1</v>
      </c>
      <c r="I43" s="377">
        <f t="shared" si="10"/>
        <v>211.6</v>
      </c>
      <c r="J43" s="377">
        <f t="shared" si="10"/>
        <v>280.5</v>
      </c>
      <c r="K43" s="377">
        <f t="shared" si="10"/>
        <v>108.8</v>
      </c>
      <c r="L43" s="377">
        <f t="shared" si="10"/>
        <v>85.4</v>
      </c>
      <c r="M43" s="377">
        <f t="shared" si="10"/>
        <v>2.1</v>
      </c>
      <c r="N43" s="394">
        <f t="shared" si="10"/>
        <v>28.5</v>
      </c>
      <c r="O43" s="379">
        <f t="shared" si="8"/>
        <v>936.6</v>
      </c>
      <c r="P43" s="380">
        <f t="shared" si="9"/>
        <v>78.099999999999994</v>
      </c>
    </row>
    <row r="44" spans="2:16" ht="22.5" customHeight="1">
      <c r="B44" s="379">
        <f t="shared" ref="B44:N44" si="11">B28</f>
        <v>2018</v>
      </c>
      <c r="C44" s="377">
        <f t="shared" si="11"/>
        <v>38.799999999999997</v>
      </c>
      <c r="D44" s="377">
        <f t="shared" si="11"/>
        <v>22</v>
      </c>
      <c r="E44" s="377">
        <f t="shared" si="11"/>
        <v>115.8</v>
      </c>
      <c r="F44" s="377">
        <f t="shared" si="11"/>
        <v>127.4</v>
      </c>
      <c r="G44" s="377">
        <f t="shared" si="11"/>
        <v>85.4</v>
      </c>
      <c r="H44" s="377">
        <f t="shared" si="11"/>
        <v>222.4</v>
      </c>
      <c r="I44" s="377">
        <f t="shared" si="11"/>
        <v>84.5</v>
      </c>
      <c r="J44" s="377">
        <f t="shared" si="11"/>
        <v>397.1</v>
      </c>
      <c r="K44" s="377">
        <f t="shared" si="11"/>
        <v>129.69999999999999</v>
      </c>
      <c r="L44" s="377">
        <f t="shared" si="11"/>
        <v>125.2</v>
      </c>
      <c r="M44" s="377">
        <f t="shared" si="11"/>
        <v>47.2</v>
      </c>
      <c r="N44" s="394">
        <f t="shared" si="11"/>
        <v>32.4</v>
      </c>
      <c r="O44" s="379">
        <f t="shared" si="8"/>
        <v>1427.9</v>
      </c>
      <c r="P44" s="380">
        <f t="shared" si="9"/>
        <v>119</v>
      </c>
    </row>
    <row r="45" spans="2:16" ht="22.5" customHeight="1">
      <c r="B45" s="379">
        <f t="shared" ref="B45:N45" si="12">B29</f>
        <v>2019</v>
      </c>
      <c r="C45" s="377">
        <f t="shared" si="12"/>
        <v>16.399999999999999</v>
      </c>
      <c r="D45" s="377">
        <f t="shared" si="12"/>
        <v>37</v>
      </c>
      <c r="E45" s="377">
        <f t="shared" si="12"/>
        <v>33.9</v>
      </c>
      <c r="F45" s="377">
        <f t="shared" si="12"/>
        <v>84.7</v>
      </c>
      <c r="G45" s="377">
        <f t="shared" si="12"/>
        <v>78.8</v>
      </c>
      <c r="H45" s="377">
        <f t="shared" si="12"/>
        <v>158</v>
      </c>
      <c r="I45" s="377">
        <f t="shared" si="12"/>
        <v>242.2</v>
      </c>
      <c r="J45" s="377">
        <f t="shared" si="12"/>
        <v>64.8</v>
      </c>
      <c r="K45" s="377">
        <f t="shared" si="12"/>
        <v>165.8</v>
      </c>
      <c r="L45" s="377">
        <f t="shared" si="12"/>
        <v>149.9</v>
      </c>
      <c r="M45" s="377">
        <f t="shared" si="12"/>
        <v>22.8</v>
      </c>
      <c r="N45" s="394">
        <f t="shared" si="12"/>
        <v>31.6</v>
      </c>
      <c r="O45" s="379">
        <f t="shared" si="8"/>
        <v>1085.9000000000001</v>
      </c>
      <c r="P45" s="380">
        <f t="shared" si="9"/>
        <v>90.5</v>
      </c>
    </row>
    <row r="46" spans="2:16" ht="22.5" customHeight="1">
      <c r="B46" s="379">
        <f t="shared" ref="B46:N46" si="13">B30</f>
        <v>2020</v>
      </c>
      <c r="C46" s="377">
        <f t="shared" si="13"/>
        <v>74.900000000000006</v>
      </c>
      <c r="D46" s="377">
        <f t="shared" si="13"/>
        <v>47.8</v>
      </c>
      <c r="E46" s="377">
        <f t="shared" si="13"/>
        <v>43.5</v>
      </c>
      <c r="F46" s="377">
        <f t="shared" si="13"/>
        <v>55.3</v>
      </c>
      <c r="G46" s="377">
        <f t="shared" si="13"/>
        <v>96.8</v>
      </c>
      <c r="H46" s="377">
        <f t="shared" si="13"/>
        <v>199.9</v>
      </c>
      <c r="I46" s="377">
        <f t="shared" si="13"/>
        <v>533.29999999999995</v>
      </c>
      <c r="J46" s="377">
        <f t="shared" si="13"/>
        <v>738.1</v>
      </c>
      <c r="K46" s="377">
        <f t="shared" si="13"/>
        <v>178.3</v>
      </c>
      <c r="L46" s="377">
        <f t="shared" si="13"/>
        <v>12.1</v>
      </c>
      <c r="M46" s="377">
        <f t="shared" si="13"/>
        <v>28.3</v>
      </c>
      <c r="N46" s="394">
        <f t="shared" si="13"/>
        <v>18.7</v>
      </c>
      <c r="O46" s="379">
        <f t="shared" si="8"/>
        <v>2027</v>
      </c>
      <c r="P46" s="380">
        <f t="shared" si="9"/>
        <v>168.9</v>
      </c>
    </row>
    <row r="47" spans="2:16" ht="22.5" customHeight="1">
      <c r="B47" s="379">
        <f t="shared" ref="B47:N47" si="14">B31</f>
        <v>2021</v>
      </c>
      <c r="C47" s="377">
        <f t="shared" si="14"/>
        <v>33</v>
      </c>
      <c r="D47" s="377">
        <f t="shared" si="14"/>
        <v>31.1</v>
      </c>
      <c r="E47" s="377">
        <f t="shared" si="14"/>
        <v>122.4</v>
      </c>
      <c r="F47" s="377">
        <f t="shared" si="14"/>
        <v>34.200000000000003</v>
      </c>
      <c r="G47" s="377">
        <f t="shared" si="14"/>
        <v>139.4</v>
      </c>
      <c r="H47" s="377">
        <f t="shared" si="14"/>
        <v>118.1</v>
      </c>
      <c r="I47" s="377">
        <f t="shared" si="14"/>
        <v>227.6</v>
      </c>
      <c r="J47" s="377">
        <f t="shared" si="14"/>
        <v>338.7</v>
      </c>
      <c r="K47" s="377">
        <f t="shared" si="14"/>
        <v>131.1</v>
      </c>
      <c r="L47" s="377">
        <f t="shared" si="14"/>
        <v>35.299999999999997</v>
      </c>
      <c r="M47" s="377">
        <f t="shared" si="14"/>
        <v>85.8</v>
      </c>
      <c r="N47" s="394">
        <f t="shared" si="14"/>
        <v>7.1</v>
      </c>
      <c r="O47" s="379">
        <f t="shared" si="8"/>
        <v>1303.8</v>
      </c>
      <c r="P47" s="380">
        <f t="shared" si="9"/>
        <v>108.7</v>
      </c>
    </row>
    <row r="48" spans="2:16" ht="22.5" customHeight="1">
      <c r="B48" s="379">
        <f t="shared" ref="B48:N48" si="15">B32</f>
        <v>2022</v>
      </c>
      <c r="C48" s="377">
        <f t="shared" si="15"/>
        <v>0.3</v>
      </c>
      <c r="D48" s="377">
        <f t="shared" si="15"/>
        <v>2.7</v>
      </c>
      <c r="E48" s="377">
        <f t="shared" si="15"/>
        <v>105.2</v>
      </c>
      <c r="F48" s="377">
        <f t="shared" si="15"/>
        <v>49.4</v>
      </c>
      <c r="G48" s="377">
        <f t="shared" si="15"/>
        <v>0.4</v>
      </c>
      <c r="H48" s="377">
        <f t="shared" si="15"/>
        <v>131.69999999999999</v>
      </c>
      <c r="I48" s="377">
        <f t="shared" si="15"/>
        <v>169</v>
      </c>
      <c r="J48" s="377">
        <f t="shared" si="15"/>
        <v>106.4</v>
      </c>
      <c r="K48" s="377">
        <f t="shared" si="15"/>
        <v>89.2</v>
      </c>
      <c r="L48" s="377">
        <f t="shared" si="15"/>
        <v>38.299999999999997</v>
      </c>
      <c r="M48" s="377">
        <f t="shared" si="15"/>
        <v>46.7</v>
      </c>
      <c r="N48" s="394">
        <f t="shared" si="15"/>
        <v>30.6</v>
      </c>
      <c r="O48" s="379">
        <f t="shared" si="8"/>
        <v>769.9</v>
      </c>
      <c r="P48" s="380">
        <f t="shared" si="9"/>
        <v>64.2</v>
      </c>
    </row>
    <row r="49" spans="2:16" ht="22.5" customHeight="1">
      <c r="B49" s="379">
        <f t="shared" ref="B49:N49" si="16">B33</f>
        <v>2023</v>
      </c>
      <c r="C49" s="377">
        <f t="shared" si="16"/>
        <v>26.8</v>
      </c>
      <c r="D49" s="377">
        <f t="shared" si="16"/>
        <v>14.8</v>
      </c>
      <c r="E49" s="377">
        <f t="shared" si="16"/>
        <v>34.799999999999997</v>
      </c>
      <c r="F49" s="377">
        <f t="shared" si="16"/>
        <v>66.5</v>
      </c>
      <c r="G49" s="377">
        <f t="shared" si="16"/>
        <v>190.1</v>
      </c>
      <c r="H49" s="377">
        <f t="shared" si="16"/>
        <v>441.2</v>
      </c>
      <c r="I49" s="377">
        <f t="shared" si="16"/>
        <v>684.6</v>
      </c>
      <c r="J49" s="377">
        <f t="shared" si="16"/>
        <v>341.2</v>
      </c>
      <c r="K49" s="377">
        <f t="shared" si="16"/>
        <v>152.5</v>
      </c>
      <c r="L49" s="377">
        <f t="shared" si="16"/>
        <v>11.5</v>
      </c>
      <c r="M49" s="377">
        <f t="shared" si="16"/>
        <v>71.900000000000006</v>
      </c>
      <c r="N49" s="394">
        <f t="shared" si="16"/>
        <v>80.2</v>
      </c>
      <c r="O49" s="379">
        <f t="shared" si="8"/>
        <v>2116.1</v>
      </c>
      <c r="P49" s="380">
        <f t="shared" si="9"/>
        <v>176.3</v>
      </c>
    </row>
    <row r="50" spans="2:16" ht="22.5" customHeight="1" thickBot="1">
      <c r="B50" s="397">
        <f t="shared" ref="B50:N50" si="17">B34</f>
        <v>2024</v>
      </c>
      <c r="C50" s="388">
        <f t="shared" si="17"/>
        <v>31.1</v>
      </c>
      <c r="D50" s="388">
        <f t="shared" si="17"/>
        <v>111.3</v>
      </c>
      <c r="E50" s="388">
        <f>E34</f>
        <v>79.5</v>
      </c>
      <c r="F50" s="388">
        <f t="shared" si="17"/>
        <v>79.599999999999994</v>
      </c>
      <c r="G50" s="388">
        <f t="shared" si="17"/>
        <v>102</v>
      </c>
      <c r="H50" s="388">
        <f t="shared" si="17"/>
        <v>149.1</v>
      </c>
      <c r="I50" s="388">
        <f t="shared" si="17"/>
        <v>250.4</v>
      </c>
      <c r="J50" s="388">
        <f t="shared" si="17"/>
        <v>132.1</v>
      </c>
      <c r="K50" s="388">
        <f t="shared" si="17"/>
        <v>181.4</v>
      </c>
      <c r="L50" s="388">
        <f t="shared" si="17"/>
        <v>98.2</v>
      </c>
      <c r="M50" s="388">
        <f t="shared" si="17"/>
        <v>66.5</v>
      </c>
      <c r="N50" s="398">
        <f t="shared" si="17"/>
        <v>9.8000000000000007</v>
      </c>
      <c r="O50" s="397">
        <f t="shared" si="8"/>
        <v>1291</v>
      </c>
      <c r="P50" s="389">
        <f t="shared" si="9"/>
        <v>107.6</v>
      </c>
    </row>
    <row r="51" spans="2:16" ht="22.5" customHeight="1">
      <c r="B51" s="399" t="s">
        <v>46</v>
      </c>
      <c r="C51" s="400">
        <f>MAX(C41:C50)</f>
        <v>74.900000000000006</v>
      </c>
      <c r="D51" s="400">
        <f t="shared" ref="D51:P51" si="18">MAX(D41:D50)</f>
        <v>111.3</v>
      </c>
      <c r="E51" s="400">
        <f t="shared" si="18"/>
        <v>122.4</v>
      </c>
      <c r="F51" s="400">
        <f t="shared" si="18"/>
        <v>185</v>
      </c>
      <c r="G51" s="400">
        <f t="shared" si="18"/>
        <v>190.1</v>
      </c>
      <c r="H51" s="400">
        <f t="shared" si="18"/>
        <v>441.2</v>
      </c>
      <c r="I51" s="400">
        <f t="shared" si="18"/>
        <v>684.6</v>
      </c>
      <c r="J51" s="400">
        <f t="shared" si="18"/>
        <v>738.1</v>
      </c>
      <c r="K51" s="400">
        <f t="shared" si="18"/>
        <v>251.2</v>
      </c>
      <c r="L51" s="400">
        <f t="shared" si="18"/>
        <v>216.7</v>
      </c>
      <c r="M51" s="400">
        <f t="shared" si="18"/>
        <v>121.9</v>
      </c>
      <c r="N51" s="401">
        <f t="shared" si="18"/>
        <v>80.2</v>
      </c>
      <c r="O51" s="399">
        <f t="shared" si="18"/>
        <v>2116.1</v>
      </c>
      <c r="P51" s="402">
        <f t="shared" si="18"/>
        <v>176.3</v>
      </c>
    </row>
    <row r="52" spans="2:16" ht="22.5" customHeight="1">
      <c r="B52" s="379" t="s">
        <v>47</v>
      </c>
      <c r="C52" s="377">
        <f>MIN(C41:C50)</f>
        <v>0.3</v>
      </c>
      <c r="D52" s="377">
        <f t="shared" ref="D52:P52" si="19">MIN(D41:D50)</f>
        <v>2.7</v>
      </c>
      <c r="E52" s="377">
        <f t="shared" si="19"/>
        <v>33.200000000000003</v>
      </c>
      <c r="F52" s="377">
        <f t="shared" si="19"/>
        <v>34.200000000000003</v>
      </c>
      <c r="G52" s="377">
        <f t="shared" si="19"/>
        <v>0.4</v>
      </c>
      <c r="H52" s="377">
        <f t="shared" si="19"/>
        <v>42.1</v>
      </c>
      <c r="I52" s="377">
        <f t="shared" si="19"/>
        <v>84.5</v>
      </c>
      <c r="J52" s="377">
        <f t="shared" si="19"/>
        <v>64.8</v>
      </c>
      <c r="K52" s="377">
        <f t="shared" si="19"/>
        <v>66.599999999999994</v>
      </c>
      <c r="L52" s="377">
        <f t="shared" si="19"/>
        <v>11.5</v>
      </c>
      <c r="M52" s="377">
        <f t="shared" si="19"/>
        <v>2.1</v>
      </c>
      <c r="N52" s="394">
        <f t="shared" si="19"/>
        <v>7.1</v>
      </c>
      <c r="O52" s="379">
        <f>MIN(O41:O50)</f>
        <v>769.9</v>
      </c>
      <c r="P52" s="380">
        <f t="shared" si="19"/>
        <v>64.2</v>
      </c>
    </row>
    <row r="53" spans="2:16" ht="22.5" customHeight="1" thickBot="1">
      <c r="B53" s="381" t="s">
        <v>30</v>
      </c>
      <c r="C53" s="382">
        <f>ROUND(AVERAGE(C41:C50),1)</f>
        <v>33</v>
      </c>
      <c r="D53" s="382">
        <f t="shared" ref="D53:N53" si="20">ROUND(AVERAGE(D41:D50),1)</f>
        <v>37.799999999999997</v>
      </c>
      <c r="E53" s="382">
        <f t="shared" si="20"/>
        <v>66</v>
      </c>
      <c r="F53" s="382">
        <f t="shared" si="20"/>
        <v>88.8</v>
      </c>
      <c r="G53" s="382">
        <f t="shared" si="20"/>
        <v>87.6</v>
      </c>
      <c r="H53" s="382">
        <f t="shared" si="20"/>
        <v>167.5</v>
      </c>
      <c r="I53" s="382">
        <f t="shared" si="20"/>
        <v>286.89999999999998</v>
      </c>
      <c r="J53" s="382">
        <f t="shared" si="20"/>
        <v>262.89999999999998</v>
      </c>
      <c r="K53" s="382">
        <f t="shared" si="20"/>
        <v>145.5</v>
      </c>
      <c r="L53" s="382">
        <f t="shared" si="20"/>
        <v>86.4</v>
      </c>
      <c r="M53" s="382">
        <f t="shared" si="20"/>
        <v>52.5</v>
      </c>
      <c r="N53" s="395">
        <f t="shared" si="20"/>
        <v>34.299999999999997</v>
      </c>
      <c r="O53" s="396">
        <f>ROUND(AVERAGE(O41:O50),1)</f>
        <v>1349</v>
      </c>
      <c r="P53" s="383">
        <f>ROUND(AVERAGE(P41:P50),1)</f>
        <v>112.4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abSelected="1" topLeftCell="A2" workbookViewId="0">
      <selection activeCell="U68" sqref="U68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42.3</v>
      </c>
      <c r="D3" s="349">
        <f>All!D5</f>
        <v>34.9</v>
      </c>
      <c r="E3" s="349">
        <f>All!E5</f>
        <v>28.1</v>
      </c>
      <c r="F3" s="349">
        <f>All!F5</f>
        <v>111.7</v>
      </c>
      <c r="G3" s="349">
        <f>All!G5</f>
        <v>75.5</v>
      </c>
      <c r="H3" s="349">
        <f>All!H5</f>
        <v>96.4</v>
      </c>
      <c r="I3" s="349">
        <f>All!I5</f>
        <v>110</v>
      </c>
      <c r="J3" s="349">
        <f>All!J5</f>
        <v>151.4</v>
      </c>
      <c r="K3" s="349">
        <f>All!K5</f>
        <v>40.5</v>
      </c>
      <c r="L3" s="349">
        <f>All!L5</f>
        <v>17.2</v>
      </c>
      <c r="M3" s="349">
        <f>All!M5</f>
        <v>35.1</v>
      </c>
      <c r="N3" s="349">
        <f>All!N5</f>
        <v>21.3</v>
      </c>
      <c r="O3" s="349">
        <f>All!O5</f>
        <v>764.4</v>
      </c>
      <c r="P3" s="351">
        <f>All!P5</f>
        <v>63.7</v>
      </c>
    </row>
    <row r="4" spans="2:16" hidden="1" outlineLevel="1">
      <c r="B4" s="350">
        <f>All!B6</f>
        <v>1996</v>
      </c>
      <c r="C4" s="349">
        <f>All!C6</f>
        <v>32.9</v>
      </c>
      <c r="D4" s="349">
        <f>All!D6</f>
        <v>11.8</v>
      </c>
      <c r="E4" s="349">
        <f>All!E6</f>
        <v>127.4</v>
      </c>
      <c r="F4" s="349">
        <f>All!F6</f>
        <v>38.4</v>
      </c>
      <c r="G4" s="349">
        <f>All!G6</f>
        <v>37.4</v>
      </c>
      <c r="H4" s="349">
        <f>All!H6</f>
        <v>302.89999999999998</v>
      </c>
      <c r="I4" s="349">
        <f>All!I6</f>
        <v>186.3</v>
      </c>
      <c r="J4" s="349">
        <f>All!J6</f>
        <v>261.7</v>
      </c>
      <c r="K4" s="349">
        <f>All!K6</f>
        <v>66.099999999999994</v>
      </c>
      <c r="L4" s="349">
        <f>All!L6</f>
        <v>60.7</v>
      </c>
      <c r="M4" s="349">
        <f>All!M6</f>
        <v>112.4</v>
      </c>
      <c r="N4" s="349">
        <f>All!N6</f>
        <v>30.8</v>
      </c>
      <c r="O4" s="349">
        <f>All!O6</f>
        <v>1268.8</v>
      </c>
      <c r="P4" s="351">
        <f>All!P6</f>
        <v>105.7</v>
      </c>
    </row>
    <row r="5" spans="2:16" hidden="1" outlineLevel="1">
      <c r="B5" s="350">
        <f>All!B7</f>
        <v>1997</v>
      </c>
      <c r="C5" s="349">
        <f>All!C7</f>
        <v>19.3</v>
      </c>
      <c r="D5" s="349">
        <f>All!D7</f>
        <v>43.6</v>
      </c>
      <c r="E5" s="349">
        <f>All!E7</f>
        <v>68.3</v>
      </c>
      <c r="F5" s="349">
        <f>All!F7</f>
        <v>82.1</v>
      </c>
      <c r="G5" s="349">
        <f>All!G7</f>
        <v>101.6</v>
      </c>
      <c r="H5" s="349">
        <f>All!H7</f>
        <v>177.2</v>
      </c>
      <c r="I5" s="349">
        <f>All!I7</f>
        <v>358.3</v>
      </c>
      <c r="J5" s="349">
        <f>All!J7</f>
        <v>381.9</v>
      </c>
      <c r="K5" s="349">
        <f>All!K7</f>
        <v>22.8</v>
      </c>
      <c r="L5" s="349">
        <f>All!L7</f>
        <v>14</v>
      </c>
      <c r="M5" s="349">
        <f>All!M7</f>
        <v>136.4</v>
      </c>
      <c r="N5" s="349">
        <f>All!N7</f>
        <v>73.7</v>
      </c>
      <c r="O5" s="349">
        <f>All!O7</f>
        <v>1479.2</v>
      </c>
      <c r="P5" s="351">
        <f>All!P7</f>
        <v>123.3</v>
      </c>
    </row>
    <row r="6" spans="2:16" hidden="1" outlineLevel="1">
      <c r="B6" s="350">
        <f>All!B8</f>
        <v>1998</v>
      </c>
      <c r="C6" s="349">
        <f>All!C8</f>
        <v>41.3</v>
      </c>
      <c r="D6" s="349">
        <f>All!D8</f>
        <v>44.4</v>
      </c>
      <c r="E6" s="349">
        <f>All!E8</f>
        <v>78.2</v>
      </c>
      <c r="F6" s="349">
        <f>All!F8</f>
        <v>124.2</v>
      </c>
      <c r="G6" s="349">
        <f>All!G8</f>
        <v>136.9</v>
      </c>
      <c r="H6" s="349">
        <f>All!H8</f>
        <v>369.6</v>
      </c>
      <c r="I6" s="349">
        <f>All!I8</f>
        <v>210.9</v>
      </c>
      <c r="J6" s="349">
        <f>All!J8</f>
        <v>531.20000000000005</v>
      </c>
      <c r="K6" s="349">
        <f>All!K8</f>
        <v>315.7</v>
      </c>
      <c r="L6" s="349">
        <f>All!L8</f>
        <v>57.4</v>
      </c>
      <c r="M6" s="349">
        <f>All!M8</f>
        <v>30.9</v>
      </c>
      <c r="N6" s="349">
        <f>All!N8</f>
        <v>2.2999999999999998</v>
      </c>
      <c r="O6" s="349">
        <f>All!O8</f>
        <v>1943</v>
      </c>
      <c r="P6" s="351">
        <f>All!P8</f>
        <v>161.9</v>
      </c>
    </row>
    <row r="7" spans="2:16" hidden="1" outlineLevel="1">
      <c r="B7" s="350">
        <f>All!B9</f>
        <v>1999</v>
      </c>
      <c r="C7" s="349">
        <f>All!C9</f>
        <v>41</v>
      </c>
      <c r="D7" s="349">
        <f>All!D9</f>
        <v>34.9</v>
      </c>
      <c r="E7" s="349">
        <f>All!E9</f>
        <v>111.9</v>
      </c>
      <c r="F7" s="349">
        <f>All!F9</f>
        <v>44.9</v>
      </c>
      <c r="G7" s="349">
        <f>All!G9</f>
        <v>106.9</v>
      </c>
      <c r="H7" s="349">
        <f>All!H9</f>
        <v>135.4</v>
      </c>
      <c r="I7" s="349">
        <f>All!I9</f>
        <v>220.7</v>
      </c>
      <c r="J7" s="349">
        <f>All!J9</f>
        <v>287.10000000000002</v>
      </c>
      <c r="K7" s="349">
        <f>All!K9</f>
        <v>281.7</v>
      </c>
      <c r="L7" s="349">
        <f>All!L9</f>
        <v>126.2</v>
      </c>
      <c r="M7" s="349">
        <f>All!M9</f>
        <v>22.1</v>
      </c>
      <c r="N7" s="349">
        <f>All!N9</f>
        <v>16.899999999999999</v>
      </c>
      <c r="O7" s="349">
        <f>All!O9</f>
        <v>1429.7</v>
      </c>
      <c r="P7" s="351">
        <f>All!P9</f>
        <v>119.1</v>
      </c>
    </row>
    <row r="8" spans="2:16" hidden="1" outlineLevel="1">
      <c r="B8" s="350">
        <f>All!B10</f>
        <v>2000</v>
      </c>
      <c r="C8" s="349">
        <f>All!C10</f>
        <v>33.700000000000003</v>
      </c>
      <c r="D8" s="349">
        <f>All!D10</f>
        <v>15.4</v>
      </c>
      <c r="E8" s="349">
        <f>All!E10</f>
        <v>19.899999999999999</v>
      </c>
      <c r="F8" s="349">
        <f>All!F10</f>
        <v>16.3</v>
      </c>
      <c r="G8" s="349">
        <f>All!G10</f>
        <v>47.7</v>
      </c>
      <c r="H8" s="349">
        <f>All!H10</f>
        <v>197.7</v>
      </c>
      <c r="I8" s="349">
        <f>All!I10</f>
        <v>321.39999999999998</v>
      </c>
      <c r="J8" s="349">
        <f>All!J10</f>
        <v>538.29999999999995</v>
      </c>
      <c r="K8" s="349">
        <f>All!K10</f>
        <v>228.7</v>
      </c>
      <c r="L8" s="349">
        <f>All!L10</f>
        <v>31.7</v>
      </c>
      <c r="M8" s="349">
        <f>All!M10</f>
        <v>53.8</v>
      </c>
      <c r="N8" s="349">
        <f>All!N10</f>
        <v>6.4</v>
      </c>
      <c r="O8" s="349">
        <f>All!O10</f>
        <v>1511</v>
      </c>
      <c r="P8" s="351">
        <f>All!P10</f>
        <v>125.9</v>
      </c>
    </row>
    <row r="9" spans="2:16" hidden="1" outlineLevel="1">
      <c r="B9" s="350">
        <f>All!B11</f>
        <v>2001</v>
      </c>
      <c r="C9" s="349">
        <f>All!C11</f>
        <v>50.4</v>
      </c>
      <c r="D9" s="349">
        <f>All!D11</f>
        <v>83.9</v>
      </c>
      <c r="E9" s="349">
        <f>All!E11</f>
        <v>26.9</v>
      </c>
      <c r="F9" s="349">
        <f>All!F11</f>
        <v>43.7</v>
      </c>
      <c r="G9" s="349">
        <f>All!G11</f>
        <v>21.4</v>
      </c>
      <c r="H9" s="349">
        <f>All!H11</f>
        <v>245.8</v>
      </c>
      <c r="I9" s="349">
        <f>All!I11</f>
        <v>270.8</v>
      </c>
      <c r="J9" s="349">
        <f>All!J11</f>
        <v>113.2</v>
      </c>
      <c r="K9" s="349">
        <f>All!K11</f>
        <v>135.30000000000001</v>
      </c>
      <c r="L9" s="349">
        <f>All!L11</f>
        <v>69.7</v>
      </c>
      <c r="M9" s="349">
        <f>All!M11</f>
        <v>15.3</v>
      </c>
      <c r="N9" s="349">
        <f>All!N11</f>
        <v>53.5</v>
      </c>
      <c r="O9" s="349">
        <f>All!O11</f>
        <v>1129.9000000000001</v>
      </c>
      <c r="P9" s="351">
        <f>All!P11</f>
        <v>94.2</v>
      </c>
    </row>
    <row r="10" spans="2:16" hidden="1" outlineLevel="1">
      <c r="B10" s="350">
        <f>All!B12</f>
        <v>2002</v>
      </c>
      <c r="C10" s="349">
        <f>All!C12</f>
        <v>95.7</v>
      </c>
      <c r="D10" s="349">
        <f>All!D12</f>
        <v>13.5</v>
      </c>
      <c r="E10" s="349">
        <f>All!E12</f>
        <v>46.5</v>
      </c>
      <c r="F10" s="349">
        <f>All!F12</f>
        <v>117.8</v>
      </c>
      <c r="G10" s="349">
        <f>All!G12</f>
        <v>100.5</v>
      </c>
      <c r="H10" s="349">
        <f>All!H12</f>
        <v>108.5</v>
      </c>
      <c r="I10" s="349">
        <f>All!I12</f>
        <v>180</v>
      </c>
      <c r="J10" s="349">
        <f>All!J12</f>
        <v>584</v>
      </c>
      <c r="K10" s="349">
        <f>All!K12</f>
        <v>109</v>
      </c>
      <c r="L10" s="349">
        <f>All!L12</f>
        <v>38.6</v>
      </c>
      <c r="M10" s="349">
        <f>All!M12</f>
        <v>34.1</v>
      </c>
      <c r="N10" s="349">
        <f>All!N12</f>
        <v>30.5</v>
      </c>
      <c r="O10" s="349">
        <f>All!O12</f>
        <v>1458.7</v>
      </c>
      <c r="P10" s="351">
        <f>All!P12</f>
        <v>121.6</v>
      </c>
    </row>
    <row r="11" spans="2:16" hidden="1" outlineLevel="1">
      <c r="B11" s="350">
        <f>All!B13</f>
        <v>2003</v>
      </c>
      <c r="C11" s="349">
        <f>All!C13</f>
        <v>45</v>
      </c>
      <c r="D11" s="349">
        <f>All!D13</f>
        <v>52.2</v>
      </c>
      <c r="E11" s="349">
        <f>All!E13</f>
        <v>70.599999999999994</v>
      </c>
      <c r="F11" s="349">
        <f>All!F13</f>
        <v>243.9</v>
      </c>
      <c r="G11" s="349">
        <f>All!G13</f>
        <v>141</v>
      </c>
      <c r="H11" s="349">
        <f>All!H13</f>
        <v>150.19999999999999</v>
      </c>
      <c r="I11" s="349">
        <f>All!I13</f>
        <v>564.9</v>
      </c>
      <c r="J11" s="349">
        <f>All!J13</f>
        <v>411</v>
      </c>
      <c r="K11" s="349">
        <f>All!K13</f>
        <v>206.3</v>
      </c>
      <c r="L11" s="349">
        <f>All!L13</f>
        <v>36.200000000000003</v>
      </c>
      <c r="M11" s="349">
        <f>All!M13</f>
        <v>38.4</v>
      </c>
      <c r="N11" s="349">
        <f>All!N13</f>
        <v>34.4</v>
      </c>
      <c r="O11" s="349">
        <f>All!O13</f>
        <v>1994.1</v>
      </c>
      <c r="P11" s="351">
        <f>All!P13</f>
        <v>166.2</v>
      </c>
    </row>
    <row r="12" spans="2:16" hidden="1" outlineLevel="1">
      <c r="B12" s="350">
        <f>All!B14</f>
        <v>2004</v>
      </c>
      <c r="C12" s="349">
        <f>All!C14</f>
        <v>14</v>
      </c>
      <c r="D12" s="349">
        <f>All!D14</f>
        <v>54</v>
      </c>
      <c r="E12" s="349">
        <f>All!E14</f>
        <v>38.4</v>
      </c>
      <c r="F12" s="349">
        <f>All!F14</f>
        <v>63.7</v>
      </c>
      <c r="G12" s="349">
        <f>All!G14</f>
        <v>101.1</v>
      </c>
      <c r="H12" s="349">
        <f>All!H14</f>
        <v>153.80000000000001</v>
      </c>
      <c r="I12" s="349">
        <f>All!I14</f>
        <v>409.5</v>
      </c>
      <c r="J12" s="349">
        <f>All!J14</f>
        <v>570.5</v>
      </c>
      <c r="K12" s="349">
        <f>All!K14</f>
        <v>242</v>
      </c>
      <c r="L12" s="349">
        <f>All!L14</f>
        <v>3.4</v>
      </c>
      <c r="M12" s="349">
        <f>All!M14</f>
        <v>63.1</v>
      </c>
      <c r="N12" s="349">
        <f>All!N14</f>
        <v>28.8</v>
      </c>
      <c r="O12" s="349">
        <f>All!O14</f>
        <v>1742.3</v>
      </c>
      <c r="P12" s="351">
        <f>All!P14</f>
        <v>145.19999999999999</v>
      </c>
    </row>
    <row r="13" spans="2:16" hidden="1" outlineLevel="1">
      <c r="B13" s="350">
        <f>All!B15</f>
        <v>2005</v>
      </c>
      <c r="C13" s="349">
        <f>All!C15</f>
        <v>10.6</v>
      </c>
      <c r="D13" s="349">
        <f>All!D15</f>
        <v>48.3</v>
      </c>
      <c r="E13" s="349">
        <f>All!E15</f>
        <v>66.7</v>
      </c>
      <c r="F13" s="349">
        <f>All!F15</f>
        <v>92.5</v>
      </c>
      <c r="G13" s="349">
        <f>All!G15</f>
        <v>74.099999999999994</v>
      </c>
      <c r="H13" s="349">
        <f>All!H15</f>
        <v>185</v>
      </c>
      <c r="I13" s="349">
        <f>All!I15</f>
        <v>273.8</v>
      </c>
      <c r="J13" s="349">
        <f>All!J15</f>
        <v>303.3</v>
      </c>
      <c r="K13" s="349">
        <f>All!K15</f>
        <v>108.5</v>
      </c>
      <c r="L13" s="349">
        <f>All!L15</f>
        <v>17.399999999999999</v>
      </c>
      <c r="M13" s="349">
        <f>All!M15</f>
        <v>42.8</v>
      </c>
      <c r="N13" s="349">
        <f>All!N15</f>
        <v>66.599999999999994</v>
      </c>
      <c r="O13" s="349">
        <f>All!O15</f>
        <v>1289.5999999999999</v>
      </c>
      <c r="P13" s="351">
        <f>All!P15</f>
        <v>107.5</v>
      </c>
    </row>
    <row r="14" spans="2:16" hidden="1" outlineLevel="1">
      <c r="B14" s="350">
        <f>All!B16</f>
        <v>2006</v>
      </c>
      <c r="C14" s="349">
        <f>All!C16</f>
        <v>16.100000000000001</v>
      </c>
      <c r="D14" s="349">
        <f>All!D16</f>
        <v>51.9</v>
      </c>
      <c r="E14" s="349">
        <f>All!E16</f>
        <v>15</v>
      </c>
      <c r="F14" s="349">
        <f>All!F16</f>
        <v>87.8</v>
      </c>
      <c r="G14" s="349">
        <f>All!G16</f>
        <v>204.3</v>
      </c>
      <c r="H14" s="349">
        <f>All!H16</f>
        <v>226.7</v>
      </c>
      <c r="I14" s="349">
        <f>All!I16</f>
        <v>478.3</v>
      </c>
      <c r="J14" s="349">
        <f>All!J16</f>
        <v>295.5</v>
      </c>
      <c r="K14" s="349">
        <f>All!K16</f>
        <v>46.8</v>
      </c>
      <c r="L14" s="349">
        <f>All!L16</f>
        <v>18.2</v>
      </c>
      <c r="M14" s="349">
        <f>All!M16</f>
        <v>41.7</v>
      </c>
      <c r="N14" s="349">
        <f>All!N16</f>
        <v>37.9</v>
      </c>
      <c r="O14" s="349">
        <f>All!O16</f>
        <v>1520.2</v>
      </c>
      <c r="P14" s="351">
        <f>All!P16</f>
        <v>126.7</v>
      </c>
    </row>
    <row r="15" spans="2:16" hidden="1" outlineLevel="1">
      <c r="B15" s="350">
        <f>All!B17</f>
        <v>2007</v>
      </c>
      <c r="C15" s="349">
        <f>All!C17</f>
        <v>12.1</v>
      </c>
      <c r="D15" s="349">
        <f>All!D17</f>
        <v>79.099999999999994</v>
      </c>
      <c r="E15" s="349">
        <f>All!E17</f>
        <v>100.3</v>
      </c>
      <c r="F15" s="349">
        <f>All!F17</f>
        <v>38.700000000000003</v>
      </c>
      <c r="G15" s="349">
        <f>All!G17</f>
        <v>116</v>
      </c>
      <c r="H15" s="349">
        <f>All!H17</f>
        <v>52</v>
      </c>
      <c r="I15" s="349">
        <f>All!I17</f>
        <v>232</v>
      </c>
      <c r="J15" s="349">
        <f>All!J17</f>
        <v>339.3</v>
      </c>
      <c r="K15" s="349">
        <f>All!K17</f>
        <v>490.7</v>
      </c>
      <c r="L15" s="349">
        <f>All!L17</f>
        <v>95.5</v>
      </c>
      <c r="M15" s="349">
        <f>All!M17</f>
        <v>3.3</v>
      </c>
      <c r="N15" s="349">
        <f>All!N17</f>
        <v>61.6</v>
      </c>
      <c r="O15" s="349">
        <f>All!O17</f>
        <v>1620.6</v>
      </c>
      <c r="P15" s="351">
        <f>All!P17</f>
        <v>135.1</v>
      </c>
    </row>
    <row r="16" spans="2:16" hidden="1" outlineLevel="1">
      <c r="B16" s="350">
        <f>All!B18</f>
        <v>2008</v>
      </c>
      <c r="C16" s="349">
        <f>All!C18</f>
        <v>56.9</v>
      </c>
      <c r="D16" s="349">
        <f>All!D18</f>
        <v>11.1</v>
      </c>
      <c r="E16" s="349">
        <f>All!E18</f>
        <v>36.700000000000003</v>
      </c>
      <c r="F16" s="349">
        <f>All!F18</f>
        <v>54.2</v>
      </c>
      <c r="G16" s="349">
        <f>All!G18</f>
        <v>150.6</v>
      </c>
      <c r="H16" s="349">
        <f>All!H18</f>
        <v>273.2</v>
      </c>
      <c r="I16" s="349">
        <f>All!I18</f>
        <v>139.19999999999999</v>
      </c>
      <c r="J16" s="349">
        <f>All!J18</f>
        <v>157.5</v>
      </c>
      <c r="K16" s="349">
        <f>All!K18</f>
        <v>58.9</v>
      </c>
      <c r="L16" s="349">
        <f>All!L18</f>
        <v>15.3</v>
      </c>
      <c r="M16" s="349">
        <f>All!M18</f>
        <v>39.1</v>
      </c>
      <c r="N16" s="349">
        <f>All!N18</f>
        <v>14.5</v>
      </c>
      <c r="O16" s="349">
        <f>All!O18</f>
        <v>1007.2</v>
      </c>
      <c r="P16" s="351">
        <f>All!P18</f>
        <v>83.9</v>
      </c>
    </row>
    <row r="17" spans="2:16" hidden="1" outlineLevel="1">
      <c r="B17" s="350">
        <f>All!B19</f>
        <v>2009</v>
      </c>
      <c r="C17" s="349">
        <f>All!C19</f>
        <v>36</v>
      </c>
      <c r="D17" s="349">
        <f>All!D19</f>
        <v>71.900000000000006</v>
      </c>
      <c r="E17" s="349">
        <f>All!E19</f>
        <v>42.1</v>
      </c>
      <c r="F17" s="349">
        <f>All!F19</f>
        <v>35.700000000000003</v>
      </c>
      <c r="G17" s="349">
        <f>All!G19</f>
        <v>114.9</v>
      </c>
      <c r="H17" s="349">
        <f>All!H19</f>
        <v>181.1</v>
      </c>
      <c r="I17" s="349">
        <f>All!I19</f>
        <v>607.4</v>
      </c>
      <c r="J17" s="349">
        <f>All!J19</f>
        <v>263.10000000000002</v>
      </c>
      <c r="K17" s="349">
        <f>All!K19</f>
        <v>22.6</v>
      </c>
      <c r="L17" s="349">
        <f>All!L19</f>
        <v>36.200000000000003</v>
      </c>
      <c r="M17" s="349">
        <f>All!M19</f>
        <v>26.7</v>
      </c>
      <c r="N17" s="349">
        <f>All!N19</f>
        <v>50.5</v>
      </c>
      <c r="O17" s="349">
        <f>All!O19</f>
        <v>1488.2</v>
      </c>
      <c r="P17" s="351">
        <f>All!P19</f>
        <v>124</v>
      </c>
    </row>
    <row r="18" spans="2:16" hidden="1" outlineLevel="1">
      <c r="B18" s="350">
        <f>All!B20</f>
        <v>2010</v>
      </c>
      <c r="C18" s="349">
        <f>All!C20</f>
        <v>37.1</v>
      </c>
      <c r="D18" s="349">
        <f>All!D20</f>
        <v>135.80000000000001</v>
      </c>
      <c r="E18" s="349">
        <f>All!E20</f>
        <v>76</v>
      </c>
      <c r="F18" s="349">
        <f>All!F20</f>
        <v>133</v>
      </c>
      <c r="G18" s="349">
        <f>All!G20</f>
        <v>99</v>
      </c>
      <c r="H18" s="349">
        <f>All!H20</f>
        <v>70.599999999999994</v>
      </c>
      <c r="I18" s="349">
        <f>All!I20</f>
        <v>453</v>
      </c>
      <c r="J18" s="349">
        <f>All!J20</f>
        <v>337.6</v>
      </c>
      <c r="K18" s="349">
        <f>All!K20</f>
        <v>139.69999999999999</v>
      </c>
      <c r="L18" s="349">
        <f>All!L20</f>
        <v>42</v>
      </c>
      <c r="M18" s="349">
        <f>All!M20</f>
        <v>7.4</v>
      </c>
      <c r="N18" s="349">
        <f>All!N20</f>
        <v>41.9</v>
      </c>
      <c r="O18" s="349">
        <f>All!O20</f>
        <v>1573.1</v>
      </c>
      <c r="P18" s="351">
        <f>All!P20</f>
        <v>131.1</v>
      </c>
    </row>
    <row r="19" spans="2:16" hidden="1" outlineLevel="1">
      <c r="B19" s="350">
        <f>All!B21</f>
        <v>2011</v>
      </c>
      <c r="C19" s="349">
        <f>All!C21</f>
        <v>7.4</v>
      </c>
      <c r="D19" s="349">
        <f>All!D21</f>
        <v>59.8</v>
      </c>
      <c r="E19" s="349">
        <f>All!E21</f>
        <v>23.1</v>
      </c>
      <c r="F19" s="349">
        <f>All!F21</f>
        <v>103</v>
      </c>
      <c r="G19" s="349">
        <f>All!G21</f>
        <v>142.9</v>
      </c>
      <c r="H19" s="349">
        <f>All!H21</f>
        <v>120</v>
      </c>
      <c r="I19" s="349">
        <f>All!I21</f>
        <v>277.5</v>
      </c>
      <c r="J19" s="349">
        <f>All!J21</f>
        <v>382.5</v>
      </c>
      <c r="K19" s="349">
        <f>All!K21</f>
        <v>13.5</v>
      </c>
      <c r="L19" s="349">
        <f>All!L21</f>
        <v>20.5</v>
      </c>
      <c r="M19" s="349">
        <f>All!M21</f>
        <v>136.80000000000001</v>
      </c>
      <c r="N19" s="349">
        <f>All!N21</f>
        <v>13.3</v>
      </c>
      <c r="O19" s="349">
        <f>All!O21</f>
        <v>1300.3</v>
      </c>
      <c r="P19" s="351">
        <f>All!P21</f>
        <v>108.4</v>
      </c>
    </row>
    <row r="20" spans="2:16" hidden="1" outlineLevel="1">
      <c r="B20" s="350">
        <f>All!B22</f>
        <v>2012</v>
      </c>
      <c r="C20" s="349">
        <f>All!C22</f>
        <v>15.2</v>
      </c>
      <c r="D20" s="349">
        <f>All!D22</f>
        <v>18.600000000000001</v>
      </c>
      <c r="E20" s="349">
        <f>All!E22</f>
        <v>100.4</v>
      </c>
      <c r="F20" s="349">
        <f>All!F22</f>
        <v>82.5</v>
      </c>
      <c r="G20" s="349">
        <f>All!G22</f>
        <v>42.6</v>
      </c>
      <c r="H20" s="349">
        <f>All!H22</f>
        <v>83.1</v>
      </c>
      <c r="I20" s="349">
        <f>All!I22</f>
        <v>330.6</v>
      </c>
      <c r="J20" s="349">
        <f>All!J22</f>
        <v>473.5</v>
      </c>
      <c r="K20" s="349">
        <f>All!K22</f>
        <v>272</v>
      </c>
      <c r="L20" s="349">
        <f>All!L22</f>
        <v>82.8</v>
      </c>
      <c r="M20" s="349">
        <f>All!M22</f>
        <v>45.9</v>
      </c>
      <c r="N20" s="349">
        <f>All!N22</f>
        <v>79.599999999999994</v>
      </c>
      <c r="O20" s="349">
        <f>All!O22</f>
        <v>1626.8</v>
      </c>
      <c r="P20" s="351">
        <f>All!P22</f>
        <v>135.6</v>
      </c>
    </row>
    <row r="21" spans="2:16" hidden="1" outlineLevel="1">
      <c r="B21" s="350">
        <f>All!B23</f>
        <v>2013</v>
      </c>
      <c r="C21" s="349">
        <f>All!C23</f>
        <v>20.6</v>
      </c>
      <c r="D21" s="349">
        <f>All!D23</f>
        <v>48</v>
      </c>
      <c r="E21" s="349">
        <f>All!E23</f>
        <v>76.900000000000006</v>
      </c>
      <c r="F21" s="349">
        <f>All!F23</f>
        <v>54.9</v>
      </c>
      <c r="G21" s="349">
        <f>All!G23</f>
        <v>86.5</v>
      </c>
      <c r="H21" s="349">
        <f>All!H23</f>
        <v>83.7</v>
      </c>
      <c r="I21" s="349">
        <f>All!I23</f>
        <v>349.1</v>
      </c>
      <c r="J21" s="349">
        <f>All!J23</f>
        <v>293.2</v>
      </c>
      <c r="K21" s="349">
        <f>All!K23</f>
        <v>88.5</v>
      </c>
      <c r="L21" s="349">
        <f>All!L23</f>
        <v>30.8</v>
      </c>
      <c r="M21" s="349">
        <f>All!M23</f>
        <v>95</v>
      </c>
      <c r="N21" s="349">
        <f>All!N23</f>
        <v>18.2</v>
      </c>
      <c r="O21" s="349">
        <f>All!O23</f>
        <v>1245.4000000000001</v>
      </c>
      <c r="P21" s="351">
        <f>All!P23</f>
        <v>103.8</v>
      </c>
    </row>
    <row r="22" spans="2:16" hidden="1" outlineLevel="1">
      <c r="B22" s="350">
        <f>All!B24</f>
        <v>2014</v>
      </c>
      <c r="C22" s="349">
        <f>All!C24</f>
        <v>12.9</v>
      </c>
      <c r="D22" s="349">
        <f>All!D24</f>
        <v>8.6</v>
      </c>
      <c r="E22" s="349">
        <f>All!E24</f>
        <v>101.7</v>
      </c>
      <c r="F22" s="349">
        <f>All!F24</f>
        <v>62.5</v>
      </c>
      <c r="G22" s="349">
        <f>All!G24</f>
        <v>57</v>
      </c>
      <c r="H22" s="349">
        <f>All!H24</f>
        <v>72</v>
      </c>
      <c r="I22" s="349">
        <f>All!I24</f>
        <v>240.9</v>
      </c>
      <c r="J22" s="349">
        <f>All!J24</f>
        <v>370.2</v>
      </c>
      <c r="K22" s="349">
        <f>All!K24</f>
        <v>116.5</v>
      </c>
      <c r="L22" s="349">
        <f>All!L24</f>
        <v>105</v>
      </c>
      <c r="M22" s="349">
        <f>All!M24</f>
        <v>95.5</v>
      </c>
      <c r="N22" s="349">
        <f>All!N24</f>
        <v>47.5</v>
      </c>
      <c r="O22" s="349">
        <f>All!O24</f>
        <v>1290.3</v>
      </c>
      <c r="P22" s="351">
        <f>All!P24</f>
        <v>107.5</v>
      </c>
    </row>
    <row r="23" spans="2:16" collapsed="1">
      <c r="B23" s="350">
        <f>All!B25</f>
        <v>2015</v>
      </c>
      <c r="C23" s="349">
        <f>All!C25</f>
        <v>47.2</v>
      </c>
      <c r="D23" s="349">
        <f>All!D25</f>
        <v>23.9</v>
      </c>
      <c r="E23" s="349">
        <f>All!E25</f>
        <v>36.5</v>
      </c>
      <c r="F23" s="349">
        <f>All!F25</f>
        <v>145.5</v>
      </c>
      <c r="G23" s="349">
        <f>All!G25</f>
        <v>48.6</v>
      </c>
      <c r="H23" s="349">
        <f>All!H25</f>
        <v>96.1</v>
      </c>
      <c r="I23" s="349">
        <f>All!I25</f>
        <v>164.3</v>
      </c>
      <c r="J23" s="349">
        <f>All!J25</f>
        <v>148.9</v>
      </c>
      <c r="K23" s="349">
        <f>All!K25</f>
        <v>66.599999999999994</v>
      </c>
      <c r="L23" s="349">
        <f>All!L25</f>
        <v>90.9</v>
      </c>
      <c r="M23" s="349">
        <f>All!M25</f>
        <v>121.9</v>
      </c>
      <c r="N23" s="349">
        <f>All!N25</f>
        <v>59.2</v>
      </c>
      <c r="O23" s="349">
        <f>All!O25</f>
        <v>1049.5999999999999</v>
      </c>
      <c r="P23" s="351">
        <f>All!P25</f>
        <v>87.5</v>
      </c>
    </row>
    <row r="24" spans="2:16">
      <c r="B24" s="350">
        <f>All!B26</f>
        <v>2016</v>
      </c>
      <c r="C24" s="349">
        <f>All!C26</f>
        <v>49.7</v>
      </c>
      <c r="D24" s="349">
        <f>All!D26</f>
        <v>45.2</v>
      </c>
      <c r="E24" s="349">
        <f>All!E26</f>
        <v>55.2</v>
      </c>
      <c r="F24" s="349">
        <f>All!F26</f>
        <v>185</v>
      </c>
      <c r="G24" s="349">
        <f>All!G26</f>
        <v>104.5</v>
      </c>
      <c r="H24" s="349">
        <f>All!H26</f>
        <v>116.1</v>
      </c>
      <c r="I24" s="349">
        <f>All!I26</f>
        <v>301.3</v>
      </c>
      <c r="J24" s="349">
        <f>All!J26</f>
        <v>81</v>
      </c>
      <c r="K24" s="349">
        <f>All!K26</f>
        <v>251.2</v>
      </c>
      <c r="L24" s="349">
        <f>All!L26</f>
        <v>216.7</v>
      </c>
      <c r="M24" s="349">
        <f>All!M26</f>
        <v>31.5</v>
      </c>
      <c r="N24" s="349">
        <f>All!N26</f>
        <v>44.9</v>
      </c>
      <c r="O24" s="349">
        <f>All!O26</f>
        <v>1482.3</v>
      </c>
      <c r="P24" s="351">
        <f>All!P26</f>
        <v>123.5</v>
      </c>
    </row>
    <row r="25" spans="2:16">
      <c r="B25" s="350">
        <f>All!B27</f>
        <v>2017</v>
      </c>
      <c r="C25" s="349">
        <f>All!C27</f>
        <v>11.7</v>
      </c>
      <c r="D25" s="349">
        <f>All!D27</f>
        <v>41.9</v>
      </c>
      <c r="E25" s="349">
        <f>All!E27</f>
        <v>33.200000000000003</v>
      </c>
      <c r="F25" s="349">
        <f>All!F27</f>
        <v>60.6</v>
      </c>
      <c r="G25" s="349">
        <f>All!G27</f>
        <v>30.2</v>
      </c>
      <c r="H25" s="349">
        <f>All!H27</f>
        <v>42.1</v>
      </c>
      <c r="I25" s="349">
        <f>All!I27</f>
        <v>211.6</v>
      </c>
      <c r="J25" s="349">
        <f>All!J27</f>
        <v>280.5</v>
      </c>
      <c r="K25" s="349">
        <f>All!K27</f>
        <v>108.8</v>
      </c>
      <c r="L25" s="349">
        <f>All!L27</f>
        <v>85.4</v>
      </c>
      <c r="M25" s="349">
        <f>All!M27</f>
        <v>2.1</v>
      </c>
      <c r="N25" s="349">
        <f>All!N27</f>
        <v>28.5</v>
      </c>
      <c r="O25" s="349">
        <f>All!O27</f>
        <v>936.6</v>
      </c>
      <c r="P25" s="351">
        <f>All!P27</f>
        <v>78.099999999999994</v>
      </c>
    </row>
    <row r="26" spans="2:16">
      <c r="B26" s="350">
        <f>All!B28</f>
        <v>2018</v>
      </c>
      <c r="C26" s="349">
        <f>All!C28</f>
        <v>38.799999999999997</v>
      </c>
      <c r="D26" s="349">
        <f>All!D28</f>
        <v>22</v>
      </c>
      <c r="E26" s="349">
        <f>All!E28</f>
        <v>115.8</v>
      </c>
      <c r="F26" s="349">
        <f>All!F28</f>
        <v>127.4</v>
      </c>
      <c r="G26" s="349">
        <f>All!G28</f>
        <v>85.4</v>
      </c>
      <c r="H26" s="349">
        <f>All!H28</f>
        <v>222.4</v>
      </c>
      <c r="I26" s="349">
        <f>All!I28</f>
        <v>84.5</v>
      </c>
      <c r="J26" s="349">
        <f>All!J28</f>
        <v>397.1</v>
      </c>
      <c r="K26" s="349">
        <f>All!K28</f>
        <v>129.69999999999999</v>
      </c>
      <c r="L26" s="349">
        <f>All!L28</f>
        <v>125.2</v>
      </c>
      <c r="M26" s="349">
        <f>All!M28</f>
        <v>47.2</v>
      </c>
      <c r="N26" s="349">
        <f>All!N28</f>
        <v>32.4</v>
      </c>
      <c r="O26" s="349">
        <f>All!O28</f>
        <v>1427.9</v>
      </c>
      <c r="P26" s="351">
        <f>All!P28</f>
        <v>119</v>
      </c>
    </row>
    <row r="27" spans="2:16">
      <c r="B27" s="350">
        <f>All!B29</f>
        <v>2019</v>
      </c>
      <c r="C27" s="349">
        <f>All!C29</f>
        <v>16.399999999999999</v>
      </c>
      <c r="D27" s="349">
        <f>All!D29</f>
        <v>37</v>
      </c>
      <c r="E27" s="349">
        <f>All!E29</f>
        <v>33.9</v>
      </c>
      <c r="F27" s="349">
        <f>All!F29</f>
        <v>84.7</v>
      </c>
      <c r="G27" s="349">
        <f>All!G29</f>
        <v>78.8</v>
      </c>
      <c r="H27" s="349">
        <f>All!H29</f>
        <v>158</v>
      </c>
      <c r="I27" s="349">
        <f>All!I29</f>
        <v>242.2</v>
      </c>
      <c r="J27" s="349">
        <f>All!J29</f>
        <v>64.8</v>
      </c>
      <c r="K27" s="349">
        <f>All!K29</f>
        <v>165.8</v>
      </c>
      <c r="L27" s="349">
        <f>All!L29</f>
        <v>149.9</v>
      </c>
      <c r="M27" s="349">
        <f>All!M29</f>
        <v>22.8</v>
      </c>
      <c r="N27" s="349">
        <f>All!N29</f>
        <v>31.6</v>
      </c>
      <c r="O27" s="349">
        <f>All!O29</f>
        <v>1085.9000000000001</v>
      </c>
      <c r="P27" s="351">
        <f>All!P29</f>
        <v>90.5</v>
      </c>
    </row>
    <row r="28" spans="2:16">
      <c r="B28" s="350">
        <f>All!B30</f>
        <v>2020</v>
      </c>
      <c r="C28" s="349">
        <f>All!C30</f>
        <v>74.900000000000006</v>
      </c>
      <c r="D28" s="349">
        <f>All!D30</f>
        <v>47.8</v>
      </c>
      <c r="E28" s="349">
        <f>All!E30</f>
        <v>43.5</v>
      </c>
      <c r="F28" s="349">
        <f>All!F30</f>
        <v>55.3</v>
      </c>
      <c r="G28" s="349">
        <f>All!G30</f>
        <v>96.8</v>
      </c>
      <c r="H28" s="349">
        <f>All!H30</f>
        <v>199.9</v>
      </c>
      <c r="I28" s="349">
        <f>All!I30</f>
        <v>533.29999999999995</v>
      </c>
      <c r="J28" s="349">
        <f>All!J30</f>
        <v>738.1</v>
      </c>
      <c r="K28" s="349">
        <f>All!K30</f>
        <v>178.3</v>
      </c>
      <c r="L28" s="349">
        <f>All!L30</f>
        <v>12.1</v>
      </c>
      <c r="M28" s="349">
        <f>All!M30</f>
        <v>28.3</v>
      </c>
      <c r="N28" s="349">
        <f>All!N30</f>
        <v>18.7</v>
      </c>
      <c r="O28" s="349">
        <f>All!O30</f>
        <v>2027</v>
      </c>
      <c r="P28" s="351">
        <f>All!P30</f>
        <v>168.9</v>
      </c>
    </row>
    <row r="29" spans="2:16">
      <c r="B29" s="350">
        <f>All!B31</f>
        <v>2021</v>
      </c>
      <c r="C29" s="349">
        <f>All!C31</f>
        <v>33</v>
      </c>
      <c r="D29" s="349">
        <f>All!D31</f>
        <v>31.1</v>
      </c>
      <c r="E29" s="349">
        <f>All!E31</f>
        <v>122.4</v>
      </c>
      <c r="F29" s="349">
        <f>All!F31</f>
        <v>34.200000000000003</v>
      </c>
      <c r="G29" s="349">
        <f>All!G31</f>
        <v>139.4</v>
      </c>
      <c r="H29" s="349">
        <f>All!H31</f>
        <v>118.1</v>
      </c>
      <c r="I29" s="349">
        <f>All!I31</f>
        <v>227.6</v>
      </c>
      <c r="J29" s="349">
        <f>All!J31</f>
        <v>338.7</v>
      </c>
      <c r="K29" s="349">
        <f>All!K31</f>
        <v>131.1</v>
      </c>
      <c r="L29" s="349">
        <f>All!L31</f>
        <v>35.299999999999997</v>
      </c>
      <c r="M29" s="349">
        <f>All!M31</f>
        <v>85.8</v>
      </c>
      <c r="N29" s="349">
        <f>All!N31</f>
        <v>7.1</v>
      </c>
      <c r="O29" s="349">
        <f>All!O31</f>
        <v>1303.8</v>
      </c>
      <c r="P29" s="351">
        <f>All!P31</f>
        <v>108.7</v>
      </c>
    </row>
    <row r="30" spans="2:16">
      <c r="B30" s="350">
        <f>All!B32</f>
        <v>2022</v>
      </c>
      <c r="C30" s="349">
        <f>All!C32</f>
        <v>0.3</v>
      </c>
      <c r="D30" s="349">
        <f>All!D32</f>
        <v>2.7</v>
      </c>
      <c r="E30" s="349">
        <f>All!E32</f>
        <v>105.2</v>
      </c>
      <c r="F30" s="349">
        <f>All!F32</f>
        <v>49.4</v>
      </c>
      <c r="G30" s="349">
        <f>All!G32</f>
        <v>0.4</v>
      </c>
      <c r="H30" s="349">
        <f>All!H32</f>
        <v>131.69999999999999</v>
      </c>
      <c r="I30" s="349">
        <f>All!I32</f>
        <v>169</v>
      </c>
      <c r="J30" s="349">
        <f>All!J32</f>
        <v>106.4</v>
      </c>
      <c r="K30" s="349">
        <f>All!K32</f>
        <v>89.2</v>
      </c>
      <c r="L30" s="349">
        <f>All!L32</f>
        <v>38.299999999999997</v>
      </c>
      <c r="M30" s="349">
        <f>All!M32</f>
        <v>46.7</v>
      </c>
      <c r="N30" s="349">
        <f>All!N32</f>
        <v>30.6</v>
      </c>
      <c r="O30" s="349">
        <f>All!O32</f>
        <v>769.9</v>
      </c>
      <c r="P30" s="351">
        <f>All!P32</f>
        <v>64.2</v>
      </c>
    </row>
    <row r="31" spans="2:16">
      <c r="B31" s="350">
        <f>All!B33</f>
        <v>2023</v>
      </c>
      <c r="C31" s="349">
        <f>All!C33</f>
        <v>26.8</v>
      </c>
      <c r="D31" s="349">
        <f>All!D33</f>
        <v>14.8</v>
      </c>
      <c r="E31" s="349">
        <f>All!E33</f>
        <v>34.799999999999997</v>
      </c>
      <c r="F31" s="349">
        <f>All!F33</f>
        <v>66.5</v>
      </c>
      <c r="G31" s="349">
        <f>All!G33</f>
        <v>190.1</v>
      </c>
      <c r="H31" s="349">
        <f>All!H33</f>
        <v>441.2</v>
      </c>
      <c r="I31" s="349">
        <f>All!I33</f>
        <v>684.6</v>
      </c>
      <c r="J31" s="349">
        <f>All!J33</f>
        <v>341.2</v>
      </c>
      <c r="K31" s="349">
        <f>All!K33</f>
        <v>152.5</v>
      </c>
      <c r="L31" s="349">
        <f>All!L33</f>
        <v>11.5</v>
      </c>
      <c r="M31" s="349">
        <f>All!M33</f>
        <v>71.900000000000006</v>
      </c>
      <c r="N31" s="349">
        <f>All!N33</f>
        <v>80.2</v>
      </c>
      <c r="O31" s="349">
        <f>All!O33</f>
        <v>2116.1</v>
      </c>
      <c r="P31" s="351">
        <f>All!P33</f>
        <v>176.3</v>
      </c>
    </row>
    <row r="32" spans="2:16">
      <c r="B32" s="350">
        <f>All!B34</f>
        <v>2024</v>
      </c>
      <c r="C32" s="349">
        <f>All!C34</f>
        <v>31.1</v>
      </c>
      <c r="D32" s="349">
        <f>All!D34</f>
        <v>111.3</v>
      </c>
      <c r="E32" s="349">
        <f>All!E34</f>
        <v>79.5</v>
      </c>
      <c r="F32" s="349">
        <f>All!F34</f>
        <v>79.599999999999994</v>
      </c>
      <c r="G32" s="349">
        <f>All!G34</f>
        <v>102</v>
      </c>
      <c r="H32" s="349">
        <f>All!H34</f>
        <v>149.1</v>
      </c>
      <c r="I32" s="349">
        <f>All!I34</f>
        <v>250.4</v>
      </c>
      <c r="J32" s="349">
        <f>All!J34</f>
        <v>132.1</v>
      </c>
      <c r="K32" s="349">
        <f>All!K34</f>
        <v>181.4</v>
      </c>
      <c r="L32" s="349">
        <f>All!L34</f>
        <v>98.2</v>
      </c>
      <c r="M32" s="349">
        <f>All!M34</f>
        <v>66.5</v>
      </c>
      <c r="N32" s="349">
        <f>All!N34</f>
        <v>9.8000000000000007</v>
      </c>
      <c r="O32" s="349">
        <f>All!O34</f>
        <v>1291</v>
      </c>
      <c r="P32" s="351">
        <f>All!P34</f>
        <v>107.6</v>
      </c>
    </row>
    <row r="33" spans="2:17">
      <c r="B33" s="525" t="s">
        <v>164</v>
      </c>
      <c r="C33" s="526">
        <f>ROUND(SUM(C23:C32)/10,1)</f>
        <v>33</v>
      </c>
      <c r="D33" s="526">
        <f t="shared" ref="D33:P33" si="0">ROUND(SUM(D23:D32)/10,1)</f>
        <v>37.799999999999997</v>
      </c>
      <c r="E33" s="526">
        <f t="shared" si="0"/>
        <v>66</v>
      </c>
      <c r="F33" s="526">
        <f t="shared" si="0"/>
        <v>88.8</v>
      </c>
      <c r="G33" s="526">
        <f t="shared" si="0"/>
        <v>87.6</v>
      </c>
      <c r="H33" s="526">
        <f t="shared" si="0"/>
        <v>167.5</v>
      </c>
      <c r="I33" s="526">
        <f t="shared" si="0"/>
        <v>286.89999999999998</v>
      </c>
      <c r="J33" s="526">
        <f t="shared" si="0"/>
        <v>262.89999999999998</v>
      </c>
      <c r="K33" s="526">
        <f t="shared" si="0"/>
        <v>145.5</v>
      </c>
      <c r="L33" s="526">
        <f t="shared" si="0"/>
        <v>86.4</v>
      </c>
      <c r="M33" s="526">
        <f t="shared" si="0"/>
        <v>52.5</v>
      </c>
      <c r="N33" s="526">
        <f t="shared" si="0"/>
        <v>34.299999999999997</v>
      </c>
      <c r="O33" s="526">
        <f t="shared" si="0"/>
        <v>1349</v>
      </c>
      <c r="P33" s="527">
        <f t="shared" si="0"/>
        <v>112.4</v>
      </c>
    </row>
    <row r="34" spans="2:17" ht="17.25" thickBot="1">
      <c r="B34" s="528" t="s">
        <v>163</v>
      </c>
      <c r="C34" s="529">
        <f>All!C37</f>
        <v>32.299999999999997</v>
      </c>
      <c r="D34" s="529">
        <f>All!D37</f>
        <v>43.3</v>
      </c>
      <c r="E34" s="529">
        <f>All!E37</f>
        <v>63.8</v>
      </c>
      <c r="F34" s="529">
        <f>All!F37</f>
        <v>84</v>
      </c>
      <c r="G34" s="529">
        <f>All!G37</f>
        <v>94.5</v>
      </c>
      <c r="H34" s="529">
        <f>All!H37</f>
        <v>165.3</v>
      </c>
      <c r="I34" s="529">
        <f>All!I37</f>
        <v>302.8</v>
      </c>
      <c r="J34" s="529">
        <f>All!J37</f>
        <v>322.5</v>
      </c>
      <c r="K34" s="529">
        <f>All!K37</f>
        <v>148.69999999999999</v>
      </c>
      <c r="L34" s="529">
        <f>All!L37</f>
        <v>59.4</v>
      </c>
      <c r="M34" s="529">
        <f>All!M37</f>
        <v>53.4</v>
      </c>
      <c r="N34" s="529">
        <f>All!N37</f>
        <v>35.799999999999997</v>
      </c>
      <c r="O34" s="529">
        <f>All!O37</f>
        <v>1405.8</v>
      </c>
      <c r="P34" s="530">
        <f>All!P37</f>
        <v>117.2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1049.5999999999999</v>
      </c>
      <c r="D38" s="353" t="s">
        <v>30</v>
      </c>
      <c r="E38" s="354">
        <f>All!C53</f>
        <v>33</v>
      </c>
      <c r="F38" s="354">
        <f>All!D53</f>
        <v>37.799999999999997</v>
      </c>
      <c r="G38" s="354">
        <f>All!E53</f>
        <v>66</v>
      </c>
      <c r="H38" s="354">
        <f>All!F53</f>
        <v>88.8</v>
      </c>
      <c r="I38" s="354">
        <f>All!G53</f>
        <v>87.6</v>
      </c>
      <c r="J38" s="354">
        <f>All!H53</f>
        <v>167.5</v>
      </c>
      <c r="K38" s="354">
        <f>All!I53</f>
        <v>286.89999999999998</v>
      </c>
      <c r="L38" s="354">
        <f>All!J53</f>
        <v>262.89999999999998</v>
      </c>
      <c r="M38" s="354">
        <f>All!K53</f>
        <v>145.5</v>
      </c>
      <c r="N38" s="354">
        <f>All!L53</f>
        <v>86.4</v>
      </c>
      <c r="O38" s="354">
        <f>All!M53</f>
        <v>52.5</v>
      </c>
      <c r="P38" s="354">
        <f>All!N53</f>
        <v>34.299999999999997</v>
      </c>
      <c r="Q38" s="355">
        <f>All!P53</f>
        <v>112.4</v>
      </c>
    </row>
    <row r="39" spans="2:17">
      <c r="B39" s="350">
        <f t="shared" ref="B39:B48" si="1">B24</f>
        <v>2016</v>
      </c>
      <c r="C39" s="351">
        <f t="shared" ref="C39:C48" si="2">O24</f>
        <v>1482.3</v>
      </c>
    </row>
    <row r="40" spans="2:17">
      <c r="B40" s="350">
        <f t="shared" si="1"/>
        <v>2017</v>
      </c>
      <c r="C40" s="351">
        <f t="shared" si="2"/>
        <v>936.6</v>
      </c>
    </row>
    <row r="41" spans="2:17">
      <c r="B41" s="350">
        <f t="shared" si="1"/>
        <v>2018</v>
      </c>
      <c r="C41" s="351">
        <f t="shared" si="2"/>
        <v>1427.9</v>
      </c>
    </row>
    <row r="42" spans="2:17">
      <c r="B42" s="350">
        <f t="shared" si="1"/>
        <v>2019</v>
      </c>
      <c r="C42" s="351">
        <f t="shared" si="2"/>
        <v>1085.9000000000001</v>
      </c>
    </row>
    <row r="43" spans="2:17">
      <c r="B43" s="350">
        <f t="shared" si="1"/>
        <v>2020</v>
      </c>
      <c r="C43" s="351">
        <f t="shared" si="2"/>
        <v>2027</v>
      </c>
    </row>
    <row r="44" spans="2:17">
      <c r="B44" s="350">
        <f t="shared" si="1"/>
        <v>2021</v>
      </c>
      <c r="C44" s="351">
        <f t="shared" si="2"/>
        <v>1303.8</v>
      </c>
    </row>
    <row r="45" spans="2:17">
      <c r="B45" s="350">
        <f t="shared" si="1"/>
        <v>2022</v>
      </c>
      <c r="C45" s="351">
        <f t="shared" si="2"/>
        <v>769.9</v>
      </c>
    </row>
    <row r="46" spans="2:17">
      <c r="B46" s="350">
        <f t="shared" si="1"/>
        <v>2023</v>
      </c>
      <c r="C46" s="351">
        <f t="shared" si="2"/>
        <v>2116.1</v>
      </c>
    </row>
    <row r="47" spans="2:17">
      <c r="B47" s="350">
        <f t="shared" si="1"/>
        <v>2024</v>
      </c>
      <c r="C47" s="351">
        <f t="shared" si="2"/>
        <v>1291</v>
      </c>
    </row>
    <row r="48" spans="2:17" ht="17.25" thickBot="1">
      <c r="B48" s="356" t="str">
        <f t="shared" si="1"/>
        <v>10년평균</v>
      </c>
      <c r="C48" s="357">
        <f t="shared" si="2"/>
        <v>1349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764.4</v>
      </c>
    </row>
    <row r="53" spans="2:3">
      <c r="B53" s="360">
        <f t="shared" ref="B53:B81" si="3">B4</f>
        <v>1996</v>
      </c>
      <c r="C53" s="361">
        <f t="shared" ref="C53:C81" si="4">O4</f>
        <v>1268.8</v>
      </c>
    </row>
    <row r="54" spans="2:3">
      <c r="B54" s="360">
        <f t="shared" si="3"/>
        <v>1997</v>
      </c>
      <c r="C54" s="361">
        <f t="shared" si="4"/>
        <v>1479.2</v>
      </c>
    </row>
    <row r="55" spans="2:3">
      <c r="B55" s="360">
        <f t="shared" si="3"/>
        <v>1998</v>
      </c>
      <c r="C55" s="361">
        <f t="shared" si="4"/>
        <v>1943</v>
      </c>
    </row>
    <row r="56" spans="2:3">
      <c r="B56" s="360">
        <f t="shared" si="3"/>
        <v>1999</v>
      </c>
      <c r="C56" s="361">
        <f t="shared" si="4"/>
        <v>1429.7</v>
      </c>
    </row>
    <row r="57" spans="2:3">
      <c r="B57" s="360">
        <f t="shared" si="3"/>
        <v>2000</v>
      </c>
      <c r="C57" s="361">
        <f t="shared" si="4"/>
        <v>1511</v>
      </c>
    </row>
    <row r="58" spans="2:3">
      <c r="B58" s="360">
        <f t="shared" si="3"/>
        <v>2001</v>
      </c>
      <c r="C58" s="361">
        <f t="shared" si="4"/>
        <v>1129.9000000000001</v>
      </c>
    </row>
    <row r="59" spans="2:3">
      <c r="B59" s="360">
        <f t="shared" si="3"/>
        <v>2002</v>
      </c>
      <c r="C59" s="361">
        <f t="shared" si="4"/>
        <v>1458.7</v>
      </c>
    </row>
    <row r="60" spans="2:3">
      <c r="B60" s="360">
        <f t="shared" si="3"/>
        <v>2003</v>
      </c>
      <c r="C60" s="361">
        <f t="shared" si="4"/>
        <v>1994.1</v>
      </c>
    </row>
    <row r="61" spans="2:3">
      <c r="B61" s="360">
        <f t="shared" si="3"/>
        <v>2004</v>
      </c>
      <c r="C61" s="361">
        <f t="shared" si="4"/>
        <v>1742.3</v>
      </c>
    </row>
    <row r="62" spans="2:3">
      <c r="B62" s="360">
        <f t="shared" si="3"/>
        <v>2005</v>
      </c>
      <c r="C62" s="361">
        <f t="shared" si="4"/>
        <v>1289.5999999999999</v>
      </c>
    </row>
    <row r="63" spans="2:3">
      <c r="B63" s="360">
        <f t="shared" si="3"/>
        <v>2006</v>
      </c>
      <c r="C63" s="361">
        <f t="shared" si="4"/>
        <v>1520.2</v>
      </c>
    </row>
    <row r="64" spans="2:3">
      <c r="B64" s="360">
        <f t="shared" si="3"/>
        <v>2007</v>
      </c>
      <c r="C64" s="361">
        <f t="shared" si="4"/>
        <v>1620.6</v>
      </c>
    </row>
    <row r="65" spans="2:3">
      <c r="B65" s="360">
        <f t="shared" si="3"/>
        <v>2008</v>
      </c>
      <c r="C65" s="361">
        <f t="shared" si="4"/>
        <v>1007.2</v>
      </c>
    </row>
    <row r="66" spans="2:3">
      <c r="B66" s="360">
        <f t="shared" si="3"/>
        <v>2009</v>
      </c>
      <c r="C66" s="361">
        <f t="shared" si="4"/>
        <v>1488.2</v>
      </c>
    </row>
    <row r="67" spans="2:3">
      <c r="B67" s="360">
        <f t="shared" si="3"/>
        <v>2010</v>
      </c>
      <c r="C67" s="361">
        <f t="shared" si="4"/>
        <v>1573.1</v>
      </c>
    </row>
    <row r="68" spans="2:3">
      <c r="B68" s="360">
        <f t="shared" si="3"/>
        <v>2011</v>
      </c>
      <c r="C68" s="361">
        <f t="shared" si="4"/>
        <v>1300.3</v>
      </c>
    </row>
    <row r="69" spans="2:3">
      <c r="B69" s="360">
        <f t="shared" si="3"/>
        <v>2012</v>
      </c>
      <c r="C69" s="361">
        <f t="shared" si="4"/>
        <v>1626.8</v>
      </c>
    </row>
    <row r="70" spans="2:3">
      <c r="B70" s="360">
        <f t="shared" si="3"/>
        <v>2013</v>
      </c>
      <c r="C70" s="361">
        <f t="shared" si="4"/>
        <v>1245.4000000000001</v>
      </c>
    </row>
    <row r="71" spans="2:3">
      <c r="B71" s="360">
        <f t="shared" si="3"/>
        <v>2014</v>
      </c>
      <c r="C71" s="361">
        <f t="shared" si="4"/>
        <v>1290.3</v>
      </c>
    </row>
    <row r="72" spans="2:3">
      <c r="B72" s="360">
        <f t="shared" si="3"/>
        <v>2015</v>
      </c>
      <c r="C72" s="361">
        <f t="shared" si="4"/>
        <v>1049.5999999999999</v>
      </c>
    </row>
    <row r="73" spans="2:3">
      <c r="B73" s="360">
        <f t="shared" si="3"/>
        <v>2016</v>
      </c>
      <c r="C73" s="361">
        <f t="shared" si="4"/>
        <v>1482.3</v>
      </c>
    </row>
    <row r="74" spans="2:3">
      <c r="B74" s="360">
        <f t="shared" si="3"/>
        <v>2017</v>
      </c>
      <c r="C74" s="361">
        <f t="shared" si="4"/>
        <v>936.6</v>
      </c>
    </row>
    <row r="75" spans="2:3">
      <c r="B75" s="360">
        <f t="shared" si="3"/>
        <v>2018</v>
      </c>
      <c r="C75" s="361">
        <f t="shared" si="4"/>
        <v>1427.9</v>
      </c>
    </row>
    <row r="76" spans="2:3">
      <c r="B76" s="360">
        <f t="shared" si="3"/>
        <v>2019</v>
      </c>
      <c r="C76" s="361">
        <f t="shared" si="4"/>
        <v>1085.9000000000001</v>
      </c>
    </row>
    <row r="77" spans="2:3">
      <c r="B77" s="360">
        <f t="shared" si="3"/>
        <v>2020</v>
      </c>
      <c r="C77" s="361">
        <f t="shared" si="4"/>
        <v>2027</v>
      </c>
    </row>
    <row r="78" spans="2:3">
      <c r="B78" s="360">
        <f>B29</f>
        <v>2021</v>
      </c>
      <c r="C78" s="361">
        <f t="shared" si="4"/>
        <v>1303.8</v>
      </c>
    </row>
    <row r="79" spans="2:3">
      <c r="B79" s="360">
        <f t="shared" si="3"/>
        <v>2022</v>
      </c>
      <c r="C79" s="361">
        <f t="shared" si="4"/>
        <v>769.9</v>
      </c>
    </row>
    <row r="80" spans="2:3">
      <c r="B80" s="360">
        <f t="shared" si="3"/>
        <v>2023</v>
      </c>
      <c r="C80" s="361">
        <f t="shared" si="4"/>
        <v>2116.1</v>
      </c>
    </row>
    <row r="81" spans="2:3">
      <c r="B81" s="360">
        <f t="shared" si="3"/>
        <v>2024</v>
      </c>
      <c r="C81" s="361">
        <f t="shared" si="4"/>
        <v>1291</v>
      </c>
    </row>
    <row r="82" spans="2:3" ht="17.25" thickBot="1">
      <c r="B82" s="353" t="str">
        <f>B34</f>
        <v>30년평균</v>
      </c>
      <c r="C82" s="362">
        <f>O34</f>
        <v>1405.8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445"/>
  <sheetViews>
    <sheetView topLeftCell="A3" zoomScaleNormal="100" workbookViewId="0">
      <selection activeCell="C39" sqref="C39"/>
    </sheetView>
  </sheetViews>
  <sheetFormatPr defaultColWidth="8.88671875" defaultRowHeight="16.5"/>
  <cols>
    <col min="1" max="1" width="17" style="119" customWidth="1"/>
    <col min="2" max="2" width="16.664062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광주기상청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1">
        <f>All!B41</f>
        <v>2015</v>
      </c>
      <c r="C5" s="685">
        <f>All!C41</f>
        <v>47.2</v>
      </c>
      <c r="D5" s="685">
        <f>All!D41</f>
        <v>23.9</v>
      </c>
      <c r="E5" s="686">
        <f>All!E41</f>
        <v>36.5</v>
      </c>
      <c r="F5" s="686">
        <f>All!F41</f>
        <v>145.5</v>
      </c>
      <c r="G5" s="686">
        <v>200</v>
      </c>
      <c r="H5" s="686">
        <v>72</v>
      </c>
      <c r="I5" s="686">
        <v>120</v>
      </c>
      <c r="J5" s="686">
        <v>120</v>
      </c>
      <c r="K5" s="686">
        <f>All!K41</f>
        <v>66.599999999999994</v>
      </c>
      <c r="L5" s="686">
        <v>5</v>
      </c>
      <c r="M5" s="686">
        <f>All!M41</f>
        <v>121.9</v>
      </c>
      <c r="N5" s="687">
        <f>All!N41</f>
        <v>59.2</v>
      </c>
      <c r="O5" s="515">
        <f>All!O41</f>
        <v>1049.5999999999999</v>
      </c>
      <c r="P5" s="687">
        <f>All!P41</f>
        <v>87.5</v>
      </c>
    </row>
    <row r="6" spans="2:16" ht="22.15" customHeight="1">
      <c r="B6" s="571">
        <f>All!B42</f>
        <v>2016</v>
      </c>
      <c r="C6" s="685">
        <f>All!C42</f>
        <v>49.7</v>
      </c>
      <c r="D6" s="686">
        <f>All!D42</f>
        <v>45.2</v>
      </c>
      <c r="E6" s="686">
        <f>All!E42</f>
        <v>55.2</v>
      </c>
      <c r="F6" s="686">
        <f>All!F42</f>
        <v>185</v>
      </c>
      <c r="G6" s="686">
        <f>All!G42</f>
        <v>104.5</v>
      </c>
      <c r="H6" s="686">
        <f>All!H42</f>
        <v>116.1</v>
      </c>
      <c r="I6" s="686">
        <f>All!I42</f>
        <v>301.3</v>
      </c>
      <c r="J6" s="686">
        <f>All!J42</f>
        <v>81</v>
      </c>
      <c r="K6" s="686">
        <f>All!K42</f>
        <v>251.2</v>
      </c>
      <c r="L6" s="686">
        <f>All!L42</f>
        <v>216.7</v>
      </c>
      <c r="M6" s="686">
        <f>All!M42</f>
        <v>31.5</v>
      </c>
      <c r="N6" s="687">
        <f>All!N42</f>
        <v>44.9</v>
      </c>
      <c r="O6" s="515">
        <f>All!O42</f>
        <v>1482.3</v>
      </c>
      <c r="P6" s="687">
        <f>All!P42</f>
        <v>123.5</v>
      </c>
    </row>
    <row r="7" spans="2:16" ht="22.15" customHeight="1">
      <c r="B7" s="571">
        <f>All!B43</f>
        <v>2017</v>
      </c>
      <c r="C7" s="685">
        <f>All!C43</f>
        <v>11.7</v>
      </c>
      <c r="D7" s="686">
        <f>All!D43</f>
        <v>41.9</v>
      </c>
      <c r="E7" s="686">
        <f>All!E43</f>
        <v>33.200000000000003</v>
      </c>
      <c r="F7" s="686">
        <f>All!F43</f>
        <v>60.6</v>
      </c>
      <c r="G7" s="686">
        <f>All!G43</f>
        <v>30.2</v>
      </c>
      <c r="H7" s="686">
        <f>All!H43</f>
        <v>42.1</v>
      </c>
      <c r="I7" s="686">
        <f>All!I43</f>
        <v>211.6</v>
      </c>
      <c r="J7" s="686">
        <f>All!J43</f>
        <v>280.5</v>
      </c>
      <c r="K7" s="686">
        <f>All!K43</f>
        <v>108.8</v>
      </c>
      <c r="L7" s="686">
        <f>All!L43</f>
        <v>85.4</v>
      </c>
      <c r="M7" s="686">
        <f>All!M43</f>
        <v>2.1</v>
      </c>
      <c r="N7" s="687">
        <f>All!N43</f>
        <v>28.5</v>
      </c>
      <c r="O7" s="515">
        <f>All!O43</f>
        <v>936.6</v>
      </c>
      <c r="P7" s="687">
        <f>All!P43</f>
        <v>78.099999999999994</v>
      </c>
    </row>
    <row r="8" spans="2:16" ht="22.15" customHeight="1">
      <c r="B8" s="571">
        <f>All!B44</f>
        <v>2018</v>
      </c>
      <c r="C8" s="685">
        <f>All!C44</f>
        <v>38.799999999999997</v>
      </c>
      <c r="D8" s="686">
        <f>All!D44</f>
        <v>22</v>
      </c>
      <c r="E8" s="686">
        <f>All!E44</f>
        <v>115.8</v>
      </c>
      <c r="F8" s="686">
        <f>All!F44</f>
        <v>127.4</v>
      </c>
      <c r="G8" s="686">
        <f>All!G44</f>
        <v>85.4</v>
      </c>
      <c r="H8" s="686">
        <f>All!H44</f>
        <v>222.4</v>
      </c>
      <c r="I8" s="686">
        <f>All!I44</f>
        <v>84.5</v>
      </c>
      <c r="J8" s="686">
        <f>All!J44</f>
        <v>397.1</v>
      </c>
      <c r="K8" s="686">
        <f>All!K44</f>
        <v>129.69999999999999</v>
      </c>
      <c r="L8" s="686">
        <f>All!L44</f>
        <v>125.2</v>
      </c>
      <c r="M8" s="686">
        <f>All!M44</f>
        <v>47.2</v>
      </c>
      <c r="N8" s="687">
        <f>All!N44</f>
        <v>32.4</v>
      </c>
      <c r="O8" s="515">
        <f>All!O44</f>
        <v>1427.9</v>
      </c>
      <c r="P8" s="687">
        <f>All!P44</f>
        <v>119</v>
      </c>
    </row>
    <row r="9" spans="2:16" ht="22.15" customHeight="1">
      <c r="B9" s="571">
        <f>All!B45</f>
        <v>2019</v>
      </c>
      <c r="C9" s="685">
        <f>All!C45</f>
        <v>16.399999999999999</v>
      </c>
      <c r="D9" s="686">
        <f>All!D45</f>
        <v>37</v>
      </c>
      <c r="E9" s="686">
        <f>All!E45</f>
        <v>33.9</v>
      </c>
      <c r="F9" s="686">
        <f>All!F45</f>
        <v>84.7</v>
      </c>
      <c r="G9" s="686">
        <f>All!G45</f>
        <v>78.8</v>
      </c>
      <c r="H9" s="686">
        <f>All!H45</f>
        <v>158</v>
      </c>
      <c r="I9" s="686">
        <f>All!I45</f>
        <v>242.2</v>
      </c>
      <c r="J9" s="686">
        <f>All!J45</f>
        <v>64.8</v>
      </c>
      <c r="K9" s="686">
        <f>All!K45</f>
        <v>165.8</v>
      </c>
      <c r="L9" s="686">
        <f>All!L45</f>
        <v>149.9</v>
      </c>
      <c r="M9" s="686">
        <f>All!M45</f>
        <v>22.8</v>
      </c>
      <c r="N9" s="687">
        <f>All!N45</f>
        <v>31.6</v>
      </c>
      <c r="O9" s="515">
        <f>All!O45</f>
        <v>1085.9000000000001</v>
      </c>
      <c r="P9" s="687">
        <f>All!P45</f>
        <v>90.5</v>
      </c>
    </row>
    <row r="10" spans="2:16" ht="22.15" customHeight="1">
      <c r="B10" s="571">
        <f>All!B46</f>
        <v>2020</v>
      </c>
      <c r="C10" s="685">
        <f>All!C46</f>
        <v>74.900000000000006</v>
      </c>
      <c r="D10" s="686">
        <f>All!D46</f>
        <v>47.8</v>
      </c>
      <c r="E10" s="686">
        <f>All!E46</f>
        <v>43.5</v>
      </c>
      <c r="F10" s="686">
        <f>All!F46</f>
        <v>55.3</v>
      </c>
      <c r="G10" s="686">
        <f>All!G46</f>
        <v>96.8</v>
      </c>
      <c r="H10" s="686">
        <f>All!H46</f>
        <v>199.9</v>
      </c>
      <c r="I10" s="686">
        <f>All!I46</f>
        <v>533.29999999999995</v>
      </c>
      <c r="J10" s="686">
        <f>All!J46</f>
        <v>738.1</v>
      </c>
      <c r="K10" s="686">
        <f>All!K46</f>
        <v>178.3</v>
      </c>
      <c r="L10" s="686">
        <f>All!L46</f>
        <v>12.1</v>
      </c>
      <c r="M10" s="686">
        <f>All!M46</f>
        <v>28.3</v>
      </c>
      <c r="N10" s="687">
        <f>All!N46</f>
        <v>18.7</v>
      </c>
      <c r="O10" s="515">
        <f>All!O46</f>
        <v>2027</v>
      </c>
      <c r="P10" s="687">
        <f>All!P46</f>
        <v>168.9</v>
      </c>
    </row>
    <row r="11" spans="2:16" ht="22.15" customHeight="1">
      <c r="B11" s="571">
        <f>All!B47</f>
        <v>2021</v>
      </c>
      <c r="C11" s="685">
        <f>All!C47</f>
        <v>33</v>
      </c>
      <c r="D11" s="686">
        <f>All!D47</f>
        <v>31.1</v>
      </c>
      <c r="E11" s="686">
        <f>All!E47</f>
        <v>122.4</v>
      </c>
      <c r="F11" s="686">
        <f>All!F47</f>
        <v>34.200000000000003</v>
      </c>
      <c r="G11" s="686">
        <f>All!G47</f>
        <v>139.4</v>
      </c>
      <c r="H11" s="686">
        <f>All!H47</f>
        <v>118.1</v>
      </c>
      <c r="I11" s="686">
        <f>All!I47</f>
        <v>227.6</v>
      </c>
      <c r="J11" s="686">
        <f>All!J47</f>
        <v>338.7</v>
      </c>
      <c r="K11" s="686">
        <f>All!K47</f>
        <v>131.1</v>
      </c>
      <c r="L11" s="686">
        <f>All!L47</f>
        <v>35.299999999999997</v>
      </c>
      <c r="M11" s="686">
        <f>All!M47</f>
        <v>85.8</v>
      </c>
      <c r="N11" s="687">
        <f>All!N47</f>
        <v>7.1</v>
      </c>
      <c r="O11" s="515">
        <f>All!O47</f>
        <v>1303.8</v>
      </c>
      <c r="P11" s="687">
        <f>All!P47</f>
        <v>108.7</v>
      </c>
    </row>
    <row r="12" spans="2:16" ht="22.15" customHeight="1">
      <c r="B12" s="570">
        <f>All!B48</f>
        <v>2022</v>
      </c>
      <c r="C12" s="521">
        <f>All!C48</f>
        <v>0.3</v>
      </c>
      <c r="D12" s="522">
        <f>All!D48</f>
        <v>2.7</v>
      </c>
      <c r="E12" s="522">
        <f>All!E48</f>
        <v>105.2</v>
      </c>
      <c r="F12" s="522">
        <f>All!F48</f>
        <v>49.4</v>
      </c>
      <c r="G12" s="522">
        <f>All!G48</f>
        <v>0.4</v>
      </c>
      <c r="H12" s="522">
        <f>All!H48</f>
        <v>131.69999999999999</v>
      </c>
      <c r="I12" s="522">
        <f>All!I48</f>
        <v>169</v>
      </c>
      <c r="J12" s="522">
        <f>All!J48</f>
        <v>106.4</v>
      </c>
      <c r="K12" s="522">
        <f>All!K48</f>
        <v>89.2</v>
      </c>
      <c r="L12" s="522">
        <f>All!L48</f>
        <v>38.299999999999997</v>
      </c>
      <c r="M12" s="522">
        <f>All!M48</f>
        <v>46.7</v>
      </c>
      <c r="N12" s="523">
        <f>All!N48</f>
        <v>30.6</v>
      </c>
      <c r="O12" s="524">
        <f>All!O48</f>
        <v>769.9</v>
      </c>
      <c r="P12" s="523">
        <f>All!P48</f>
        <v>64.2</v>
      </c>
    </row>
    <row r="13" spans="2:16" ht="22.15" customHeight="1">
      <c r="B13" s="570">
        <f>All!B49</f>
        <v>2023</v>
      </c>
      <c r="C13" s="521">
        <f>All!C49</f>
        <v>26.8</v>
      </c>
      <c r="D13" s="522">
        <f>All!D49</f>
        <v>14.8</v>
      </c>
      <c r="E13" s="522">
        <f>All!E49</f>
        <v>34.799999999999997</v>
      </c>
      <c r="F13" s="522">
        <f>All!F49</f>
        <v>66.5</v>
      </c>
      <c r="G13" s="522">
        <f>All!G49</f>
        <v>190.1</v>
      </c>
      <c r="H13" s="522">
        <f>All!H49</f>
        <v>441.2</v>
      </c>
      <c r="I13" s="522">
        <f>All!I49</f>
        <v>684.6</v>
      </c>
      <c r="J13" s="522">
        <f>All!J49</f>
        <v>341.2</v>
      </c>
      <c r="K13" s="522">
        <f>All!K49</f>
        <v>152.5</v>
      </c>
      <c r="L13" s="522">
        <f>All!L49</f>
        <v>11.5</v>
      </c>
      <c r="M13" s="522">
        <f>All!M49</f>
        <v>71.900000000000006</v>
      </c>
      <c r="N13" s="523">
        <f>All!N49</f>
        <v>80.2</v>
      </c>
      <c r="O13" s="524">
        <f>All!O49</f>
        <v>2116.1</v>
      </c>
      <c r="P13" s="523">
        <f>All!P49</f>
        <v>176.3</v>
      </c>
    </row>
    <row r="14" spans="2:16" ht="22.15" customHeight="1" thickBot="1">
      <c r="B14" s="572">
        <f>All!B50</f>
        <v>2024</v>
      </c>
      <c r="C14" s="688">
        <f>All!C50</f>
        <v>31.1</v>
      </c>
      <c r="D14" s="689">
        <f>All!D50</f>
        <v>111.3</v>
      </c>
      <c r="E14" s="689">
        <f>All!E50</f>
        <v>79.5</v>
      </c>
      <c r="F14" s="689">
        <f>All!F50</f>
        <v>79.599999999999994</v>
      </c>
      <c r="G14" s="689">
        <f>All!G50</f>
        <v>102</v>
      </c>
      <c r="H14" s="689">
        <f>All!H50</f>
        <v>149.1</v>
      </c>
      <c r="I14" s="689">
        <f>All!I50</f>
        <v>250.4</v>
      </c>
      <c r="J14" s="689">
        <f>All!J50</f>
        <v>132.1</v>
      </c>
      <c r="K14" s="689">
        <f>All!K50</f>
        <v>181.4</v>
      </c>
      <c r="L14" s="689">
        <f>All!L50</f>
        <v>98.2</v>
      </c>
      <c r="M14" s="689">
        <f>All!M50</f>
        <v>66.5</v>
      </c>
      <c r="N14" s="690">
        <f>All!N50</f>
        <v>9.8000000000000007</v>
      </c>
      <c r="O14" s="520">
        <f>All!O50</f>
        <v>1291</v>
      </c>
      <c r="P14" s="690">
        <f>All!P50</f>
        <v>107.6</v>
      </c>
    </row>
    <row r="15" spans="2:16" ht="22.15" customHeight="1">
      <c r="B15" s="573" t="s">
        <v>21</v>
      </c>
      <c r="C15" s="691">
        <f>All!C51</f>
        <v>74.900000000000006</v>
      </c>
      <c r="D15" s="692">
        <f>All!D51</f>
        <v>111.3</v>
      </c>
      <c r="E15" s="692">
        <f>All!E51</f>
        <v>122.4</v>
      </c>
      <c r="F15" s="692">
        <f>All!F51</f>
        <v>185</v>
      </c>
      <c r="G15" s="692">
        <f>All!G51</f>
        <v>190.1</v>
      </c>
      <c r="H15" s="692">
        <f>All!H51</f>
        <v>441.2</v>
      </c>
      <c r="I15" s="692">
        <f>All!I51</f>
        <v>684.6</v>
      </c>
      <c r="J15" s="692">
        <f>All!J51</f>
        <v>738.1</v>
      </c>
      <c r="K15" s="692">
        <f>All!K51</f>
        <v>251.2</v>
      </c>
      <c r="L15" s="692">
        <f>All!L51</f>
        <v>216.7</v>
      </c>
      <c r="M15" s="692">
        <f>All!M51</f>
        <v>121.9</v>
      </c>
      <c r="N15" s="693">
        <f>All!N51</f>
        <v>80.2</v>
      </c>
      <c r="O15" s="518">
        <f>All!O51</f>
        <v>2116.1</v>
      </c>
      <c r="P15" s="693">
        <f>All!P51</f>
        <v>176.3</v>
      </c>
    </row>
    <row r="16" spans="2:16" ht="22.15" customHeight="1">
      <c r="B16" s="571" t="s">
        <v>22</v>
      </c>
      <c r="C16" s="685">
        <f>All!C52</f>
        <v>0.3</v>
      </c>
      <c r="D16" s="686">
        <f>All!D52</f>
        <v>2.7</v>
      </c>
      <c r="E16" s="686">
        <f>All!E52</f>
        <v>33.200000000000003</v>
      </c>
      <c r="F16" s="686">
        <f>All!F52</f>
        <v>34.200000000000003</v>
      </c>
      <c r="G16" s="686">
        <f>All!G52</f>
        <v>0.4</v>
      </c>
      <c r="H16" s="686">
        <f>All!H52</f>
        <v>42.1</v>
      </c>
      <c r="I16" s="686">
        <f>All!I52</f>
        <v>84.5</v>
      </c>
      <c r="J16" s="686">
        <f>All!J52</f>
        <v>64.8</v>
      </c>
      <c r="K16" s="686">
        <f>All!K52</f>
        <v>66.599999999999994</v>
      </c>
      <c r="L16" s="686">
        <f>All!L52</f>
        <v>11.5</v>
      </c>
      <c r="M16" s="686">
        <f>All!M52</f>
        <v>2.1</v>
      </c>
      <c r="N16" s="687">
        <f>All!N52</f>
        <v>7.1</v>
      </c>
      <c r="O16" s="516">
        <f>All!O52</f>
        <v>769.9</v>
      </c>
      <c r="P16" s="687">
        <f>All!P52</f>
        <v>64.2</v>
      </c>
    </row>
    <row r="17" spans="2:16" ht="22.15" customHeight="1" thickBot="1">
      <c r="B17" s="572" t="s">
        <v>20</v>
      </c>
      <c r="C17" s="688">
        <f>All!C53</f>
        <v>33</v>
      </c>
      <c r="D17" s="689">
        <f>All!D53</f>
        <v>37.799999999999997</v>
      </c>
      <c r="E17" s="694">
        <f>All!E53</f>
        <v>66</v>
      </c>
      <c r="F17" s="689">
        <f>All!F53</f>
        <v>88.8</v>
      </c>
      <c r="G17" s="519">
        <f>All!G53</f>
        <v>87.6</v>
      </c>
      <c r="H17" s="519">
        <f>All!H53</f>
        <v>167.5</v>
      </c>
      <c r="I17" s="519">
        <f>All!I53</f>
        <v>286.89999999999998</v>
      </c>
      <c r="J17" s="519">
        <f>All!J53</f>
        <v>262.89999999999998</v>
      </c>
      <c r="K17" s="519">
        <f>All!K53</f>
        <v>145.5</v>
      </c>
      <c r="L17" s="689">
        <f>All!L53</f>
        <v>86.4</v>
      </c>
      <c r="M17" s="689">
        <f>All!M53</f>
        <v>52.5</v>
      </c>
      <c r="N17" s="690">
        <f>All!N53</f>
        <v>34.299999999999997</v>
      </c>
      <c r="O17" s="517">
        <f>All!O53</f>
        <v>1349</v>
      </c>
      <c r="P17" s="695">
        <f>All!P53</f>
        <v>112.4</v>
      </c>
    </row>
    <row r="18" spans="2:16" ht="29.25" customHeight="1" thickBot="1">
      <c r="B18" s="574" t="s">
        <v>23</v>
      </c>
      <c r="C18" s="406">
        <f>All!C37</f>
        <v>32.299999999999997</v>
      </c>
      <c r="D18" s="407">
        <f>All!D37</f>
        <v>43.3</v>
      </c>
      <c r="E18" s="407">
        <f>All!E37</f>
        <v>63.8</v>
      </c>
      <c r="F18" s="407">
        <f>All!F37</f>
        <v>84</v>
      </c>
      <c r="G18" s="407">
        <f>All!G37</f>
        <v>94.5</v>
      </c>
      <c r="H18" s="407">
        <f>All!H37</f>
        <v>165.3</v>
      </c>
      <c r="I18" s="408">
        <f>All!I37</f>
        <v>302.8</v>
      </c>
      <c r="J18" s="408">
        <f>All!J37</f>
        <v>322.5</v>
      </c>
      <c r="K18" s="408">
        <f>All!K37</f>
        <v>148.69999999999999</v>
      </c>
      <c r="L18" s="408">
        <f>All!L37</f>
        <v>59.4</v>
      </c>
      <c r="M18" s="408">
        <f>All!M37</f>
        <v>53.4</v>
      </c>
      <c r="N18" s="409">
        <f>All!N37</f>
        <v>35.799999999999997</v>
      </c>
      <c r="O18" s="410">
        <f>All!O37</f>
        <v>1405.8</v>
      </c>
      <c r="P18" s="409">
        <f>All!P37</f>
        <v>117.2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950.4</v>
      </c>
      <c r="F20" s="414"/>
    </row>
    <row r="21" spans="2:16">
      <c r="B21" s="415" t="s">
        <v>156</v>
      </c>
      <c r="D21" s="416">
        <f>O17</f>
        <v>1349</v>
      </c>
    </row>
    <row r="22" spans="2:16" ht="17.25" thickBot="1">
      <c r="B22" s="417"/>
      <c r="C22" s="418"/>
      <c r="D22" s="419">
        <f>D20/D21</f>
        <v>0.70452186805040773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769.9</v>
      </c>
      <c r="D24" s="422"/>
      <c r="E24" s="359"/>
      <c r="H24" s="423" t="s">
        <v>174</v>
      </c>
      <c r="I24" s="749" t="s">
        <v>831</v>
      </c>
      <c r="J24" s="750"/>
      <c r="K24" s="671">
        <f>INDEX(Location[recharge], MATCH(I24,Location[name],0))</f>
        <v>0.14299999999999999</v>
      </c>
      <c r="L24" s="672">
        <f>INDEX(Location[ratio], MATCH(I24,Location[name],0))</f>
        <v>0.68400000000000005</v>
      </c>
    </row>
    <row r="25" spans="2:16" ht="21.95" customHeight="1">
      <c r="B25" s="424" t="s">
        <v>25</v>
      </c>
      <c r="C25" s="126">
        <f>O18</f>
        <v>1405.8</v>
      </c>
      <c r="D25" s="358"/>
      <c r="E25" s="361"/>
      <c r="H25" s="423" t="s">
        <v>175</v>
      </c>
      <c r="I25" s="751" t="s">
        <v>184</v>
      </c>
      <c r="J25" s="75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0.68400000000000005</v>
      </c>
      <c r="D26" s="426">
        <f>L25</f>
        <v>0.68100000000000005</v>
      </c>
      <c r="E26" s="427">
        <f>L26</f>
        <v>0.72</v>
      </c>
      <c r="H26" s="423" t="s">
        <v>176</v>
      </c>
      <c r="I26" s="753" t="s">
        <v>232</v>
      </c>
      <c r="J26" s="754"/>
      <c r="K26" s="673">
        <f>INDEX(Location[recharge], MATCH(I26,Location[name],0))</f>
        <v>0.17100000000000001</v>
      </c>
      <c r="L26" s="674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3487130.5455</v>
      </c>
      <c r="D27" s="358"/>
      <c r="E27" s="429"/>
    </row>
    <row r="28" spans="2:16" ht="21.95" customHeight="1" thickBot="1">
      <c r="B28" s="430" t="s">
        <v>27</v>
      </c>
      <c r="C28" s="431">
        <f>K24</f>
        <v>0.14299999999999999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20.102939999999997</v>
      </c>
      <c r="D30" s="436">
        <f>max*rf_2/10</f>
        <v>21.368159999999996</v>
      </c>
      <c r="E30" s="437">
        <f>max*rf_3/10</f>
        <v>24.039180000000002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853</v>
      </c>
      <c r="C32" s="405"/>
      <c r="D32" s="405"/>
    </row>
    <row r="33" spans="1:7" ht="17.25" customHeight="1"/>
    <row r="34" spans="1:7" ht="17.25" customHeight="1">
      <c r="A34" s="439" t="s">
        <v>158</v>
      </c>
      <c r="C34" s="405"/>
      <c r="D34" s="405"/>
    </row>
    <row r="35" spans="1:7" ht="17.25" customHeight="1">
      <c r="A35" s="439" t="s">
        <v>159</v>
      </c>
    </row>
    <row r="36" spans="1:7">
      <c r="G36" s="403"/>
    </row>
    <row r="37" spans="1:7">
      <c r="G37" s="403"/>
    </row>
    <row r="38" spans="1:7">
      <c r="G38" s="403"/>
    </row>
    <row r="39" spans="1:7">
      <c r="G39" s="403"/>
    </row>
    <row r="40" spans="1:7">
      <c r="G40" s="403"/>
    </row>
    <row r="41" spans="1:7">
      <c r="G41" s="403"/>
    </row>
    <row r="42" spans="1:7">
      <c r="G42" s="403"/>
    </row>
    <row r="43" spans="1:7">
      <c r="G43" s="403"/>
    </row>
    <row r="44" spans="1:7">
      <c r="G44" s="403"/>
    </row>
    <row r="45" spans="1:7">
      <c r="G45" s="403"/>
    </row>
    <row r="46" spans="1:7">
      <c r="G46" s="403"/>
    </row>
    <row r="47" spans="1:7">
      <c r="G47" s="403"/>
    </row>
    <row r="48" spans="1:7">
      <c r="G48" s="403"/>
    </row>
    <row r="49" spans="7:7">
      <c r="G49" s="403"/>
    </row>
    <row r="50" spans="7:7">
      <c r="G50" s="403"/>
    </row>
    <row r="51" spans="7:7">
      <c r="G51" s="403"/>
    </row>
    <row r="52" spans="7:7">
      <c r="G52" s="403"/>
    </row>
    <row r="53" spans="7:7">
      <c r="G53" s="403"/>
    </row>
    <row r="54" spans="7:7">
      <c r="G54" s="403"/>
    </row>
    <row r="55" spans="7:7">
      <c r="G55" s="403"/>
    </row>
    <row r="56" spans="7:7">
      <c r="G56" s="403"/>
    </row>
    <row r="57" spans="7:7">
      <c r="G57" s="403"/>
    </row>
    <row r="58" spans="7:7">
      <c r="G58" s="403"/>
    </row>
    <row r="59" spans="7:7">
      <c r="G59" s="403"/>
    </row>
    <row r="60" spans="7:7">
      <c r="G60" s="403"/>
    </row>
    <row r="61" spans="7:7">
      <c r="G61" s="403"/>
    </row>
    <row r="62" spans="7:7">
      <c r="G62" s="403"/>
    </row>
    <row r="63" spans="7:7">
      <c r="G63" s="403"/>
    </row>
    <row r="64" spans="7:7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59" spans="15:15" s="441" customFormat="1" ht="17.25">
      <c r="O2159" s="440"/>
    </row>
    <row r="2445" spans="2430:2430">
      <c r="COL2445" s="442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D22" sqref="D22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829</v>
      </c>
      <c r="B18" s="75">
        <v>0.14299999999999999</v>
      </c>
      <c r="C18" s="75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A6" sqref="A6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882</v>
      </c>
      <c r="H5" s="113" t="s">
        <v>883</v>
      </c>
      <c r="I5" s="113" t="s">
        <v>884</v>
      </c>
      <c r="J5" s="113" t="s">
        <v>885</v>
      </c>
      <c r="K5" s="114" t="s">
        <v>886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882</v>
      </c>
      <c r="H6" s="113" t="s">
        <v>887</v>
      </c>
      <c r="I6" s="113" t="s">
        <v>888</v>
      </c>
      <c r="J6" s="113" t="s">
        <v>889</v>
      </c>
      <c r="K6" s="114" t="s">
        <v>890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882</v>
      </c>
      <c r="H7" s="113" t="s">
        <v>891</v>
      </c>
      <c r="I7" s="113" t="s">
        <v>892</v>
      </c>
      <c r="J7" s="113" t="s">
        <v>893</v>
      </c>
      <c r="K7" s="114" t="s">
        <v>894</v>
      </c>
    </row>
    <row r="8" spans="3:11" ht="97.5" customHeight="1">
      <c r="C8" s="85" t="s">
        <v>838</v>
      </c>
      <c r="D8" s="113" t="s">
        <v>267</v>
      </c>
      <c r="E8" s="113" t="s">
        <v>268</v>
      </c>
      <c r="F8" s="113" t="s">
        <v>269</v>
      </c>
      <c r="G8" s="113" t="s">
        <v>882</v>
      </c>
      <c r="H8" s="113" t="s">
        <v>895</v>
      </c>
      <c r="I8" s="113" t="s">
        <v>896</v>
      </c>
      <c r="J8" s="113" t="s">
        <v>897</v>
      </c>
      <c r="K8" s="114" t="s">
        <v>898</v>
      </c>
    </row>
    <row r="9" spans="3:11" ht="97.5" customHeight="1">
      <c r="C9" s="85" t="s">
        <v>841</v>
      </c>
      <c r="D9" s="113" t="s">
        <v>267</v>
      </c>
      <c r="E9" s="113" t="s">
        <v>268</v>
      </c>
      <c r="F9" s="113" t="s">
        <v>269</v>
      </c>
      <c r="G9" s="113" t="s">
        <v>882</v>
      </c>
      <c r="H9" s="113" t="s">
        <v>899</v>
      </c>
      <c r="I9" s="113" t="s">
        <v>900</v>
      </c>
      <c r="J9" s="113" t="s">
        <v>901</v>
      </c>
      <c r="K9" s="114" t="s">
        <v>902</v>
      </c>
    </row>
    <row r="10" spans="3:11" ht="97.5" customHeight="1">
      <c r="C10" s="85" t="s">
        <v>844</v>
      </c>
      <c r="D10" s="113" t="s">
        <v>267</v>
      </c>
      <c r="E10" s="113" t="s">
        <v>268</v>
      </c>
      <c r="F10" s="113" t="s">
        <v>269</v>
      </c>
      <c r="G10" s="113" t="s">
        <v>882</v>
      </c>
      <c r="H10" s="113" t="s">
        <v>903</v>
      </c>
      <c r="I10" s="113" t="s">
        <v>904</v>
      </c>
      <c r="J10" s="113" t="s">
        <v>905</v>
      </c>
      <c r="K10" s="114" t="s">
        <v>906</v>
      </c>
    </row>
    <row r="11" spans="3:11" ht="97.5" customHeight="1">
      <c r="C11" s="85" t="s">
        <v>855</v>
      </c>
      <c r="D11" s="113" t="s">
        <v>267</v>
      </c>
      <c r="E11" s="113" t="s">
        <v>268</v>
      </c>
      <c r="F11" s="113" t="s">
        <v>269</v>
      </c>
      <c r="G11" s="113" t="s">
        <v>882</v>
      </c>
      <c r="H11" s="113" t="s">
        <v>907</v>
      </c>
      <c r="I11" s="113" t="s">
        <v>908</v>
      </c>
      <c r="J11" s="113" t="s">
        <v>909</v>
      </c>
      <c r="K11" s="114" t="s">
        <v>910</v>
      </c>
    </row>
    <row r="12" spans="3:11" ht="97.5" customHeight="1">
      <c r="C12" s="85" t="s">
        <v>858</v>
      </c>
      <c r="D12" s="113" t="s">
        <v>267</v>
      </c>
      <c r="E12" s="113" t="s">
        <v>268</v>
      </c>
      <c r="F12" s="113" t="s">
        <v>269</v>
      </c>
      <c r="G12" s="113" t="s">
        <v>882</v>
      </c>
      <c r="H12" s="113" t="s">
        <v>911</v>
      </c>
      <c r="I12" s="113" t="s">
        <v>912</v>
      </c>
      <c r="J12" s="113" t="s">
        <v>913</v>
      </c>
      <c r="K12" s="114" t="s">
        <v>914</v>
      </c>
    </row>
    <row r="13" spans="3:11" ht="97.5" customHeight="1">
      <c r="C13" s="85" t="s">
        <v>861</v>
      </c>
      <c r="D13" s="113" t="s">
        <v>267</v>
      </c>
      <c r="E13" s="113" t="s">
        <v>268</v>
      </c>
      <c r="F13" s="113" t="s">
        <v>269</v>
      </c>
      <c r="G13" s="113" t="s">
        <v>882</v>
      </c>
      <c r="H13" s="113" t="s">
        <v>915</v>
      </c>
      <c r="I13" s="113" t="s">
        <v>916</v>
      </c>
      <c r="J13" s="113" t="s">
        <v>917</v>
      </c>
      <c r="K13" s="114" t="s">
        <v>918</v>
      </c>
    </row>
    <row r="14" spans="3:11" ht="97.5" customHeight="1">
      <c r="C14" s="85" t="s">
        <v>864</v>
      </c>
      <c r="D14" s="113" t="s">
        <v>267</v>
      </c>
      <c r="E14" s="113" t="s">
        <v>268</v>
      </c>
      <c r="F14" s="113" t="s">
        <v>269</v>
      </c>
      <c r="G14" s="113" t="s">
        <v>882</v>
      </c>
      <c r="H14" s="113" t="s">
        <v>919</v>
      </c>
      <c r="I14" s="113" t="s">
        <v>920</v>
      </c>
      <c r="J14" s="113" t="s">
        <v>921</v>
      </c>
      <c r="K14" s="114" t="s">
        <v>922</v>
      </c>
    </row>
    <row r="15" spans="3:11" ht="97.5" customHeight="1">
      <c r="C15" s="85" t="s">
        <v>867</v>
      </c>
      <c r="D15" s="113" t="s">
        <v>267</v>
      </c>
      <c r="E15" s="113" t="s">
        <v>268</v>
      </c>
      <c r="F15" s="113" t="s">
        <v>269</v>
      </c>
      <c r="G15" s="113" t="s">
        <v>882</v>
      </c>
      <c r="H15" s="113" t="s">
        <v>923</v>
      </c>
      <c r="I15" s="113" t="s">
        <v>924</v>
      </c>
      <c r="J15" s="113" t="s">
        <v>925</v>
      </c>
      <c r="K15" s="114" t="s">
        <v>926</v>
      </c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0" sqref="B20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23" sqref="H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10.24</v>
      </c>
      <c r="C5" s="541">
        <v>23.5</v>
      </c>
      <c r="D5" s="541">
        <v>11.916905946600821</v>
      </c>
      <c r="E5" s="541">
        <v>11.583094053399179</v>
      </c>
      <c r="F5" s="541">
        <v>13.26</v>
      </c>
      <c r="G5" s="545">
        <v>200</v>
      </c>
      <c r="H5" s="682">
        <v>0.1</v>
      </c>
      <c r="I5" s="683">
        <v>500</v>
      </c>
      <c r="J5" s="683">
        <v>36</v>
      </c>
      <c r="K5" s="683">
        <v>120</v>
      </c>
      <c r="L5" s="541">
        <v>2.6534370510113732</v>
      </c>
      <c r="M5" s="684">
        <v>5</v>
      </c>
      <c r="N5" s="541">
        <v>464</v>
      </c>
      <c r="O5" s="542">
        <v>7.4550000000000001</v>
      </c>
      <c r="P5" s="542">
        <v>2.9830000000000001</v>
      </c>
      <c r="Q5" s="542">
        <v>5.2190000000000003</v>
      </c>
      <c r="R5" s="543">
        <v>5.1830000000000001E-2</v>
      </c>
      <c r="S5" s="543">
        <v>1.7809999999999999E-4</v>
      </c>
      <c r="T5" s="542">
        <v>1.124E-2</v>
      </c>
      <c r="U5" s="544">
        <v>0.375</v>
      </c>
      <c r="V5" s="541">
        <v>43.4</v>
      </c>
      <c r="W5" s="541">
        <v>53.1</v>
      </c>
      <c r="X5" s="541">
        <v>157.19999999999999</v>
      </c>
      <c r="Y5" s="542">
        <v>-2.8366420403716015</v>
      </c>
      <c r="Z5" s="542">
        <v>1.706</v>
      </c>
      <c r="AA5" s="683">
        <v>137</v>
      </c>
      <c r="AB5" s="541">
        <v>124.00921152590445</v>
      </c>
      <c r="AC5" s="541">
        <v>75</v>
      </c>
      <c r="AD5" s="541">
        <v>5.55</v>
      </c>
      <c r="AE5" s="541">
        <v>11.8</v>
      </c>
      <c r="AF5" s="541">
        <v>1.9230000000000001E-4</v>
      </c>
      <c r="AG5" s="541">
        <v>5.9500499999999998E-2</v>
      </c>
      <c r="AH5" s="546">
        <v>0.9051094890510949</v>
      </c>
      <c r="AI5" s="542">
        <v>6.3520341974657759</v>
      </c>
      <c r="AJ5" s="542">
        <v>5.0000000000000001E-4</v>
      </c>
      <c r="AK5" s="535" t="s">
        <v>248</v>
      </c>
      <c r="AL5" s="542">
        <v>4.5359999999999996</v>
      </c>
      <c r="AM5" s="542">
        <v>4.5408999999999997</v>
      </c>
      <c r="AN5" s="542">
        <v>1.0181</v>
      </c>
      <c r="AO5" s="535" t="s">
        <v>880</v>
      </c>
      <c r="AP5" s="535" t="s">
        <v>323</v>
      </c>
      <c r="AQ5" s="532">
        <v>97.57</v>
      </c>
      <c r="AR5" s="547" t="s">
        <v>881</v>
      </c>
    </row>
    <row r="6" spans="1:702" ht="23.1" customHeight="1">
      <c r="A6" s="540" t="s">
        <v>786</v>
      </c>
      <c r="B6" s="541">
        <v>10.53</v>
      </c>
      <c r="C6" s="541">
        <v>25.45</v>
      </c>
      <c r="D6" s="541">
        <v>12.246934647141078</v>
      </c>
      <c r="E6" s="541">
        <v>13.203065352858921</v>
      </c>
      <c r="F6" s="541">
        <v>14.92</v>
      </c>
      <c r="G6" s="545">
        <v>200</v>
      </c>
      <c r="H6" s="682">
        <v>0.1</v>
      </c>
      <c r="I6" s="683">
        <v>500</v>
      </c>
      <c r="J6" s="683">
        <v>36</v>
      </c>
      <c r="K6" s="683">
        <v>120</v>
      </c>
      <c r="L6" s="541">
        <v>2.6558156105646908</v>
      </c>
      <c r="M6" s="684">
        <v>5</v>
      </c>
      <c r="N6" s="541">
        <v>464</v>
      </c>
      <c r="O6" s="542">
        <v>6.4489999999999998</v>
      </c>
      <c r="P6" s="542">
        <v>2.3929999999999998</v>
      </c>
      <c r="Q6" s="542">
        <v>4.4209999999999994</v>
      </c>
      <c r="R6" s="543">
        <v>5.91E-2</v>
      </c>
      <c r="S6" s="543">
        <v>1.7780000000000001E-4</v>
      </c>
      <c r="T6" s="542">
        <v>9.5200000000000007E-3</v>
      </c>
      <c r="U6" s="544">
        <v>0.375</v>
      </c>
      <c r="V6" s="541">
        <v>42.4</v>
      </c>
      <c r="W6" s="541">
        <v>51.9</v>
      </c>
      <c r="X6" s="541">
        <v>144.80000000000001</v>
      </c>
      <c r="Y6" s="542">
        <v>-2.9032075543605353</v>
      </c>
      <c r="Z6" s="542">
        <v>1.823</v>
      </c>
      <c r="AA6" s="683">
        <v>137</v>
      </c>
      <c r="AB6" s="541">
        <v>124.0277367647347</v>
      </c>
      <c r="AC6" s="541">
        <v>75</v>
      </c>
      <c r="AD6" s="541">
        <v>6.24</v>
      </c>
      <c r="AE6" s="541">
        <v>13.27</v>
      </c>
      <c r="AF6" s="541">
        <v>2.1660000000000001E-4</v>
      </c>
      <c r="AG6" s="541">
        <v>6.6866700000000001E-2</v>
      </c>
      <c r="AH6" s="546">
        <v>0.9051094890510949</v>
      </c>
      <c r="AI6" s="542">
        <v>6.3520341974657759</v>
      </c>
      <c r="AJ6" s="542">
        <v>5.0000000000000001E-4</v>
      </c>
      <c r="AK6" s="535" t="s">
        <v>248</v>
      </c>
      <c r="AL6" s="542">
        <v>3.3801000000000001</v>
      </c>
      <c r="AM6" s="542">
        <v>3.3843000000000001</v>
      </c>
      <c r="AN6" s="542">
        <v>1.0871999999999999</v>
      </c>
      <c r="AO6" s="535" t="s">
        <v>880</v>
      </c>
      <c r="AP6" s="535" t="s">
        <v>323</v>
      </c>
      <c r="AQ6" s="532">
        <v>157</v>
      </c>
      <c r="AR6" s="547" t="s">
        <v>881</v>
      </c>
    </row>
    <row r="7" spans="1:702" ht="23.1" customHeight="1">
      <c r="A7" s="540" t="s">
        <v>787</v>
      </c>
      <c r="B7" s="541">
        <v>10.62</v>
      </c>
      <c r="C7" s="541">
        <v>28.32</v>
      </c>
      <c r="D7" s="541">
        <v>12.396620435570055</v>
      </c>
      <c r="E7" s="541">
        <v>15.923379564429945</v>
      </c>
      <c r="F7" s="541">
        <v>17.700000000000003</v>
      </c>
      <c r="G7" s="545">
        <v>200</v>
      </c>
      <c r="H7" s="682">
        <v>0.1</v>
      </c>
      <c r="I7" s="683">
        <v>500</v>
      </c>
      <c r="J7" s="683">
        <v>36</v>
      </c>
      <c r="K7" s="683">
        <v>120</v>
      </c>
      <c r="L7" s="541">
        <v>2.6506969069787374</v>
      </c>
      <c r="M7" s="684">
        <v>5</v>
      </c>
      <c r="N7" s="541">
        <v>464</v>
      </c>
      <c r="O7" s="542">
        <v>5.2560000000000002</v>
      </c>
      <c r="P7" s="542">
        <v>2.081</v>
      </c>
      <c r="Q7" s="542">
        <v>3.6684999999999999</v>
      </c>
      <c r="R7" s="543">
        <v>6.7290000000000003E-2</v>
      </c>
      <c r="S7" s="543">
        <v>1.7770000000000001E-4</v>
      </c>
      <c r="T7" s="542">
        <v>7.9000000000000008E-3</v>
      </c>
      <c r="U7" s="544">
        <v>0.375</v>
      </c>
      <c r="V7" s="541">
        <v>42.1</v>
      </c>
      <c r="W7" s="541">
        <v>51.5</v>
      </c>
      <c r="X7" s="541">
        <v>132</v>
      </c>
      <c r="Y7" s="542">
        <v>-2.9683500751110659</v>
      </c>
      <c r="Z7" s="542">
        <v>1.946</v>
      </c>
      <c r="AA7" s="683">
        <v>137</v>
      </c>
      <c r="AB7" s="541">
        <v>124.09677319790013</v>
      </c>
      <c r="AC7" s="541">
        <v>75</v>
      </c>
      <c r="AD7" s="541">
        <v>7.4</v>
      </c>
      <c r="AE7" s="541">
        <v>15.75</v>
      </c>
      <c r="AF7" s="541">
        <v>2.5839999999999999E-4</v>
      </c>
      <c r="AG7" s="541">
        <v>7.9182299999999997E-2</v>
      </c>
      <c r="AH7" s="546">
        <v>0.9051094890510949</v>
      </c>
      <c r="AI7" s="542">
        <v>6.3520341974657759</v>
      </c>
      <c r="AJ7" s="542">
        <v>5.0000000000000001E-4</v>
      </c>
      <c r="AK7" s="535" t="s">
        <v>248</v>
      </c>
      <c r="AL7" s="542">
        <v>2.0670999999999999</v>
      </c>
      <c r="AM7" s="542">
        <v>2.0701000000000001</v>
      </c>
      <c r="AN7" s="542">
        <v>1.1600999999999999</v>
      </c>
      <c r="AO7" s="535" t="s">
        <v>880</v>
      </c>
      <c r="AP7" s="535" t="s">
        <v>323</v>
      </c>
      <c r="AQ7" s="532">
        <v>121.9</v>
      </c>
      <c r="AR7" s="547" t="s">
        <v>881</v>
      </c>
    </row>
    <row r="8" spans="1:702" ht="23.1" customHeight="1">
      <c r="A8" s="540" t="s">
        <v>838</v>
      </c>
      <c r="B8" s="541">
        <v>10.33</v>
      </c>
      <c r="C8" s="541">
        <v>27.74</v>
      </c>
      <c r="D8" s="541">
        <v>12.100760208588087</v>
      </c>
      <c r="E8" s="541">
        <v>15.639239791411912</v>
      </c>
      <c r="F8" s="541">
        <v>17.409999999999997</v>
      </c>
      <c r="G8" s="545">
        <v>200</v>
      </c>
      <c r="H8" s="682">
        <v>0.1</v>
      </c>
      <c r="I8" s="683">
        <v>500</v>
      </c>
      <c r="J8" s="683">
        <v>36</v>
      </c>
      <c r="K8" s="683">
        <v>120</v>
      </c>
      <c r="L8" s="541">
        <v>2.6583477035676584</v>
      </c>
      <c r="M8" s="684">
        <v>5</v>
      </c>
      <c r="N8" s="541">
        <v>464</v>
      </c>
      <c r="O8" s="542">
        <v>5.3609999999999998</v>
      </c>
      <c r="P8" s="542">
        <v>1.9950000000000001</v>
      </c>
      <c r="Q8" s="542">
        <v>3.6779999999999999</v>
      </c>
      <c r="R8" s="543">
        <v>6.6489999999999994E-2</v>
      </c>
      <c r="S8" s="543">
        <v>1.7789999999999999E-4</v>
      </c>
      <c r="T8" s="542">
        <v>7.92E-3</v>
      </c>
      <c r="U8" s="544">
        <v>0.375</v>
      </c>
      <c r="V8" s="541">
        <v>41.8</v>
      </c>
      <c r="W8" s="541">
        <v>51.1</v>
      </c>
      <c r="X8" s="541">
        <v>132.1</v>
      </c>
      <c r="Y8" s="542">
        <v>-2.9615085374323593</v>
      </c>
      <c r="Z8" s="542">
        <v>1.9330000000000001</v>
      </c>
      <c r="AA8" s="683">
        <v>137</v>
      </c>
      <c r="AB8" s="541">
        <v>124.07223980154117</v>
      </c>
      <c r="AC8" s="541">
        <v>75</v>
      </c>
      <c r="AD8" s="541">
        <v>7.28</v>
      </c>
      <c r="AE8" s="541">
        <v>15.49</v>
      </c>
      <c r="AF8" s="541">
        <v>2.5349999999999998E-4</v>
      </c>
      <c r="AG8" s="541">
        <v>7.7952999999999995E-2</v>
      </c>
      <c r="AH8" s="546">
        <v>0.9051094890510949</v>
      </c>
      <c r="AI8" s="542">
        <v>6.3520341974657759</v>
      </c>
      <c r="AJ8" s="542">
        <v>5.0000000000000001E-4</v>
      </c>
      <c r="AK8" s="535" t="s">
        <v>248</v>
      </c>
      <c r="AL8" s="542">
        <v>2.1711</v>
      </c>
      <c r="AM8" s="542">
        <v>2.1741999999999999</v>
      </c>
      <c r="AN8" s="542">
        <v>1.1532</v>
      </c>
      <c r="AO8" s="535" t="s">
        <v>880</v>
      </c>
      <c r="AP8" s="535" t="s">
        <v>323</v>
      </c>
      <c r="AQ8" s="532">
        <v>152.80000000000001</v>
      </c>
      <c r="AR8" s="547" t="s">
        <v>881</v>
      </c>
    </row>
    <row r="9" spans="1:702" ht="23.1" customHeight="1">
      <c r="A9" s="540" t="s">
        <v>841</v>
      </c>
      <c r="B9" s="541">
        <v>11.24</v>
      </c>
      <c r="C9" s="541">
        <v>28.59</v>
      </c>
      <c r="D9" s="541">
        <v>13.00953801010909</v>
      </c>
      <c r="E9" s="541">
        <v>15.58046198989091</v>
      </c>
      <c r="F9" s="541">
        <v>17.350000000000001</v>
      </c>
      <c r="G9" s="545">
        <v>200</v>
      </c>
      <c r="H9" s="682">
        <v>0.1</v>
      </c>
      <c r="I9" s="683">
        <v>500</v>
      </c>
      <c r="J9" s="683">
        <v>36</v>
      </c>
      <c r="K9" s="683">
        <v>120</v>
      </c>
      <c r="L9" s="541">
        <v>2.6503102142649215</v>
      </c>
      <c r="M9" s="684">
        <v>5</v>
      </c>
      <c r="N9" s="541">
        <v>464</v>
      </c>
      <c r="O9" s="542">
        <v>5.3810000000000002</v>
      </c>
      <c r="P9" s="542">
        <v>2.1859999999999999</v>
      </c>
      <c r="Q9" s="542">
        <v>3.7835000000000001</v>
      </c>
      <c r="R9" s="543">
        <v>6.658E-2</v>
      </c>
      <c r="S9" s="543">
        <v>1.7780000000000001E-4</v>
      </c>
      <c r="T9" s="542">
        <v>8.1499999999999993E-3</v>
      </c>
      <c r="U9" s="544">
        <v>0.375</v>
      </c>
      <c r="V9" s="541">
        <v>42.3</v>
      </c>
      <c r="W9" s="541">
        <v>51.8</v>
      </c>
      <c r="X9" s="541">
        <v>134</v>
      </c>
      <c r="Y9" s="542">
        <v>-2.9628490353353705</v>
      </c>
      <c r="Z9" s="542">
        <v>1.9350000000000001</v>
      </c>
      <c r="AA9" s="683">
        <v>137</v>
      </c>
      <c r="AB9" s="541">
        <v>124.03237133764719</v>
      </c>
      <c r="AC9" s="541">
        <v>75</v>
      </c>
      <c r="AD9" s="541">
        <v>7.26</v>
      </c>
      <c r="AE9" s="541">
        <v>15.44</v>
      </c>
      <c r="AF9" s="541">
        <v>2.52E-4</v>
      </c>
      <c r="AG9" s="541">
        <v>7.7794600000000005E-2</v>
      </c>
      <c r="AH9" s="546">
        <v>0.9051094890510949</v>
      </c>
      <c r="AI9" s="542">
        <v>6.3520341974657759</v>
      </c>
      <c r="AJ9" s="542">
        <v>5.0000000000000001E-4</v>
      </c>
      <c r="AK9" s="535" t="s">
        <v>248</v>
      </c>
      <c r="AL9" s="542">
        <v>2.1848999999999998</v>
      </c>
      <c r="AM9" s="542">
        <v>2.1880000000000002</v>
      </c>
      <c r="AN9" s="542">
        <v>1.1538999999999999</v>
      </c>
      <c r="AO9" s="535" t="s">
        <v>880</v>
      </c>
      <c r="AP9" s="535" t="s">
        <v>323</v>
      </c>
      <c r="AQ9" s="532">
        <v>105</v>
      </c>
      <c r="AR9" s="547" t="s">
        <v>881</v>
      </c>
    </row>
    <row r="10" spans="1:702" ht="23.1" customHeight="1">
      <c r="A10" s="540" t="s">
        <v>844</v>
      </c>
      <c r="B10" s="541">
        <v>10.95</v>
      </c>
      <c r="C10" s="541">
        <v>28.11</v>
      </c>
      <c r="D10" s="541">
        <v>12.715645275599233</v>
      </c>
      <c r="E10" s="541">
        <v>15.394354724400767</v>
      </c>
      <c r="F10" s="541">
        <v>17.16</v>
      </c>
      <c r="G10" s="545">
        <v>200</v>
      </c>
      <c r="H10" s="682">
        <v>0.1</v>
      </c>
      <c r="I10" s="683">
        <v>500</v>
      </c>
      <c r="J10" s="683">
        <v>36</v>
      </c>
      <c r="K10" s="683">
        <v>120</v>
      </c>
      <c r="L10" s="541">
        <v>2.6530378738824734</v>
      </c>
      <c r="M10" s="684">
        <v>5</v>
      </c>
      <c r="N10" s="541">
        <v>464</v>
      </c>
      <c r="O10" s="542">
        <v>5.452</v>
      </c>
      <c r="P10" s="542">
        <v>1.9730000000000001</v>
      </c>
      <c r="Q10" s="542">
        <v>3.7124999999999999</v>
      </c>
      <c r="R10" s="543">
        <v>6.6089999999999996E-2</v>
      </c>
      <c r="S10" s="543">
        <v>1.7799999999999999E-4</v>
      </c>
      <c r="T10" s="542">
        <v>8.0000000000000002E-3</v>
      </c>
      <c r="U10" s="544">
        <v>0.375</v>
      </c>
      <c r="V10" s="541">
        <v>41.7</v>
      </c>
      <c r="W10" s="541">
        <v>51</v>
      </c>
      <c r="X10" s="541">
        <v>132.69999999999999</v>
      </c>
      <c r="Y10" s="542">
        <v>-2.9587645002951395</v>
      </c>
      <c r="Z10" s="542">
        <v>1.927</v>
      </c>
      <c r="AA10" s="683">
        <v>137</v>
      </c>
      <c r="AB10" s="541">
        <v>124.03311722182498</v>
      </c>
      <c r="AC10" s="541">
        <v>75</v>
      </c>
      <c r="AD10" s="541">
        <v>7.18</v>
      </c>
      <c r="AE10" s="541">
        <v>15.27</v>
      </c>
      <c r="AF10" s="541">
        <v>2.497E-4</v>
      </c>
      <c r="AG10" s="541">
        <v>7.6893100000000006E-2</v>
      </c>
      <c r="AH10" s="546">
        <v>0.9051094890510949</v>
      </c>
      <c r="AI10" s="542">
        <v>6.3520341974657759</v>
      </c>
      <c r="AJ10" s="542">
        <v>5.0000000000000001E-4</v>
      </c>
      <c r="AK10" s="535" t="s">
        <v>248</v>
      </c>
      <c r="AL10" s="542">
        <v>2.2650000000000001</v>
      </c>
      <c r="AM10" s="542">
        <v>2.2682000000000002</v>
      </c>
      <c r="AN10" s="542">
        <v>1.1496999999999999</v>
      </c>
      <c r="AO10" s="535" t="s">
        <v>880</v>
      </c>
      <c r="AP10" s="535" t="s">
        <v>323</v>
      </c>
      <c r="AQ10" s="532">
        <v>152.80000000000001</v>
      </c>
      <c r="AR10" s="547" t="s">
        <v>881</v>
      </c>
    </row>
    <row r="11" spans="1:702" ht="23.1" customHeight="1">
      <c r="A11" s="540" t="s">
        <v>855</v>
      </c>
      <c r="B11" s="541">
        <v>11.39</v>
      </c>
      <c r="C11" s="541">
        <v>29.35</v>
      </c>
      <c r="D11" s="541">
        <v>13.171809485028453</v>
      </c>
      <c r="E11" s="541">
        <v>16.178190514971547</v>
      </c>
      <c r="F11" s="541">
        <v>17.96</v>
      </c>
      <c r="G11" s="545">
        <v>200</v>
      </c>
      <c r="H11" s="682">
        <v>0.1</v>
      </c>
      <c r="I11" s="683">
        <v>500</v>
      </c>
      <c r="J11" s="683">
        <v>36</v>
      </c>
      <c r="K11" s="683">
        <v>120</v>
      </c>
      <c r="L11" s="541">
        <v>2.6499357626932003</v>
      </c>
      <c r="M11" s="684">
        <v>5</v>
      </c>
      <c r="N11" s="541">
        <v>464</v>
      </c>
      <c r="O11" s="542">
        <v>5.1660000000000004</v>
      </c>
      <c r="P11" s="542">
        <v>2.2149999999999999</v>
      </c>
      <c r="Q11" s="542">
        <v>3.6905000000000001</v>
      </c>
      <c r="R11" s="543">
        <v>6.787E-2</v>
      </c>
      <c r="S11" s="543">
        <v>1.7780000000000001E-4</v>
      </c>
      <c r="T11" s="542">
        <v>7.9500000000000005E-3</v>
      </c>
      <c r="U11" s="544">
        <v>0.375</v>
      </c>
      <c r="V11" s="541">
        <v>42.5</v>
      </c>
      <c r="W11" s="541">
        <v>52.1</v>
      </c>
      <c r="X11" s="541">
        <v>132.30000000000001</v>
      </c>
      <c r="Y11" s="542">
        <v>-2.9724209748602282</v>
      </c>
      <c r="Z11" s="542">
        <v>1.954</v>
      </c>
      <c r="AA11" s="683">
        <v>137</v>
      </c>
      <c r="AB11" s="541">
        <v>124.075439445998</v>
      </c>
      <c r="AC11" s="541">
        <v>75</v>
      </c>
      <c r="AD11" s="541">
        <v>7.51</v>
      </c>
      <c r="AE11" s="541">
        <v>15.98</v>
      </c>
      <c r="AF11" s="541">
        <v>2.6170000000000002E-4</v>
      </c>
      <c r="AG11" s="541">
        <v>8.0420400000000003E-2</v>
      </c>
      <c r="AH11" s="546">
        <v>0.9051094890510949</v>
      </c>
      <c r="AI11" s="542">
        <v>6.3520341974657759</v>
      </c>
      <c r="AJ11" s="542">
        <v>5.0000000000000001E-4</v>
      </c>
      <c r="AK11" s="535" t="s">
        <v>248</v>
      </c>
      <c r="AL11" s="542">
        <v>1.9674</v>
      </c>
      <c r="AM11" s="542">
        <v>1.9702999999999999</v>
      </c>
      <c r="AN11" s="542">
        <v>1.1651</v>
      </c>
      <c r="AO11" s="535" t="s">
        <v>880</v>
      </c>
      <c r="AP11" s="535" t="s">
        <v>323</v>
      </c>
      <c r="AQ11" s="532">
        <v>113.7</v>
      </c>
      <c r="AR11" s="547" t="s">
        <v>881</v>
      </c>
    </row>
    <row r="12" spans="1:702" ht="23.1" customHeight="1">
      <c r="A12" s="540" t="s">
        <v>858</v>
      </c>
      <c r="B12" s="541">
        <v>11.52</v>
      </c>
      <c r="C12" s="541">
        <v>28.46</v>
      </c>
      <c r="D12" s="541">
        <v>13.281094582910306</v>
      </c>
      <c r="E12" s="541">
        <v>15.178905417089695</v>
      </c>
      <c r="F12" s="541">
        <v>16.940000000000001</v>
      </c>
      <c r="G12" s="545">
        <v>200</v>
      </c>
      <c r="H12" s="682">
        <v>0.1</v>
      </c>
      <c r="I12" s="683">
        <v>500</v>
      </c>
      <c r="J12" s="683">
        <v>36</v>
      </c>
      <c r="K12" s="683">
        <v>120</v>
      </c>
      <c r="L12" s="541">
        <v>2.6514091884539468</v>
      </c>
      <c r="M12" s="684">
        <v>5</v>
      </c>
      <c r="N12" s="541">
        <v>464</v>
      </c>
      <c r="O12" s="542">
        <v>5.5359999999999996</v>
      </c>
      <c r="P12" s="542">
        <v>2.419</v>
      </c>
      <c r="Q12" s="542">
        <v>3.9775</v>
      </c>
      <c r="R12" s="543">
        <v>6.5570000000000003E-2</v>
      </c>
      <c r="S12" s="543">
        <v>1.7770000000000001E-4</v>
      </c>
      <c r="T12" s="542">
        <v>8.5699999999999995E-3</v>
      </c>
      <c r="U12" s="544">
        <v>0.375</v>
      </c>
      <c r="V12" s="541">
        <v>42.9</v>
      </c>
      <c r="W12" s="541">
        <v>52.5</v>
      </c>
      <c r="X12" s="541">
        <v>137.4</v>
      </c>
      <c r="Y12" s="542">
        <v>-2.9552041974447389</v>
      </c>
      <c r="Z12" s="542">
        <v>1.921</v>
      </c>
      <c r="AA12" s="683">
        <v>137</v>
      </c>
      <c r="AB12" s="541">
        <v>124.10270846418589</v>
      </c>
      <c r="AC12" s="541">
        <v>75</v>
      </c>
      <c r="AD12" s="541">
        <v>7.08</v>
      </c>
      <c r="AE12" s="541">
        <v>15.07</v>
      </c>
      <c r="AF12" s="541">
        <v>2.4729999999999999E-4</v>
      </c>
      <c r="AG12" s="541">
        <v>7.5787999999999994E-2</v>
      </c>
      <c r="AH12" s="546">
        <v>0.9051094890510949</v>
      </c>
      <c r="AI12" s="542">
        <v>6.3520341974657759</v>
      </c>
      <c r="AJ12" s="542">
        <v>5.0000000000000001E-4</v>
      </c>
      <c r="AK12" s="535" t="s">
        <v>248</v>
      </c>
      <c r="AL12" s="542">
        <v>2.3672</v>
      </c>
      <c r="AM12" s="542">
        <v>2.3704000000000001</v>
      </c>
      <c r="AN12" s="542">
        <v>1.1452</v>
      </c>
      <c r="AO12" s="535" t="s">
        <v>880</v>
      </c>
      <c r="AP12" s="535" t="s">
        <v>323</v>
      </c>
      <c r="AQ12" s="532">
        <v>113</v>
      </c>
      <c r="AR12" s="547" t="s">
        <v>881</v>
      </c>
    </row>
    <row r="13" spans="1:702" ht="23.1" customHeight="1">
      <c r="A13" s="540" t="s">
        <v>861</v>
      </c>
      <c r="B13" s="541">
        <v>10.63</v>
      </c>
      <c r="C13" s="541">
        <v>29.47</v>
      </c>
      <c r="D13" s="541">
        <v>12.428937933522073</v>
      </c>
      <c r="E13" s="541">
        <v>17.041062066477927</v>
      </c>
      <c r="F13" s="541">
        <v>18.839999999999996</v>
      </c>
      <c r="G13" s="545">
        <v>200</v>
      </c>
      <c r="H13" s="682">
        <v>0.1</v>
      </c>
      <c r="I13" s="683">
        <v>500</v>
      </c>
      <c r="J13" s="683">
        <v>36</v>
      </c>
      <c r="K13" s="683">
        <v>120</v>
      </c>
      <c r="L13" s="541">
        <v>2.6498691757440973</v>
      </c>
      <c r="M13" s="684">
        <v>5</v>
      </c>
      <c r="N13" s="541">
        <v>464</v>
      </c>
      <c r="O13" s="542">
        <v>4.8860000000000001</v>
      </c>
      <c r="P13" s="542">
        <v>2.2370000000000001</v>
      </c>
      <c r="Q13" s="542">
        <v>3.5615000000000001</v>
      </c>
      <c r="R13" s="543">
        <v>6.9330000000000003E-2</v>
      </c>
      <c r="S13" s="543">
        <v>1.7760000000000001E-4</v>
      </c>
      <c r="T13" s="542">
        <v>7.6699999999999997E-3</v>
      </c>
      <c r="U13" s="544">
        <v>0.375</v>
      </c>
      <c r="V13" s="541">
        <v>42.8</v>
      </c>
      <c r="W13" s="541">
        <v>52.4</v>
      </c>
      <c r="X13" s="541">
        <v>130.1</v>
      </c>
      <c r="Y13" s="542">
        <v>-2.9834570171249313</v>
      </c>
      <c r="Z13" s="542">
        <v>1.976</v>
      </c>
      <c r="AA13" s="683">
        <v>137</v>
      </c>
      <c r="AB13" s="541">
        <v>124.03943935206416</v>
      </c>
      <c r="AC13" s="541">
        <v>75</v>
      </c>
      <c r="AD13" s="541">
        <v>7.88</v>
      </c>
      <c r="AE13" s="541">
        <v>16.760000000000002</v>
      </c>
      <c r="AF13" s="541">
        <v>2.7349999999999998E-4</v>
      </c>
      <c r="AG13" s="541">
        <v>8.4449899999999994E-2</v>
      </c>
      <c r="AH13" s="546">
        <v>0.9051094890510949</v>
      </c>
      <c r="AI13" s="542">
        <v>6.3520341974657759</v>
      </c>
      <c r="AJ13" s="542">
        <v>5.0000000000000001E-4</v>
      </c>
      <c r="AK13" s="535" t="s">
        <v>248</v>
      </c>
      <c r="AL13" s="542">
        <v>1.675</v>
      </c>
      <c r="AM13" s="542">
        <v>1.6776</v>
      </c>
      <c r="AN13" s="542">
        <v>1.1775</v>
      </c>
      <c r="AO13" s="535" t="s">
        <v>880</v>
      </c>
      <c r="AP13" s="535" t="s">
        <v>323</v>
      </c>
      <c r="AQ13" s="532">
        <v>107.1</v>
      </c>
      <c r="AR13" s="547" t="s">
        <v>881</v>
      </c>
    </row>
    <row r="14" spans="1:702" ht="23.1" customHeight="1">
      <c r="A14" s="540" t="s">
        <v>864</v>
      </c>
      <c r="B14" s="541">
        <v>10.76</v>
      </c>
      <c r="C14" s="541">
        <v>28.93</v>
      </c>
      <c r="D14" s="541">
        <v>12.545956947251689</v>
      </c>
      <c r="E14" s="541">
        <v>16.384043052748311</v>
      </c>
      <c r="F14" s="541">
        <v>18.170000000000002</v>
      </c>
      <c r="G14" s="545">
        <v>200</v>
      </c>
      <c r="H14" s="682">
        <v>0.1</v>
      </c>
      <c r="I14" s="683">
        <v>500</v>
      </c>
      <c r="J14" s="683">
        <v>36</v>
      </c>
      <c r="K14" s="683">
        <v>120</v>
      </c>
      <c r="L14" s="541">
        <v>2.6561170371143881</v>
      </c>
      <c r="M14" s="684">
        <v>5</v>
      </c>
      <c r="N14" s="541">
        <v>464</v>
      </c>
      <c r="O14" s="542">
        <v>5.0979999999999999</v>
      </c>
      <c r="P14" s="542">
        <v>2.3140000000000001</v>
      </c>
      <c r="Q14" s="542">
        <v>3.706</v>
      </c>
      <c r="R14" s="543">
        <v>6.8110000000000004E-2</v>
      </c>
      <c r="S14" s="543">
        <v>1.7799999999999999E-4</v>
      </c>
      <c r="T14" s="542">
        <v>7.9799999999999992E-3</v>
      </c>
      <c r="U14" s="544">
        <v>0.375</v>
      </c>
      <c r="V14" s="541">
        <v>42.8</v>
      </c>
      <c r="W14" s="541">
        <v>52.4</v>
      </c>
      <c r="X14" s="541">
        <v>132.5</v>
      </c>
      <c r="Y14" s="542">
        <v>-2.9735882681368135</v>
      </c>
      <c r="Z14" s="542">
        <v>1.956</v>
      </c>
      <c r="AA14" s="683">
        <v>137</v>
      </c>
      <c r="AB14" s="541">
        <v>124.06774301510458</v>
      </c>
      <c r="AC14" s="541">
        <v>75</v>
      </c>
      <c r="AD14" s="541">
        <v>7.6</v>
      </c>
      <c r="AE14" s="541">
        <v>16.170000000000002</v>
      </c>
      <c r="AF14" s="541">
        <v>2.6449999999999998E-4</v>
      </c>
      <c r="AG14" s="541">
        <v>8.1406599999999996E-2</v>
      </c>
      <c r="AH14" s="546">
        <v>0.9051094890510949</v>
      </c>
      <c r="AI14" s="542">
        <v>6.3520341974657759</v>
      </c>
      <c r="AJ14" s="542">
        <v>5.0000000000000001E-4</v>
      </c>
      <c r="AK14" s="535" t="s">
        <v>248</v>
      </c>
      <c r="AL14" s="542">
        <v>1.8915</v>
      </c>
      <c r="AM14" s="542">
        <v>1.8943000000000001</v>
      </c>
      <c r="AN14" s="542">
        <v>1.1671</v>
      </c>
      <c r="AO14" s="535" t="s">
        <v>880</v>
      </c>
      <c r="AP14" s="535" t="s">
        <v>323</v>
      </c>
      <c r="AQ14" s="532">
        <v>113.6</v>
      </c>
      <c r="AR14" s="547" t="s">
        <v>881</v>
      </c>
    </row>
    <row r="15" spans="1:702" ht="23.1" customHeight="1">
      <c r="A15" s="540" t="s">
        <v>867</v>
      </c>
      <c r="B15" s="541">
        <v>10.55</v>
      </c>
      <c r="C15" s="541">
        <v>29.28</v>
      </c>
      <c r="D15" s="541">
        <v>12.346832339616988</v>
      </c>
      <c r="E15" s="541">
        <v>16.933167660383013</v>
      </c>
      <c r="F15" s="541">
        <v>18.73</v>
      </c>
      <c r="G15" s="545">
        <v>200</v>
      </c>
      <c r="H15" s="682">
        <v>0.1</v>
      </c>
      <c r="I15" s="683">
        <v>500</v>
      </c>
      <c r="J15" s="683">
        <v>36</v>
      </c>
      <c r="K15" s="683">
        <v>120</v>
      </c>
      <c r="L15" s="541">
        <v>2.6555037433013595</v>
      </c>
      <c r="M15" s="684">
        <v>5</v>
      </c>
      <c r="N15" s="541">
        <v>464</v>
      </c>
      <c r="O15" s="542">
        <v>4.9210000000000003</v>
      </c>
      <c r="P15" s="542">
        <v>2.2280000000000002</v>
      </c>
      <c r="Q15" s="542">
        <v>3.5745000000000005</v>
      </c>
      <c r="R15" s="543">
        <v>6.8940000000000001E-2</v>
      </c>
      <c r="S15" s="543">
        <v>1.7760000000000001E-4</v>
      </c>
      <c r="T15" s="542">
        <v>7.7000000000000002E-3</v>
      </c>
      <c r="U15" s="544">
        <v>0.375</v>
      </c>
      <c r="V15" s="541">
        <v>42.7</v>
      </c>
      <c r="W15" s="541">
        <v>52.4</v>
      </c>
      <c r="X15" s="541">
        <v>130.30000000000001</v>
      </c>
      <c r="Y15" s="542">
        <v>-2.9807139466445105</v>
      </c>
      <c r="Z15" s="542">
        <v>1.97</v>
      </c>
      <c r="AA15" s="683">
        <v>137</v>
      </c>
      <c r="AB15" s="541">
        <v>124.07094404049944</v>
      </c>
      <c r="AC15" s="541">
        <v>75</v>
      </c>
      <c r="AD15" s="541">
        <v>7.83</v>
      </c>
      <c r="AE15" s="541">
        <v>16.66</v>
      </c>
      <c r="AF15" s="541">
        <v>2.7290000000000002E-4</v>
      </c>
      <c r="AG15" s="541">
        <v>8.3814799999999995E-2</v>
      </c>
      <c r="AH15" s="546">
        <v>0.9051094890510949</v>
      </c>
      <c r="AI15" s="542">
        <v>6.3520341974657759</v>
      </c>
      <c r="AJ15" s="542">
        <v>5.0000000000000001E-4</v>
      </c>
      <c r="AK15" s="535" t="s">
        <v>248</v>
      </c>
      <c r="AL15" s="542">
        <v>1.718</v>
      </c>
      <c r="AM15" s="542">
        <v>1.7206999999999999</v>
      </c>
      <c r="AN15" s="542">
        <v>1.1741999999999999</v>
      </c>
      <c r="AO15" s="535" t="s">
        <v>880</v>
      </c>
      <c r="AP15" s="535" t="s">
        <v>323</v>
      </c>
      <c r="AQ15" s="532">
        <v>73.31</v>
      </c>
      <c r="AR15" s="547" t="s">
        <v>881</v>
      </c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G16" sqref="G16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137</v>
      </c>
      <c r="I3" s="193">
        <v>124.00921152590445</v>
      </c>
      <c r="J3" s="192">
        <v>120</v>
      </c>
      <c r="K3" s="255">
        <v>0.9051094890510949</v>
      </c>
      <c r="M3" s="275" t="s">
        <v>198</v>
      </c>
      <c r="N3" s="263">
        <f>MIN(K3:K35)</f>
        <v>0.9051094890510949</v>
      </c>
      <c r="O3" s="264">
        <f>MAX(K3:K35)</f>
        <v>0.9051094890510949</v>
      </c>
      <c r="Q3" s="256" t="s">
        <v>219</v>
      </c>
      <c r="R3" s="257">
        <v>1.9230000000000001E-4</v>
      </c>
      <c r="S3" s="258">
        <v>5.9500499999999998E-2</v>
      </c>
    </row>
    <row r="4" spans="7:19" ht="20.100000000000001" customHeight="1">
      <c r="G4" s="163" t="s">
        <v>786</v>
      </c>
      <c r="H4" s="164">
        <v>137</v>
      </c>
      <c r="I4" s="171">
        <v>124.0277367647347</v>
      </c>
      <c r="J4" s="164">
        <v>120</v>
      </c>
      <c r="K4" s="175">
        <v>0.9051094890510949</v>
      </c>
      <c r="M4" s="275" t="s">
        <v>205</v>
      </c>
      <c r="N4" s="265">
        <f>MIN(I3:I35)</f>
        <v>124.00921152590445</v>
      </c>
      <c r="O4" s="266">
        <f>MAX(I3:I35)</f>
        <v>124.10270846418589</v>
      </c>
      <c r="Q4" s="177" t="s">
        <v>786</v>
      </c>
      <c r="R4" s="178">
        <v>2.1660000000000001E-4</v>
      </c>
      <c r="S4" s="179">
        <v>6.6866700000000001E-2</v>
      </c>
    </row>
    <row r="5" spans="7:19" ht="20.100000000000001" customHeight="1" thickBot="1">
      <c r="G5" s="191" t="s">
        <v>787</v>
      </c>
      <c r="H5" s="192">
        <v>137</v>
      </c>
      <c r="I5" s="193">
        <v>124.09677319790013</v>
      </c>
      <c r="J5" s="192">
        <v>120</v>
      </c>
      <c r="K5" s="255">
        <v>0.9051094890510949</v>
      </c>
      <c r="M5" s="276" t="s">
        <v>206</v>
      </c>
      <c r="N5" s="267">
        <f>MIN(J3:J35)</f>
        <v>120</v>
      </c>
      <c r="O5" s="268">
        <f>MAX(J3:J35)</f>
        <v>120</v>
      </c>
      <c r="Q5" s="256" t="s">
        <v>787</v>
      </c>
      <c r="R5" s="257">
        <v>2.5839999999999999E-4</v>
      </c>
      <c r="S5" s="258">
        <v>7.9182299999999997E-2</v>
      </c>
    </row>
    <row r="6" spans="7:19" ht="20.100000000000001" customHeight="1">
      <c r="G6" s="163" t="s">
        <v>838</v>
      </c>
      <c r="H6" s="164">
        <v>137</v>
      </c>
      <c r="I6" s="171">
        <v>124.07223980154117</v>
      </c>
      <c r="J6" s="164">
        <v>120</v>
      </c>
      <c r="K6" s="176">
        <v>0.9051094890510949</v>
      </c>
      <c r="Q6" s="177" t="s">
        <v>838</v>
      </c>
      <c r="R6" s="178">
        <v>2.5349999999999998E-4</v>
      </c>
      <c r="S6" s="179">
        <v>7.7952999999999995E-2</v>
      </c>
    </row>
    <row r="7" spans="7:19" ht="20.100000000000001" customHeight="1">
      <c r="G7" s="191" t="s">
        <v>841</v>
      </c>
      <c r="H7" s="192">
        <v>137</v>
      </c>
      <c r="I7" s="193">
        <v>124.03237133764719</v>
      </c>
      <c r="J7" s="192">
        <v>120</v>
      </c>
      <c r="K7" s="194">
        <v>0.9051094890510949</v>
      </c>
      <c r="Q7" s="256" t="s">
        <v>841</v>
      </c>
      <c r="R7" s="257">
        <v>2.52E-4</v>
      </c>
      <c r="S7" s="258">
        <v>7.7794600000000005E-2</v>
      </c>
    </row>
    <row r="8" spans="7:19" ht="20.100000000000001" customHeight="1">
      <c r="G8" s="163" t="s">
        <v>844</v>
      </c>
      <c r="H8" s="164">
        <v>137</v>
      </c>
      <c r="I8" s="171">
        <v>124.03311722182498</v>
      </c>
      <c r="J8" s="164">
        <v>120</v>
      </c>
      <c r="K8" s="176">
        <v>0.9051094890510949</v>
      </c>
      <c r="Q8" s="163" t="s">
        <v>844</v>
      </c>
      <c r="R8" s="164">
        <v>2.497E-4</v>
      </c>
      <c r="S8" s="166">
        <v>7.6893100000000006E-2</v>
      </c>
    </row>
    <row r="9" spans="7:19" ht="20.100000000000001" customHeight="1">
      <c r="G9" s="191" t="s">
        <v>855</v>
      </c>
      <c r="H9" s="192">
        <v>137</v>
      </c>
      <c r="I9" s="193">
        <v>124.075439445998</v>
      </c>
      <c r="J9" s="192">
        <v>120</v>
      </c>
      <c r="K9" s="194">
        <v>0.9051094890510949</v>
      </c>
      <c r="Q9" s="191" t="s">
        <v>855</v>
      </c>
      <c r="R9" s="192">
        <v>2.6170000000000002E-4</v>
      </c>
      <c r="S9" s="195">
        <v>8.0420400000000003E-2</v>
      </c>
    </row>
    <row r="10" spans="7:19" ht="20.100000000000001" customHeight="1">
      <c r="G10" s="163" t="s">
        <v>858</v>
      </c>
      <c r="H10" s="164">
        <v>137</v>
      </c>
      <c r="I10" s="171">
        <v>124.10270846418589</v>
      </c>
      <c r="J10" s="164">
        <v>120</v>
      </c>
      <c r="K10" s="176">
        <v>0.9051094890510949</v>
      </c>
      <c r="Q10" s="163" t="s">
        <v>858</v>
      </c>
      <c r="R10" s="164">
        <v>2.4729999999999999E-4</v>
      </c>
      <c r="S10" s="166">
        <v>7.5787999999999994E-2</v>
      </c>
    </row>
    <row r="11" spans="7:19" ht="20.100000000000001" customHeight="1">
      <c r="G11" s="191" t="s">
        <v>861</v>
      </c>
      <c r="H11" s="192">
        <v>137</v>
      </c>
      <c r="I11" s="193">
        <v>124.03943935206416</v>
      </c>
      <c r="J11" s="192">
        <v>120</v>
      </c>
      <c r="K11" s="194">
        <v>0.9051094890510949</v>
      </c>
      <c r="Q11" s="191" t="s">
        <v>861</v>
      </c>
      <c r="R11" s="192">
        <v>2.7349999999999998E-4</v>
      </c>
      <c r="S11" s="195">
        <v>8.4449899999999994E-2</v>
      </c>
    </row>
    <row r="12" spans="7:19" ht="20.100000000000001" customHeight="1" outlineLevel="1">
      <c r="G12" s="163" t="s">
        <v>864</v>
      </c>
      <c r="H12" s="164">
        <v>137</v>
      </c>
      <c r="I12" s="171">
        <v>124.06774301510458</v>
      </c>
      <c r="J12" s="164">
        <v>120</v>
      </c>
      <c r="K12" s="176">
        <v>0.9051094890510949</v>
      </c>
      <c r="Q12" s="163" t="s">
        <v>864</v>
      </c>
      <c r="R12" s="164">
        <v>2.6449999999999998E-4</v>
      </c>
      <c r="S12" s="166">
        <v>8.1406599999999996E-2</v>
      </c>
    </row>
    <row r="13" spans="7:19" ht="20.100000000000001" customHeight="1" outlineLevel="1">
      <c r="G13" s="191" t="s">
        <v>867</v>
      </c>
      <c r="H13" s="192">
        <v>137</v>
      </c>
      <c r="I13" s="193">
        <v>124.07094404049944</v>
      </c>
      <c r="J13" s="192">
        <v>120</v>
      </c>
      <c r="K13" s="194">
        <v>0.9051094890510949</v>
      </c>
      <c r="Q13" s="191" t="s">
        <v>867</v>
      </c>
      <c r="R13" s="192">
        <v>2.7290000000000002E-4</v>
      </c>
      <c r="S13" s="195">
        <v>8.3814799999999995E-2</v>
      </c>
    </row>
    <row r="14" spans="7:19" ht="20.10000000000000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customHeight="1" outlineLevel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59" t="s">
        <v>219</v>
      </c>
      <c r="G43" s="755">
        <v>75</v>
      </c>
      <c r="H43" s="254">
        <v>11.8</v>
      </c>
      <c r="I43" s="757">
        <v>124.00921152590445</v>
      </c>
    </row>
    <row r="44" spans="6:25" ht="15.95" customHeight="1">
      <c r="F44" s="760"/>
      <c r="G44" s="756"/>
      <c r="H44" s="192">
        <v>5.55</v>
      </c>
      <c r="I44" s="758"/>
      <c r="K44" s="231"/>
    </row>
    <row r="45" spans="6:25" ht="15.95" customHeight="1">
      <c r="F45" s="761" t="s">
        <v>786</v>
      </c>
      <c r="G45" s="763">
        <v>75</v>
      </c>
      <c r="H45" s="164">
        <v>13.27</v>
      </c>
      <c r="I45" s="765">
        <v>124.0277367647347</v>
      </c>
      <c r="K45" s="231"/>
    </row>
    <row r="46" spans="6:25" ht="15.95" customHeight="1">
      <c r="F46" s="762"/>
      <c r="G46" s="764"/>
      <c r="H46" s="164">
        <v>6.24</v>
      </c>
      <c r="I46" s="765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66" t="s">
        <v>787</v>
      </c>
      <c r="G47" s="767">
        <v>75</v>
      </c>
      <c r="H47" s="192">
        <v>15.75</v>
      </c>
      <c r="I47" s="758">
        <v>124.09677319790013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60"/>
      <c r="G48" s="756"/>
      <c r="H48" s="192">
        <v>7.4</v>
      </c>
      <c r="I48" s="758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61" t="s">
        <v>838</v>
      </c>
      <c r="G49" s="763">
        <v>75</v>
      </c>
      <c r="H49" s="164">
        <v>15.49</v>
      </c>
      <c r="I49" s="765">
        <v>124.07223980154117</v>
      </c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62"/>
      <c r="G50" s="764"/>
      <c r="H50" s="164">
        <v>7.28</v>
      </c>
      <c r="I50" s="765"/>
      <c r="K50" s="231"/>
    </row>
    <row r="51" spans="6:25" ht="15.95" customHeight="1">
      <c r="F51" s="766" t="s">
        <v>841</v>
      </c>
      <c r="G51" s="767">
        <v>75</v>
      </c>
      <c r="H51" s="192">
        <v>15.44</v>
      </c>
      <c r="I51" s="758">
        <v>124.03237133764719</v>
      </c>
      <c r="K51" s="231"/>
    </row>
    <row r="52" spans="6:25" ht="15.95" customHeight="1">
      <c r="F52" s="760"/>
      <c r="G52" s="756"/>
      <c r="H52" s="192">
        <v>7.26</v>
      </c>
      <c r="I52" s="758"/>
      <c r="K52" s="231"/>
    </row>
    <row r="53" spans="6:25" ht="15.95" customHeight="1">
      <c r="F53" s="761" t="s">
        <v>844</v>
      </c>
      <c r="G53" s="763">
        <v>75</v>
      </c>
      <c r="H53" s="164">
        <v>15.27</v>
      </c>
      <c r="I53" s="765">
        <v>124.03311722182498</v>
      </c>
      <c r="K53" s="231"/>
    </row>
    <row r="54" spans="6:25" ht="15.95" customHeight="1">
      <c r="F54" s="762"/>
      <c r="G54" s="764"/>
      <c r="H54" s="164">
        <v>7.18</v>
      </c>
      <c r="I54" s="765"/>
      <c r="K54" s="231"/>
    </row>
    <row r="55" spans="6:25" ht="15.95" customHeight="1">
      <c r="F55" s="766" t="s">
        <v>855</v>
      </c>
      <c r="G55" s="767">
        <v>75</v>
      </c>
      <c r="H55" s="192">
        <v>15.98</v>
      </c>
      <c r="I55" s="758">
        <v>124.075439445998</v>
      </c>
      <c r="K55" s="231"/>
    </row>
    <row r="56" spans="6:25" ht="15.95" customHeight="1">
      <c r="F56" s="760"/>
      <c r="G56" s="756"/>
      <c r="H56" s="192">
        <v>7.51</v>
      </c>
      <c r="I56" s="758"/>
      <c r="K56" s="231"/>
    </row>
    <row r="57" spans="6:25" ht="15.95" customHeight="1" outlineLevel="1">
      <c r="F57" s="761" t="s">
        <v>858</v>
      </c>
      <c r="G57" s="763">
        <v>75</v>
      </c>
      <c r="H57" s="164">
        <v>15.07</v>
      </c>
      <c r="I57" s="765">
        <v>124.10270846418589</v>
      </c>
      <c r="K57" s="231"/>
    </row>
    <row r="58" spans="6:25" ht="15.95" customHeight="1" outlineLevel="1">
      <c r="F58" s="762"/>
      <c r="G58" s="764"/>
      <c r="H58" s="164">
        <v>7.08</v>
      </c>
      <c r="I58" s="765"/>
      <c r="K58" s="231"/>
    </row>
    <row r="59" spans="6:25" ht="15.95" customHeight="1" outlineLevel="1">
      <c r="F59" s="766" t="s">
        <v>861</v>
      </c>
      <c r="G59" s="767">
        <v>75</v>
      </c>
      <c r="H59" s="192">
        <v>16.760000000000002</v>
      </c>
      <c r="I59" s="758">
        <v>124.03943935206416</v>
      </c>
      <c r="K59" s="231"/>
    </row>
    <row r="60" spans="6:25" ht="15.95" customHeight="1" outlineLevel="1">
      <c r="F60" s="760"/>
      <c r="G60" s="756"/>
      <c r="H60" s="192">
        <v>7.88</v>
      </c>
      <c r="I60" s="758"/>
      <c r="K60" s="231"/>
    </row>
    <row r="61" spans="6:25" ht="15.95" customHeight="1" outlineLevel="1">
      <c r="F61" s="761" t="s">
        <v>864</v>
      </c>
      <c r="G61" s="763">
        <v>75</v>
      </c>
      <c r="H61" s="164">
        <v>16.170000000000002</v>
      </c>
      <c r="I61" s="765">
        <v>124.06774301510458</v>
      </c>
      <c r="K61" s="231"/>
    </row>
    <row r="62" spans="6:25" ht="15.95" customHeight="1" outlineLevel="1">
      <c r="F62" s="762"/>
      <c r="G62" s="764"/>
      <c r="H62" s="164">
        <v>7.6</v>
      </c>
      <c r="I62" s="765"/>
      <c r="K62" s="231"/>
    </row>
    <row r="63" spans="6:25" ht="15.95" customHeight="1" outlineLevel="1">
      <c r="F63" s="766" t="s">
        <v>867</v>
      </c>
      <c r="G63" s="767">
        <v>75</v>
      </c>
      <c r="H63" s="192">
        <v>16.66</v>
      </c>
      <c r="I63" s="758">
        <v>124.07094404049944</v>
      </c>
      <c r="K63" s="231"/>
    </row>
    <row r="64" spans="6:25" ht="15.95" customHeight="1" outlineLevel="1">
      <c r="F64" s="760"/>
      <c r="G64" s="756"/>
      <c r="H64" s="192">
        <v>7.83</v>
      </c>
      <c r="I64" s="758"/>
      <c r="K64" s="231"/>
    </row>
    <row r="65" spans="6:11" ht="15.95" customHeight="1" outlineLevel="1">
      <c r="F65" s="761"/>
      <c r="G65" s="763"/>
      <c r="H65" s="164"/>
      <c r="I65" s="765"/>
      <c r="K65" s="231"/>
    </row>
    <row r="66" spans="6:11" ht="15.95" customHeight="1" outlineLevel="1">
      <c r="F66" s="762"/>
      <c r="G66" s="764"/>
      <c r="H66" s="164"/>
      <c r="I66" s="765"/>
      <c r="K66" s="231"/>
    </row>
    <row r="67" spans="6:11" ht="15.95" customHeight="1" outlineLevel="1">
      <c r="F67" s="766"/>
      <c r="G67" s="767"/>
      <c r="H67" s="192"/>
      <c r="I67" s="758"/>
      <c r="K67" s="231"/>
    </row>
    <row r="68" spans="6:11" ht="15.95" customHeight="1" outlineLevel="1">
      <c r="F68" s="760"/>
      <c r="G68" s="756"/>
      <c r="H68" s="192"/>
      <c r="I68" s="758"/>
      <c r="K68" s="231"/>
    </row>
    <row r="69" spans="6:11" ht="15.95" customHeight="1" outlineLevel="1">
      <c r="F69" s="761"/>
      <c r="G69" s="763"/>
      <c r="H69" s="164"/>
      <c r="I69" s="765"/>
      <c r="K69" s="231"/>
    </row>
    <row r="70" spans="6:11" ht="15.95" customHeight="1" outlineLevel="1">
      <c r="F70" s="762"/>
      <c r="G70" s="764"/>
      <c r="H70" s="164"/>
      <c r="I70" s="765"/>
      <c r="K70" s="231"/>
    </row>
    <row r="71" spans="6:11" ht="15.95" customHeight="1" outlineLevel="1">
      <c r="F71" s="766"/>
      <c r="G71" s="767"/>
      <c r="H71" s="192"/>
      <c r="I71" s="758"/>
      <c r="K71" s="231"/>
    </row>
    <row r="72" spans="6:11" ht="15.95" customHeight="1" outlineLevel="1">
      <c r="F72" s="760"/>
      <c r="G72" s="756"/>
      <c r="H72" s="192"/>
      <c r="I72" s="758"/>
      <c r="K72" s="231"/>
    </row>
    <row r="73" spans="6:11" ht="15.95" customHeight="1" outlineLevel="1">
      <c r="F73" s="761"/>
      <c r="G73" s="763"/>
      <c r="H73" s="164"/>
      <c r="I73" s="765"/>
    </row>
    <row r="74" spans="6:11" ht="15.95" customHeight="1" outlineLevel="1">
      <c r="F74" s="762"/>
      <c r="G74" s="764"/>
      <c r="H74" s="164"/>
      <c r="I74" s="765"/>
    </row>
    <row r="75" spans="6:11" ht="15.95" customHeight="1" outlineLevel="1">
      <c r="F75" s="766"/>
      <c r="G75" s="767"/>
      <c r="H75" s="192"/>
      <c r="I75" s="758"/>
    </row>
    <row r="76" spans="6:11" ht="15.95" customHeight="1" outlineLevel="1">
      <c r="F76" s="760"/>
      <c r="G76" s="756"/>
      <c r="H76" s="192"/>
      <c r="I76" s="758"/>
    </row>
    <row r="77" spans="6:11" ht="15.95" customHeight="1" outlineLevel="1">
      <c r="F77" s="761"/>
      <c r="G77" s="763"/>
      <c r="H77" s="164"/>
      <c r="I77" s="765"/>
    </row>
    <row r="78" spans="6:11" ht="15.95" customHeight="1" outlineLevel="1">
      <c r="F78" s="762"/>
      <c r="G78" s="764"/>
      <c r="H78" s="164"/>
      <c r="I78" s="765"/>
    </row>
    <row r="79" spans="6:11" ht="15.95" customHeight="1" outlineLevel="1">
      <c r="F79" s="766"/>
      <c r="G79" s="767"/>
      <c r="H79" s="192"/>
      <c r="I79" s="758"/>
    </row>
    <row r="80" spans="6:11" ht="15.95" customHeight="1" outlineLevel="1">
      <c r="F80" s="760"/>
      <c r="G80" s="756"/>
      <c r="H80" s="192"/>
      <c r="I80" s="758"/>
    </row>
    <row r="81" spans="6:9" ht="15.95" customHeight="1" outlineLevel="1">
      <c r="F81" s="761"/>
      <c r="G81" s="763"/>
      <c r="H81" s="164"/>
      <c r="I81" s="765"/>
    </row>
    <row r="82" spans="6:9" ht="15.95" customHeight="1" outlineLevel="1">
      <c r="F82" s="762"/>
      <c r="G82" s="764"/>
      <c r="H82" s="164"/>
      <c r="I82" s="765"/>
    </row>
    <row r="83" spans="6:9" ht="15.95" customHeight="1" outlineLevel="1">
      <c r="F83" s="766"/>
      <c r="G83" s="767"/>
      <c r="H83" s="192"/>
      <c r="I83" s="758"/>
    </row>
    <row r="84" spans="6:9" ht="15.95" customHeight="1" outlineLevel="1">
      <c r="F84" s="760"/>
      <c r="G84" s="756"/>
      <c r="H84" s="192"/>
      <c r="I84" s="758"/>
    </row>
    <row r="85" spans="6:9" ht="15.95" customHeight="1" outlineLevel="1">
      <c r="F85" s="761"/>
      <c r="G85" s="763"/>
      <c r="H85" s="164"/>
      <c r="I85" s="765"/>
    </row>
    <row r="86" spans="6:9" ht="15.95" customHeight="1" outlineLevel="1">
      <c r="F86" s="762"/>
      <c r="G86" s="764"/>
      <c r="H86" s="164"/>
      <c r="I86" s="765"/>
    </row>
    <row r="87" spans="6:9" ht="15.95" customHeight="1" outlineLevel="1">
      <c r="F87" s="766"/>
      <c r="G87" s="767"/>
      <c r="H87" s="192"/>
      <c r="I87" s="758"/>
    </row>
    <row r="88" spans="6:9" ht="15.95" customHeight="1" outlineLevel="1">
      <c r="F88" s="760"/>
      <c r="G88" s="756"/>
      <c r="H88" s="192"/>
      <c r="I88" s="758"/>
    </row>
    <row r="89" spans="6:9" ht="15.95" customHeight="1" outlineLevel="1">
      <c r="F89" s="761"/>
      <c r="G89" s="763"/>
      <c r="H89" s="164"/>
      <c r="I89" s="765"/>
    </row>
    <row r="90" spans="6:9" ht="15.95" customHeight="1" outlineLevel="1">
      <c r="F90" s="762"/>
      <c r="G90" s="764"/>
      <c r="H90" s="164"/>
      <c r="I90" s="765"/>
    </row>
    <row r="91" spans="6:9" ht="15.95" customHeight="1" outlineLevel="1">
      <c r="F91" s="766"/>
      <c r="G91" s="767"/>
      <c r="H91" s="192"/>
      <c r="I91" s="758"/>
    </row>
    <row r="92" spans="6:9" ht="15.95" customHeight="1" outlineLevel="1">
      <c r="F92" s="760"/>
      <c r="G92" s="756"/>
      <c r="H92" s="192"/>
      <c r="I92" s="758"/>
    </row>
    <row r="93" spans="6:9" ht="15.95" customHeight="1" outlineLevel="1">
      <c r="F93" s="761"/>
      <c r="G93" s="763"/>
      <c r="H93" s="164"/>
      <c r="I93" s="765"/>
    </row>
    <row r="94" spans="6:9" ht="15.95" customHeight="1" outlineLevel="1">
      <c r="F94" s="762"/>
      <c r="G94" s="764"/>
      <c r="H94" s="164"/>
      <c r="I94" s="765"/>
    </row>
    <row r="95" spans="6:9" ht="15.95" customHeight="1" outlineLevel="1">
      <c r="F95" s="771"/>
      <c r="G95" s="768"/>
      <c r="H95" s="120"/>
      <c r="I95" s="770"/>
    </row>
    <row r="96" spans="6:9" ht="15.95" customHeight="1" outlineLevel="1">
      <c r="F96" s="772"/>
      <c r="G96" s="769"/>
      <c r="H96" s="120"/>
      <c r="I96" s="770"/>
    </row>
    <row r="97" spans="6:9" ht="15.95" customHeight="1" outlineLevel="1">
      <c r="F97" s="773"/>
      <c r="G97" s="775"/>
      <c r="H97" s="169"/>
      <c r="I97" s="777"/>
    </row>
    <row r="98" spans="6:9" ht="15.95" customHeight="1" outlineLevel="1">
      <c r="F98" s="779"/>
      <c r="G98" s="780"/>
      <c r="H98" s="169"/>
      <c r="I98" s="777"/>
    </row>
    <row r="99" spans="6:9" ht="15.95" customHeight="1" outlineLevel="1">
      <c r="F99" s="771"/>
      <c r="G99" s="768"/>
      <c r="H99" s="120"/>
      <c r="I99" s="770"/>
    </row>
    <row r="100" spans="6:9" ht="15.95" customHeight="1" outlineLevel="1">
      <c r="F100" s="772"/>
      <c r="G100" s="769"/>
      <c r="H100" s="120"/>
      <c r="I100" s="770"/>
    </row>
    <row r="101" spans="6:9" ht="15.95" customHeight="1" outlineLevel="1">
      <c r="F101" s="773"/>
      <c r="G101" s="775"/>
      <c r="H101" s="169"/>
      <c r="I101" s="777"/>
    </row>
    <row r="102" spans="6:9" ht="15.95" customHeight="1" outlineLevel="1" thickBot="1">
      <c r="F102" s="774"/>
      <c r="G102" s="776"/>
      <c r="H102" s="247"/>
      <c r="I102" s="77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10.10937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827</v>
      </c>
      <c r="S1" s="259" t="s">
        <v>224</v>
      </c>
    </row>
    <row r="2" spans="2:21" ht="36.75" customHeight="1">
      <c r="C2" s="737" t="s">
        <v>209</v>
      </c>
      <c r="D2" s="738" t="s">
        <v>590</v>
      </c>
      <c r="E2" s="738" t="s">
        <v>206</v>
      </c>
      <c r="F2" s="738" t="s">
        <v>213</v>
      </c>
      <c r="G2" s="738" t="s">
        <v>214</v>
      </c>
      <c r="H2" s="738" t="s">
        <v>154</v>
      </c>
      <c r="I2" s="738" t="s">
        <v>215</v>
      </c>
      <c r="J2" s="739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45" t="s">
        <v>825</v>
      </c>
      <c r="Q2" s="646" t="s">
        <v>826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740" t="s">
        <v>219</v>
      </c>
      <c r="D3" s="741">
        <v>2880</v>
      </c>
      <c r="E3" s="741">
        <v>120</v>
      </c>
      <c r="F3" s="741">
        <v>10.24</v>
      </c>
      <c r="G3" s="741">
        <v>23.5</v>
      </c>
      <c r="H3" s="741">
        <v>13.26</v>
      </c>
      <c r="I3" s="741">
        <v>0.1</v>
      </c>
      <c r="J3" s="742">
        <v>2.6534370510113732</v>
      </c>
      <c r="K3" s="231"/>
      <c r="L3" s="191">
        <v>120</v>
      </c>
      <c r="M3" s="192">
        <v>0.1</v>
      </c>
      <c r="N3" s="192">
        <v>0.1</v>
      </c>
      <c r="O3" s="192">
        <v>464</v>
      </c>
      <c r="P3" s="192">
        <v>7.4550000000000001</v>
      </c>
      <c r="Q3" s="195">
        <v>5.1830000000000001E-2</v>
      </c>
      <c r="S3" s="242">
        <v>23.5</v>
      </c>
      <c r="T3" s="227">
        <v>11.916905946600821</v>
      </c>
      <c r="U3" s="237">
        <v>11.583094053399179</v>
      </c>
    </row>
    <row r="4" spans="2:21" ht="20.100000000000001" customHeight="1">
      <c r="C4" s="743" t="s">
        <v>786</v>
      </c>
      <c r="D4" s="744">
        <v>2880</v>
      </c>
      <c r="E4" s="744">
        <v>120</v>
      </c>
      <c r="F4" s="744">
        <v>10.53</v>
      </c>
      <c r="G4" s="744">
        <v>25.45</v>
      </c>
      <c r="H4" s="744">
        <v>14.92</v>
      </c>
      <c r="I4" s="744">
        <v>0.1</v>
      </c>
      <c r="J4" s="745">
        <v>2.6558156105646908</v>
      </c>
      <c r="K4" s="231"/>
      <c r="L4" s="163">
        <v>120</v>
      </c>
      <c r="M4" s="164">
        <v>0.1</v>
      </c>
      <c r="N4" s="164">
        <v>0.1</v>
      </c>
      <c r="O4" s="164">
        <v>464</v>
      </c>
      <c r="P4" s="164">
        <v>6.4489999999999998</v>
      </c>
      <c r="Q4" s="166">
        <v>5.91E-2</v>
      </c>
      <c r="S4" s="207">
        <v>25.45</v>
      </c>
      <c r="T4" s="168">
        <v>12.246934647141078</v>
      </c>
      <c r="U4" s="165">
        <v>13.203065352858921</v>
      </c>
    </row>
    <row r="5" spans="2:21" ht="20.100000000000001" customHeight="1">
      <c r="C5" s="740" t="s">
        <v>787</v>
      </c>
      <c r="D5" s="741">
        <v>2880</v>
      </c>
      <c r="E5" s="741">
        <v>120</v>
      </c>
      <c r="F5" s="741">
        <v>10.62</v>
      </c>
      <c r="G5" s="741">
        <v>28.32</v>
      </c>
      <c r="H5" s="741">
        <v>17.700000000000003</v>
      </c>
      <c r="I5" s="741">
        <v>0.1</v>
      </c>
      <c r="J5" s="742">
        <v>2.6506969069787374</v>
      </c>
      <c r="K5" s="231"/>
      <c r="L5" s="191">
        <v>120</v>
      </c>
      <c r="M5" s="192">
        <v>0.1</v>
      </c>
      <c r="N5" s="192">
        <v>0.1</v>
      </c>
      <c r="O5" s="192">
        <v>464</v>
      </c>
      <c r="P5" s="192">
        <v>5.2560000000000002</v>
      </c>
      <c r="Q5" s="195">
        <v>6.7290000000000003E-2</v>
      </c>
      <c r="S5" s="242">
        <v>28.32</v>
      </c>
      <c r="T5" s="227">
        <v>12.396620435570055</v>
      </c>
      <c r="U5" s="237">
        <v>15.923379564429945</v>
      </c>
    </row>
    <row r="6" spans="2:21" ht="20.100000000000001" customHeight="1">
      <c r="C6" s="743" t="s">
        <v>838</v>
      </c>
      <c r="D6" s="744">
        <v>2880</v>
      </c>
      <c r="E6" s="744">
        <v>120</v>
      </c>
      <c r="F6" s="744">
        <v>10.33</v>
      </c>
      <c r="G6" s="744">
        <v>27.74</v>
      </c>
      <c r="H6" s="744">
        <v>17.409999999999997</v>
      </c>
      <c r="I6" s="744">
        <v>0.1</v>
      </c>
      <c r="J6" s="745">
        <v>2.6583477035676584</v>
      </c>
      <c r="K6" s="231"/>
      <c r="L6" s="163">
        <v>120</v>
      </c>
      <c r="M6" s="164">
        <v>0.1</v>
      </c>
      <c r="N6" s="164">
        <v>0.1</v>
      </c>
      <c r="O6" s="164">
        <v>464</v>
      </c>
      <c r="P6" s="164">
        <v>5.3609999999999998</v>
      </c>
      <c r="Q6" s="166">
        <v>6.6489999999999994E-2</v>
      </c>
      <c r="S6" s="207">
        <v>27.74</v>
      </c>
      <c r="T6" s="168">
        <v>12.100760208588087</v>
      </c>
      <c r="U6" s="165">
        <v>15.639239791411912</v>
      </c>
    </row>
    <row r="7" spans="2:21" ht="20.100000000000001" customHeight="1">
      <c r="C7" s="740" t="s">
        <v>841</v>
      </c>
      <c r="D7" s="741">
        <v>2880</v>
      </c>
      <c r="E7" s="741">
        <v>120</v>
      </c>
      <c r="F7" s="741">
        <v>11.24</v>
      </c>
      <c r="G7" s="741">
        <v>28.59</v>
      </c>
      <c r="H7" s="741">
        <v>17.350000000000001</v>
      </c>
      <c r="I7" s="741">
        <v>0.1</v>
      </c>
      <c r="J7" s="742">
        <v>2.6503102142649215</v>
      </c>
      <c r="K7" s="231"/>
      <c r="L7" s="191">
        <v>120</v>
      </c>
      <c r="M7" s="192">
        <v>0.1</v>
      </c>
      <c r="N7" s="192">
        <v>0.1</v>
      </c>
      <c r="O7" s="192">
        <v>464</v>
      </c>
      <c r="P7" s="192">
        <v>5.3810000000000002</v>
      </c>
      <c r="Q7" s="195">
        <v>6.658E-2</v>
      </c>
      <c r="S7" s="242">
        <v>28.59</v>
      </c>
      <c r="T7" s="227">
        <v>13.00953801010909</v>
      </c>
      <c r="U7" s="237">
        <v>15.58046198989091</v>
      </c>
    </row>
    <row r="8" spans="2:21" ht="20.100000000000001" customHeight="1">
      <c r="C8" s="743" t="s">
        <v>844</v>
      </c>
      <c r="D8" s="744">
        <v>2880</v>
      </c>
      <c r="E8" s="744">
        <v>120</v>
      </c>
      <c r="F8" s="744">
        <v>10.95</v>
      </c>
      <c r="G8" s="744">
        <v>28.11</v>
      </c>
      <c r="H8" s="744">
        <v>17.16</v>
      </c>
      <c r="I8" s="744">
        <v>0.1</v>
      </c>
      <c r="J8" s="745">
        <v>2.6530378738824734</v>
      </c>
      <c r="K8" s="231"/>
      <c r="L8" s="163">
        <v>120</v>
      </c>
      <c r="M8" s="164">
        <v>0.1</v>
      </c>
      <c r="N8" s="164">
        <v>0.1</v>
      </c>
      <c r="O8" s="164">
        <v>464</v>
      </c>
      <c r="P8" s="164">
        <v>5.452</v>
      </c>
      <c r="Q8" s="166">
        <v>6.6089999999999996E-2</v>
      </c>
      <c r="S8" s="163">
        <v>28.11</v>
      </c>
      <c r="T8" s="168">
        <v>12.715645275599233</v>
      </c>
      <c r="U8" s="165">
        <v>15.394354724400767</v>
      </c>
    </row>
    <row r="9" spans="2:21" ht="20.100000000000001" customHeight="1">
      <c r="B9" s="280" t="s">
        <v>749</v>
      </c>
      <c r="C9" s="740" t="s">
        <v>855</v>
      </c>
      <c r="D9" s="741">
        <v>2880</v>
      </c>
      <c r="E9" s="741">
        <v>120</v>
      </c>
      <c r="F9" s="741">
        <v>11.39</v>
      </c>
      <c r="G9" s="741">
        <v>29.35</v>
      </c>
      <c r="H9" s="741">
        <v>17.96</v>
      </c>
      <c r="I9" s="741">
        <v>0.1</v>
      </c>
      <c r="J9" s="742">
        <v>2.6499357626932003</v>
      </c>
      <c r="K9" s="231"/>
      <c r="L9" s="191">
        <v>120</v>
      </c>
      <c r="M9" s="192">
        <v>0.1</v>
      </c>
      <c r="N9" s="192">
        <v>0.1</v>
      </c>
      <c r="O9" s="192">
        <v>464</v>
      </c>
      <c r="P9" s="192">
        <v>5.1660000000000004</v>
      </c>
      <c r="Q9" s="195">
        <v>6.787E-2</v>
      </c>
      <c r="S9" s="191">
        <v>29.35</v>
      </c>
      <c r="T9" s="227">
        <v>13.171809485028453</v>
      </c>
      <c r="U9" s="237">
        <v>16.178190514971547</v>
      </c>
    </row>
    <row r="10" spans="2:21" ht="20.100000000000001" customHeight="1">
      <c r="B10" s="280" t="s">
        <v>750</v>
      </c>
      <c r="C10" s="743" t="s">
        <v>858</v>
      </c>
      <c r="D10" s="744">
        <v>2880</v>
      </c>
      <c r="E10" s="744">
        <v>120</v>
      </c>
      <c r="F10" s="744">
        <v>11.52</v>
      </c>
      <c r="G10" s="744">
        <v>28.46</v>
      </c>
      <c r="H10" s="744">
        <v>16.940000000000001</v>
      </c>
      <c r="I10" s="744">
        <v>0.1</v>
      </c>
      <c r="J10" s="745">
        <v>2.6514091884539468</v>
      </c>
      <c r="K10" s="231"/>
      <c r="L10" s="163">
        <v>120</v>
      </c>
      <c r="M10" s="164">
        <v>0.1</v>
      </c>
      <c r="N10" s="164">
        <v>0.1</v>
      </c>
      <c r="O10" s="164">
        <v>464</v>
      </c>
      <c r="P10" s="164">
        <v>5.5359999999999996</v>
      </c>
      <c r="Q10" s="166">
        <v>6.5570000000000003E-2</v>
      </c>
      <c r="S10" s="163">
        <v>28.46</v>
      </c>
      <c r="T10" s="168">
        <v>13.281094582910306</v>
      </c>
      <c r="U10" s="165">
        <v>15.178905417089695</v>
      </c>
    </row>
    <row r="11" spans="2:21" ht="20.100000000000001" customHeight="1">
      <c r="C11" s="740" t="s">
        <v>861</v>
      </c>
      <c r="D11" s="741">
        <v>2880</v>
      </c>
      <c r="E11" s="741">
        <v>120</v>
      </c>
      <c r="F11" s="741">
        <v>10.63</v>
      </c>
      <c r="G11" s="741">
        <v>29.47</v>
      </c>
      <c r="H11" s="741">
        <v>18.839999999999996</v>
      </c>
      <c r="I11" s="741">
        <v>0.1</v>
      </c>
      <c r="J11" s="742">
        <v>2.6498691757440973</v>
      </c>
      <c r="K11" s="231"/>
      <c r="L11" s="191">
        <v>120</v>
      </c>
      <c r="M11" s="192">
        <v>0.1</v>
      </c>
      <c r="N11" s="192">
        <v>0.1</v>
      </c>
      <c r="O11" s="192">
        <v>464</v>
      </c>
      <c r="P11" s="192">
        <v>4.8860000000000001</v>
      </c>
      <c r="Q11" s="195">
        <v>6.9330000000000003E-2</v>
      </c>
      <c r="S11" s="191">
        <v>29.47</v>
      </c>
      <c r="T11" s="227">
        <v>12.428937933522073</v>
      </c>
      <c r="U11" s="237">
        <v>17.041062066477927</v>
      </c>
    </row>
    <row r="12" spans="2:21" ht="20.100000000000001" customHeight="1">
      <c r="C12" s="743" t="s">
        <v>864</v>
      </c>
      <c r="D12" s="744">
        <v>2880</v>
      </c>
      <c r="E12" s="744">
        <v>120</v>
      </c>
      <c r="F12" s="744">
        <v>10.76</v>
      </c>
      <c r="G12" s="744">
        <v>28.93</v>
      </c>
      <c r="H12" s="744">
        <v>18.170000000000002</v>
      </c>
      <c r="I12" s="744">
        <v>0.1</v>
      </c>
      <c r="J12" s="745">
        <v>2.6561170371143881</v>
      </c>
      <c r="K12" s="231"/>
      <c r="L12" s="163">
        <v>120</v>
      </c>
      <c r="M12" s="164">
        <v>0.1</v>
      </c>
      <c r="N12" s="164">
        <v>0.1</v>
      </c>
      <c r="O12" s="164">
        <v>464</v>
      </c>
      <c r="P12" s="164">
        <v>5.0979999999999999</v>
      </c>
      <c r="Q12" s="166">
        <v>6.8110000000000004E-2</v>
      </c>
      <c r="S12" s="163">
        <v>28.93</v>
      </c>
      <c r="T12" s="168">
        <v>12.545956947251689</v>
      </c>
      <c r="U12" s="165">
        <v>16.384043052748311</v>
      </c>
    </row>
    <row r="13" spans="2:21" ht="20.100000000000001" customHeight="1" outlineLevel="1">
      <c r="C13" s="740" t="s">
        <v>867</v>
      </c>
      <c r="D13" s="741">
        <v>2880</v>
      </c>
      <c r="E13" s="741">
        <v>120</v>
      </c>
      <c r="F13" s="741">
        <v>10.55</v>
      </c>
      <c r="G13" s="741">
        <v>29.28</v>
      </c>
      <c r="H13" s="741">
        <v>18.73</v>
      </c>
      <c r="I13" s="741">
        <v>0.1</v>
      </c>
      <c r="J13" s="742">
        <v>2.6555037433013595</v>
      </c>
      <c r="K13" s="231"/>
      <c r="L13" s="191">
        <v>120</v>
      </c>
      <c r="M13" s="192">
        <v>0.1</v>
      </c>
      <c r="N13" s="192">
        <v>0.1</v>
      </c>
      <c r="O13" s="192">
        <v>464</v>
      </c>
      <c r="P13" s="192">
        <v>4.9210000000000003</v>
      </c>
      <c r="Q13" s="195">
        <v>6.8940000000000001E-2</v>
      </c>
      <c r="S13" s="191">
        <v>29.28</v>
      </c>
      <c r="T13" s="227">
        <v>12.346832339616988</v>
      </c>
      <c r="U13" s="237">
        <v>16.933167660383013</v>
      </c>
    </row>
    <row r="14" spans="2:21" ht="20.100000000000001" customHeight="1" outlineLevel="1">
      <c r="C14" s="743"/>
      <c r="D14" s="744"/>
      <c r="E14" s="744"/>
      <c r="F14" s="744"/>
      <c r="G14" s="744"/>
      <c r="H14" s="744"/>
      <c r="I14" s="744"/>
      <c r="J14" s="74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customHeight="1" outlineLevel="1">
      <c r="C15" s="740"/>
      <c r="D15" s="741"/>
      <c r="E15" s="741"/>
      <c r="F15" s="741"/>
      <c r="G15" s="741"/>
      <c r="H15" s="741"/>
      <c r="I15" s="741"/>
      <c r="J15" s="742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customHeight="1" outlineLevel="1">
      <c r="C16" s="743"/>
      <c r="D16" s="744"/>
      <c r="E16" s="744"/>
      <c r="F16" s="744"/>
      <c r="G16" s="744"/>
      <c r="H16" s="744"/>
      <c r="I16" s="744"/>
      <c r="J16" s="74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customHeight="1" outlineLevel="1">
      <c r="C17" s="740"/>
      <c r="D17" s="741"/>
      <c r="E17" s="741"/>
      <c r="F17" s="741"/>
      <c r="G17" s="741"/>
      <c r="H17" s="741"/>
      <c r="I17" s="741"/>
      <c r="J17" s="742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customHeight="1" outlineLevel="1">
      <c r="C18" s="743"/>
      <c r="D18" s="744"/>
      <c r="E18" s="744"/>
      <c r="F18" s="744"/>
      <c r="G18" s="744"/>
      <c r="H18" s="744"/>
      <c r="I18" s="744"/>
      <c r="J18" s="74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customHeight="1" outlineLevel="1">
      <c r="C19" s="740"/>
      <c r="D19" s="741"/>
      <c r="E19" s="741"/>
      <c r="F19" s="741"/>
      <c r="G19" s="741"/>
      <c r="H19" s="741"/>
      <c r="I19" s="741"/>
      <c r="J19" s="742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customHeight="1" outlineLevel="1">
      <c r="C20" s="743"/>
      <c r="D20" s="744"/>
      <c r="E20" s="744"/>
      <c r="F20" s="744"/>
      <c r="G20" s="744"/>
      <c r="H20" s="744"/>
      <c r="I20" s="744"/>
      <c r="J20" s="74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customHeight="1" outlineLevel="1">
      <c r="C21" s="740"/>
      <c r="D21" s="741"/>
      <c r="E21" s="741"/>
      <c r="F21" s="741"/>
      <c r="G21" s="741"/>
      <c r="H21" s="741"/>
      <c r="I21" s="741"/>
      <c r="J21" s="742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customHeight="1" outlineLevel="1">
      <c r="C22" s="743"/>
      <c r="D22" s="744"/>
      <c r="E22" s="744"/>
      <c r="F22" s="744"/>
      <c r="G22" s="744"/>
      <c r="H22" s="744"/>
      <c r="I22" s="744"/>
      <c r="J22" s="74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customHeight="1" outlineLevel="1">
      <c r="C23" s="740"/>
      <c r="D23" s="741"/>
      <c r="E23" s="741"/>
      <c r="F23" s="741"/>
      <c r="G23" s="741"/>
      <c r="H23" s="741"/>
      <c r="I23" s="741"/>
      <c r="J23" s="742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customHeight="1" outlineLevel="1">
      <c r="C24" s="743"/>
      <c r="D24" s="744"/>
      <c r="E24" s="744"/>
      <c r="F24" s="744"/>
      <c r="G24" s="744"/>
      <c r="H24" s="744"/>
      <c r="I24" s="744"/>
      <c r="J24" s="74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customHeight="1" outlineLevel="1">
      <c r="C25" s="740"/>
      <c r="D25" s="741"/>
      <c r="E25" s="741"/>
      <c r="F25" s="741"/>
      <c r="G25" s="741"/>
      <c r="H25" s="741"/>
      <c r="I25" s="741"/>
      <c r="J25" s="742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customHeight="1" outlineLevel="1">
      <c r="C26" s="743"/>
      <c r="D26" s="744"/>
      <c r="E26" s="744"/>
      <c r="F26" s="744"/>
      <c r="G26" s="744"/>
      <c r="H26" s="744"/>
      <c r="I26" s="744"/>
      <c r="J26" s="74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customHeight="1" outlineLevel="1">
      <c r="C27" s="740"/>
      <c r="D27" s="741"/>
      <c r="E27" s="741"/>
      <c r="F27" s="741"/>
      <c r="G27" s="741"/>
      <c r="H27" s="741"/>
      <c r="I27" s="741"/>
      <c r="J27" s="742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customHeight="1" outlineLevel="1">
      <c r="C28" s="743"/>
      <c r="D28" s="744"/>
      <c r="E28" s="744"/>
      <c r="F28" s="744"/>
      <c r="G28" s="744"/>
      <c r="H28" s="744"/>
      <c r="I28" s="744"/>
      <c r="J28" s="74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customHeight="1" outlineLevel="1">
      <c r="C29" s="740"/>
      <c r="D29" s="741"/>
      <c r="E29" s="741"/>
      <c r="F29" s="741"/>
      <c r="G29" s="741"/>
      <c r="H29" s="741"/>
      <c r="I29" s="741"/>
      <c r="J29" s="742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customHeight="1" outlineLevel="1">
      <c r="C30" s="743"/>
      <c r="D30" s="744"/>
      <c r="E30" s="744"/>
      <c r="F30" s="744"/>
      <c r="G30" s="744"/>
      <c r="H30" s="744"/>
      <c r="I30" s="744"/>
      <c r="J30" s="74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customHeight="1" outlineLevel="1">
      <c r="C31" s="740"/>
      <c r="D31" s="741"/>
      <c r="E31" s="741"/>
      <c r="F31" s="741"/>
      <c r="G31" s="741"/>
      <c r="H31" s="741"/>
      <c r="I31" s="741"/>
      <c r="J31" s="742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customHeight="1" outlineLevel="1">
      <c r="C32" s="743"/>
      <c r="D32" s="744"/>
      <c r="E32" s="744"/>
      <c r="F32" s="744"/>
      <c r="G32" s="744"/>
      <c r="H32" s="744"/>
      <c r="I32" s="744"/>
      <c r="J32" s="74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customHeight="1" outlineLevel="1" thickBot="1">
      <c r="C33" s="746"/>
      <c r="D33" s="612"/>
      <c r="E33" s="747"/>
      <c r="F33" s="747"/>
      <c r="G33" s="747"/>
      <c r="H33" s="747"/>
      <c r="I33" s="747"/>
      <c r="J33" s="748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04" t="s">
        <v>245</v>
      </c>
      <c r="D37" s="605" t="s">
        <v>81</v>
      </c>
      <c r="E37" s="605" t="s">
        <v>147</v>
      </c>
      <c r="F37" s="605" t="s">
        <v>148</v>
      </c>
      <c r="G37" s="606" t="s">
        <v>839</v>
      </c>
      <c r="H37" s="605" t="s">
        <v>842</v>
      </c>
      <c r="I37" s="605" t="s">
        <v>845</v>
      </c>
      <c r="J37" s="605" t="s">
        <v>856</v>
      </c>
      <c r="K37" s="605" t="s">
        <v>859</v>
      </c>
      <c r="L37" s="605" t="s">
        <v>862</v>
      </c>
      <c r="M37" s="605" t="s">
        <v>865</v>
      </c>
      <c r="N37" s="605" t="s">
        <v>868</v>
      </c>
      <c r="O37" s="605"/>
      <c r="P37" s="605"/>
      <c r="Q37" s="605"/>
      <c r="R37" s="605"/>
      <c r="S37" s="605"/>
      <c r="T37" s="605"/>
      <c r="U37" s="605"/>
      <c r="V37" s="605"/>
      <c r="W37" s="605"/>
      <c r="X37" s="605"/>
      <c r="Y37" s="605"/>
      <c r="Z37" s="605"/>
      <c r="AA37" s="605"/>
      <c r="AB37" s="605"/>
      <c r="AC37" s="605"/>
      <c r="AD37" s="605"/>
      <c r="AE37" s="605"/>
      <c r="AF37" s="605"/>
      <c r="AG37" s="607"/>
      <c r="AI37" s="230"/>
      <c r="AJ37" s="231"/>
    </row>
    <row r="38" spans="3:36" s="231" customFormat="1" ht="23.1" customHeight="1">
      <c r="C38" s="608" t="s">
        <v>231</v>
      </c>
      <c r="D38" s="725">
        <v>5.2190000000000003</v>
      </c>
      <c r="E38" s="726">
        <v>4.4209999999999994</v>
      </c>
      <c r="F38" s="725">
        <v>3.6684999999999999</v>
      </c>
      <c r="G38" s="726">
        <v>3.6779999999999999</v>
      </c>
      <c r="H38" s="725">
        <v>3.7835000000000001</v>
      </c>
      <c r="I38" s="726">
        <v>3.7124999999999999</v>
      </c>
      <c r="J38" s="725">
        <v>3.6905000000000001</v>
      </c>
      <c r="K38" s="726">
        <v>3.9775</v>
      </c>
      <c r="L38" s="725">
        <v>3.5615000000000001</v>
      </c>
      <c r="M38" s="726">
        <v>3.706</v>
      </c>
      <c r="N38" s="725">
        <v>3.5745000000000005</v>
      </c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33"/>
      <c r="AC38" s="733"/>
      <c r="AD38" s="733"/>
      <c r="AE38" s="733"/>
      <c r="AF38" s="733"/>
      <c r="AG38" s="734"/>
    </row>
    <row r="39" spans="3:36" s="231" customFormat="1" ht="23.1" customHeight="1">
      <c r="C39" s="608" t="s">
        <v>222</v>
      </c>
      <c r="D39" s="725">
        <v>1.124E-2</v>
      </c>
      <c r="E39" s="726">
        <v>9.5200000000000007E-3</v>
      </c>
      <c r="F39" s="725">
        <v>7.9000000000000008E-3</v>
      </c>
      <c r="G39" s="726">
        <v>7.92E-3</v>
      </c>
      <c r="H39" s="725">
        <v>8.1499999999999993E-3</v>
      </c>
      <c r="I39" s="726">
        <v>8.0000000000000002E-3</v>
      </c>
      <c r="J39" s="725">
        <v>7.9500000000000005E-3</v>
      </c>
      <c r="K39" s="726">
        <v>8.5699999999999995E-3</v>
      </c>
      <c r="L39" s="725">
        <v>7.6699999999999997E-3</v>
      </c>
      <c r="M39" s="726">
        <v>7.9799999999999992E-3</v>
      </c>
      <c r="N39" s="725">
        <v>7.7000000000000002E-3</v>
      </c>
      <c r="O39" s="733"/>
      <c r="P39" s="733"/>
      <c r="Q39" s="733"/>
      <c r="R39" s="733"/>
      <c r="S39" s="733"/>
      <c r="T39" s="733"/>
      <c r="U39" s="733"/>
      <c r="V39" s="733"/>
      <c r="W39" s="733"/>
      <c r="X39" s="733"/>
      <c r="Y39" s="733"/>
      <c r="Z39" s="733"/>
      <c r="AA39" s="733"/>
      <c r="AB39" s="733"/>
      <c r="AC39" s="733"/>
      <c r="AD39" s="733"/>
      <c r="AE39" s="733"/>
      <c r="AF39" s="733"/>
      <c r="AG39" s="734"/>
    </row>
    <row r="40" spans="3:36" s="231" customFormat="1" ht="23.1" customHeight="1">
      <c r="C40" s="608" t="s">
        <v>223</v>
      </c>
      <c r="D40" s="727">
        <v>1.7809999999999999E-4</v>
      </c>
      <c r="E40" s="728">
        <v>1.7780000000000001E-4</v>
      </c>
      <c r="F40" s="727">
        <v>1.7770000000000001E-4</v>
      </c>
      <c r="G40" s="728">
        <v>1.7789999999999999E-4</v>
      </c>
      <c r="H40" s="727">
        <v>1.7780000000000001E-4</v>
      </c>
      <c r="I40" s="728">
        <v>1.7799999999999999E-4</v>
      </c>
      <c r="J40" s="727">
        <v>1.7780000000000001E-4</v>
      </c>
      <c r="K40" s="728">
        <v>1.7770000000000001E-4</v>
      </c>
      <c r="L40" s="727">
        <v>1.7760000000000001E-4</v>
      </c>
      <c r="M40" s="728">
        <v>1.7799999999999999E-4</v>
      </c>
      <c r="N40" s="727">
        <v>1.7760000000000001E-4</v>
      </c>
      <c r="O40" s="733"/>
      <c r="P40" s="733"/>
      <c r="Q40" s="733"/>
      <c r="R40" s="733"/>
      <c r="S40" s="733"/>
      <c r="T40" s="733"/>
      <c r="U40" s="733"/>
      <c r="V40" s="733"/>
      <c r="W40" s="733"/>
      <c r="X40" s="733"/>
      <c r="Y40" s="733"/>
      <c r="Z40" s="733"/>
      <c r="AA40" s="733"/>
      <c r="AB40" s="733"/>
      <c r="AC40" s="733"/>
      <c r="AD40" s="733"/>
      <c r="AE40" s="733"/>
      <c r="AF40" s="733"/>
      <c r="AG40" s="734"/>
    </row>
    <row r="41" spans="3:36" s="231" customFormat="1" ht="23.1" customHeight="1">
      <c r="C41" s="608" t="s">
        <v>591</v>
      </c>
      <c r="D41" s="725">
        <v>0.375</v>
      </c>
      <c r="E41" s="726">
        <v>0.375</v>
      </c>
      <c r="F41" s="725">
        <v>0.375</v>
      </c>
      <c r="G41" s="726">
        <v>0.375</v>
      </c>
      <c r="H41" s="725">
        <v>0.375</v>
      </c>
      <c r="I41" s="726">
        <v>0.375</v>
      </c>
      <c r="J41" s="725">
        <v>0.375</v>
      </c>
      <c r="K41" s="726">
        <v>0.375</v>
      </c>
      <c r="L41" s="725">
        <v>0.375</v>
      </c>
      <c r="M41" s="726">
        <v>0.375</v>
      </c>
      <c r="N41" s="725">
        <v>0.375</v>
      </c>
      <c r="O41" s="733"/>
      <c r="P41" s="733"/>
      <c r="Q41" s="733"/>
      <c r="R41" s="733"/>
      <c r="S41" s="733"/>
      <c r="T41" s="733"/>
      <c r="U41" s="733"/>
      <c r="V41" s="733"/>
      <c r="W41" s="733"/>
      <c r="X41" s="733"/>
      <c r="Y41" s="733"/>
      <c r="Z41" s="733"/>
      <c r="AA41" s="733"/>
      <c r="AB41" s="733"/>
      <c r="AC41" s="733"/>
      <c r="AD41" s="733"/>
      <c r="AE41" s="733"/>
      <c r="AF41" s="733"/>
      <c r="AG41" s="734"/>
    </row>
    <row r="42" spans="3:36" s="231" customFormat="1" ht="23.1" customHeight="1">
      <c r="C42" s="608" t="s">
        <v>230</v>
      </c>
      <c r="D42" s="729">
        <v>13.26</v>
      </c>
      <c r="E42" s="730">
        <v>14.92</v>
      </c>
      <c r="F42" s="729">
        <v>17.700000000000003</v>
      </c>
      <c r="G42" s="730">
        <v>17.409999999999997</v>
      </c>
      <c r="H42" s="729">
        <v>17.350000000000001</v>
      </c>
      <c r="I42" s="730">
        <v>17.16</v>
      </c>
      <c r="J42" s="729">
        <v>17.96</v>
      </c>
      <c r="K42" s="730">
        <v>16.940000000000001</v>
      </c>
      <c r="L42" s="729">
        <v>18.839999999999996</v>
      </c>
      <c r="M42" s="730">
        <v>18.170000000000002</v>
      </c>
      <c r="N42" s="729">
        <v>18.73</v>
      </c>
      <c r="O42" s="733"/>
      <c r="P42" s="733"/>
      <c r="Q42" s="733"/>
      <c r="R42" s="733"/>
      <c r="S42" s="733"/>
      <c r="T42" s="733"/>
      <c r="U42" s="733"/>
      <c r="V42" s="733"/>
      <c r="W42" s="733"/>
      <c r="X42" s="733"/>
      <c r="Y42" s="733"/>
      <c r="Z42" s="733"/>
      <c r="AA42" s="733"/>
      <c r="AB42" s="733"/>
      <c r="AC42" s="733"/>
      <c r="AD42" s="733"/>
      <c r="AE42" s="733"/>
      <c r="AF42" s="733"/>
      <c r="AG42" s="734"/>
    </row>
    <row r="43" spans="3:36" s="231" customFormat="1" ht="23.1" customHeight="1" thickBot="1">
      <c r="C43" s="611" t="s">
        <v>229</v>
      </c>
      <c r="D43" s="731">
        <v>464</v>
      </c>
      <c r="E43" s="732">
        <v>464</v>
      </c>
      <c r="F43" s="731">
        <v>464</v>
      </c>
      <c r="G43" s="732">
        <v>464</v>
      </c>
      <c r="H43" s="731">
        <v>464</v>
      </c>
      <c r="I43" s="732">
        <v>464</v>
      </c>
      <c r="J43" s="731">
        <v>464</v>
      </c>
      <c r="K43" s="732">
        <v>464</v>
      </c>
      <c r="L43" s="731">
        <v>464</v>
      </c>
      <c r="M43" s="732">
        <v>464</v>
      </c>
      <c r="N43" s="731">
        <v>464</v>
      </c>
      <c r="O43" s="735"/>
      <c r="P43" s="735"/>
      <c r="Q43" s="735"/>
      <c r="R43" s="735"/>
      <c r="S43" s="735"/>
      <c r="T43" s="735"/>
      <c r="U43" s="735"/>
      <c r="V43" s="735"/>
      <c r="W43" s="735"/>
      <c r="X43" s="735"/>
      <c r="Y43" s="735"/>
      <c r="Z43" s="735"/>
      <c r="AA43" s="735"/>
      <c r="AB43" s="735"/>
      <c r="AC43" s="735"/>
      <c r="AD43" s="735"/>
      <c r="AE43" s="735"/>
      <c r="AF43" s="735"/>
      <c r="AG43" s="736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820</v>
      </c>
      <c r="I46" s="259"/>
      <c r="J46" s="288"/>
      <c r="K46" s="231"/>
      <c r="L46" s="231"/>
      <c r="M46" s="231"/>
      <c r="N46" s="231"/>
      <c r="P46" s="259" t="s">
        <v>821</v>
      </c>
      <c r="Q46" s="231"/>
      <c r="R46" s="231"/>
    </row>
    <row r="47" spans="3:36" s="231" customFormat="1" ht="33.75" customHeight="1">
      <c r="C47" s="614" t="s">
        <v>259</v>
      </c>
      <c r="D47" s="615" t="s">
        <v>602</v>
      </c>
      <c r="E47" s="615" t="s">
        <v>613</v>
      </c>
      <c r="F47" s="616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71" t="s">
        <v>81</v>
      </c>
      <c r="D48" s="617" t="s">
        <v>822</v>
      </c>
      <c r="E48" s="609">
        <v>7.4550000000000001</v>
      </c>
      <c r="F48" s="618">
        <v>1.7809999999999999E-4</v>
      </c>
      <c r="G48" s="641"/>
      <c r="H48" s="248" t="s">
        <v>219</v>
      </c>
      <c r="I48" s="193">
        <v>43.4</v>
      </c>
      <c r="J48" s="193">
        <v>53.1</v>
      </c>
      <c r="K48" s="193">
        <v>157.19999999999999</v>
      </c>
      <c r="L48" s="193">
        <v>84.566666666666663</v>
      </c>
      <c r="M48" s="193">
        <v>157.19999999999999</v>
      </c>
      <c r="N48" s="249">
        <v>43.4</v>
      </c>
      <c r="P48" s="252" t="s">
        <v>219</v>
      </c>
      <c r="Q48" s="244">
        <v>-2.8366420403716015</v>
      </c>
      <c r="R48" s="638">
        <v>1.706</v>
      </c>
      <c r="S48" s="613"/>
      <c r="T48" s="613"/>
      <c r="U48" s="613"/>
      <c r="V48" s="613"/>
    </row>
    <row r="49" spans="3:22" ht="20.100000000000001" customHeight="1">
      <c r="C49" s="781"/>
      <c r="D49" s="619" t="s">
        <v>823</v>
      </c>
      <c r="E49" s="609">
        <v>2.9830000000000001</v>
      </c>
      <c r="F49" s="644"/>
      <c r="G49" s="231"/>
      <c r="H49" s="170" t="s">
        <v>786</v>
      </c>
      <c r="I49" s="171">
        <v>42.4</v>
      </c>
      <c r="J49" s="171">
        <v>51.9</v>
      </c>
      <c r="K49" s="171">
        <v>144.80000000000001</v>
      </c>
      <c r="L49" s="171">
        <v>79.7</v>
      </c>
      <c r="M49" s="171">
        <v>144.80000000000001</v>
      </c>
      <c r="N49" s="172">
        <v>42.4</v>
      </c>
      <c r="P49" s="173" t="s">
        <v>786</v>
      </c>
      <c r="Q49" s="167">
        <v>-2.9032075543605353</v>
      </c>
      <c r="R49" s="639">
        <v>1.823</v>
      </c>
      <c r="S49" s="613"/>
      <c r="T49" s="613"/>
      <c r="U49" s="613"/>
      <c r="V49" s="613"/>
    </row>
    <row r="50" spans="3:22" ht="20.100000000000001" customHeight="1">
      <c r="C50" s="772"/>
      <c r="D50" s="619" t="s">
        <v>824</v>
      </c>
      <c r="E50" s="621">
        <v>5.2190000000000003</v>
      </c>
      <c r="F50" s="622">
        <v>1.7809999999999999E-4</v>
      </c>
      <c r="G50" s="642"/>
      <c r="H50" s="248" t="s">
        <v>787</v>
      </c>
      <c r="I50" s="193">
        <v>42.1</v>
      </c>
      <c r="J50" s="193">
        <v>51.5</v>
      </c>
      <c r="K50" s="193">
        <v>132</v>
      </c>
      <c r="L50" s="193">
        <v>75.2</v>
      </c>
      <c r="M50" s="193">
        <v>132</v>
      </c>
      <c r="N50" s="249">
        <v>42.1</v>
      </c>
      <c r="P50" s="252" t="s">
        <v>787</v>
      </c>
      <c r="Q50" s="244">
        <v>-2.9683500751110659</v>
      </c>
      <c r="R50" s="638">
        <v>1.946</v>
      </c>
      <c r="S50" s="613"/>
      <c r="T50" s="613"/>
      <c r="U50" s="613"/>
      <c r="V50" s="613"/>
    </row>
    <row r="51" spans="3:22" ht="20.100000000000001" customHeight="1">
      <c r="C51" s="773" t="s">
        <v>147</v>
      </c>
      <c r="D51" s="623" t="s">
        <v>822</v>
      </c>
      <c r="E51" s="610">
        <v>6.4489999999999998</v>
      </c>
      <c r="F51" s="624">
        <v>1.7780000000000001E-4</v>
      </c>
      <c r="G51" s="641"/>
      <c r="H51" s="170" t="s">
        <v>838</v>
      </c>
      <c r="I51" s="171">
        <v>41.8</v>
      </c>
      <c r="J51" s="171">
        <v>51.1</v>
      </c>
      <c r="K51" s="171">
        <v>132.1</v>
      </c>
      <c r="L51" s="171">
        <v>75</v>
      </c>
      <c r="M51" s="171">
        <v>132.1</v>
      </c>
      <c r="N51" s="172">
        <v>41.8</v>
      </c>
      <c r="P51" s="173" t="s">
        <v>838</v>
      </c>
      <c r="Q51" s="167">
        <v>-2.9615085374323593</v>
      </c>
      <c r="R51" s="639">
        <v>1.9330000000000001</v>
      </c>
    </row>
    <row r="52" spans="3:22" ht="20.100000000000001" customHeight="1">
      <c r="C52" s="782"/>
      <c r="D52" s="623" t="s">
        <v>823</v>
      </c>
      <c r="E52" s="610">
        <v>2.3929999999999998</v>
      </c>
      <c r="F52" s="643"/>
      <c r="G52" s="231"/>
      <c r="H52" s="248" t="s">
        <v>841</v>
      </c>
      <c r="I52" s="193">
        <v>42.3</v>
      </c>
      <c r="J52" s="193">
        <v>51.8</v>
      </c>
      <c r="K52" s="193">
        <v>134</v>
      </c>
      <c r="L52" s="193">
        <v>76.033333333333331</v>
      </c>
      <c r="M52" s="193">
        <v>134</v>
      </c>
      <c r="N52" s="249">
        <v>42.3</v>
      </c>
      <c r="P52" s="252" t="s">
        <v>841</v>
      </c>
      <c r="Q52" s="244">
        <v>-2.9628490353353705</v>
      </c>
      <c r="R52" s="638">
        <v>1.9350000000000001</v>
      </c>
    </row>
    <row r="53" spans="3:22" ht="20.100000000000001" customHeight="1">
      <c r="C53" s="779"/>
      <c r="D53" s="623" t="s">
        <v>824</v>
      </c>
      <c r="E53" s="625">
        <v>4.4209999999999994</v>
      </c>
      <c r="F53" s="626">
        <v>1.7780000000000001E-4</v>
      </c>
      <c r="G53" s="642"/>
      <c r="H53" s="170" t="s">
        <v>844</v>
      </c>
      <c r="I53" s="171">
        <v>41.7</v>
      </c>
      <c r="J53" s="171">
        <v>51</v>
      </c>
      <c r="K53" s="171">
        <v>132.69999999999999</v>
      </c>
      <c r="L53" s="171">
        <v>75.133333333333326</v>
      </c>
      <c r="M53" s="171">
        <v>132.69999999999999</v>
      </c>
      <c r="N53" s="172">
        <v>41.7</v>
      </c>
      <c r="P53" s="173" t="s">
        <v>844</v>
      </c>
      <c r="Q53" s="167">
        <v>-2.9587645002951395</v>
      </c>
      <c r="R53" s="639">
        <v>1.927</v>
      </c>
    </row>
    <row r="54" spans="3:22" ht="20.100000000000001" customHeight="1">
      <c r="C54" s="771" t="s">
        <v>148</v>
      </c>
      <c r="D54" s="619" t="s">
        <v>822</v>
      </c>
      <c r="E54" s="609">
        <v>5.2560000000000002</v>
      </c>
      <c r="F54" s="618">
        <v>1.7770000000000001E-4</v>
      </c>
      <c r="G54" s="641"/>
      <c r="H54" s="248" t="s">
        <v>855</v>
      </c>
      <c r="I54" s="193">
        <v>42.5</v>
      </c>
      <c r="J54" s="193">
        <v>52.1</v>
      </c>
      <c r="K54" s="193">
        <v>132.30000000000001</v>
      </c>
      <c r="L54" s="193">
        <v>75.63333333333334</v>
      </c>
      <c r="M54" s="193">
        <v>132.30000000000001</v>
      </c>
      <c r="N54" s="249">
        <v>42.5</v>
      </c>
      <c r="P54" s="252" t="s">
        <v>855</v>
      </c>
      <c r="Q54" s="244">
        <v>-2.9724209748602282</v>
      </c>
      <c r="R54" s="638">
        <v>1.954</v>
      </c>
    </row>
    <row r="55" spans="3:22" ht="20.100000000000001" customHeight="1">
      <c r="C55" s="781"/>
      <c r="D55" s="619" t="s">
        <v>823</v>
      </c>
      <c r="E55" s="609">
        <v>2.081</v>
      </c>
      <c r="F55" s="640"/>
      <c r="G55" s="231"/>
      <c r="H55" s="170" t="s">
        <v>858</v>
      </c>
      <c r="I55" s="171">
        <v>42.9</v>
      </c>
      <c r="J55" s="171">
        <v>52.5</v>
      </c>
      <c r="K55" s="171">
        <v>137.4</v>
      </c>
      <c r="L55" s="171">
        <v>77.599999999999994</v>
      </c>
      <c r="M55" s="171">
        <v>137.4</v>
      </c>
      <c r="N55" s="172">
        <v>42.9</v>
      </c>
      <c r="P55" s="173" t="s">
        <v>858</v>
      </c>
      <c r="Q55" s="167">
        <v>-2.9552041974447389</v>
      </c>
      <c r="R55" s="639">
        <v>1.921</v>
      </c>
    </row>
    <row r="56" spans="3:22" ht="20.100000000000001" customHeight="1">
      <c r="C56" s="772"/>
      <c r="D56" s="619" t="s">
        <v>824</v>
      </c>
      <c r="E56" s="621">
        <v>3.6684999999999999</v>
      </c>
      <c r="F56" s="622">
        <v>1.7770000000000001E-4</v>
      </c>
      <c r="G56" s="642"/>
      <c r="H56" s="248" t="s">
        <v>861</v>
      </c>
      <c r="I56" s="193">
        <v>42.8</v>
      </c>
      <c r="J56" s="193">
        <v>52.4</v>
      </c>
      <c r="K56" s="193">
        <v>130.1</v>
      </c>
      <c r="L56" s="193">
        <v>75.099999999999994</v>
      </c>
      <c r="M56" s="193">
        <v>130.1</v>
      </c>
      <c r="N56" s="249">
        <v>42.8</v>
      </c>
      <c r="P56" s="252" t="s">
        <v>861</v>
      </c>
      <c r="Q56" s="244">
        <v>-2.9834570171249313</v>
      </c>
      <c r="R56" s="638">
        <v>1.976</v>
      </c>
    </row>
    <row r="57" spans="3:22" ht="20.100000000000001" customHeight="1">
      <c r="C57" s="773" t="s">
        <v>839</v>
      </c>
      <c r="D57" s="623" t="s">
        <v>822</v>
      </c>
      <c r="E57" s="610">
        <v>5.3609999999999998</v>
      </c>
      <c r="F57" s="624">
        <v>1.7789999999999999E-4</v>
      </c>
      <c r="G57" s="231"/>
      <c r="H57" s="170" t="s">
        <v>864</v>
      </c>
      <c r="I57" s="171">
        <v>42.8</v>
      </c>
      <c r="J57" s="171">
        <v>52.4</v>
      </c>
      <c r="K57" s="171">
        <v>132.5</v>
      </c>
      <c r="L57" s="171">
        <v>75.900000000000006</v>
      </c>
      <c r="M57" s="171">
        <v>132.5</v>
      </c>
      <c r="N57" s="172">
        <v>42.8</v>
      </c>
      <c r="P57" s="173" t="s">
        <v>864</v>
      </c>
      <c r="Q57" s="167">
        <v>-2.9735882681368135</v>
      </c>
      <c r="R57" s="639">
        <v>1.956</v>
      </c>
    </row>
    <row r="58" spans="3:22" ht="20.100000000000001" customHeight="1">
      <c r="C58" s="782"/>
      <c r="D58" s="623" t="s">
        <v>823</v>
      </c>
      <c r="E58" s="625">
        <v>1.9950000000000001</v>
      </c>
      <c r="F58" s="626"/>
      <c r="G58" s="231"/>
      <c r="H58" s="248" t="s">
        <v>867</v>
      </c>
      <c r="I58" s="193">
        <v>42.7</v>
      </c>
      <c r="J58" s="193">
        <v>52.4</v>
      </c>
      <c r="K58" s="193">
        <v>130.30000000000001</v>
      </c>
      <c r="L58" s="193">
        <v>75.13333333333334</v>
      </c>
      <c r="M58" s="193">
        <v>130.30000000000001</v>
      </c>
      <c r="N58" s="249">
        <v>42.7</v>
      </c>
      <c r="P58" s="252" t="s">
        <v>867</v>
      </c>
      <c r="Q58" s="244">
        <v>-2.9807139466445105</v>
      </c>
      <c r="R58" s="638">
        <v>1.97</v>
      </c>
    </row>
    <row r="59" spans="3:22" ht="20.100000000000001" customHeight="1">
      <c r="C59" s="779"/>
      <c r="D59" s="623" t="s">
        <v>824</v>
      </c>
      <c r="E59" s="625">
        <v>3.6779999999999999</v>
      </c>
      <c r="F59" s="626">
        <v>1.7789999999999999E-4</v>
      </c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customHeight="1" outlineLevel="1">
      <c r="C60" s="637" t="s">
        <v>842</v>
      </c>
      <c r="D60" s="619" t="s">
        <v>822</v>
      </c>
      <c r="E60" s="609">
        <v>5.3810000000000002</v>
      </c>
      <c r="F60" s="618">
        <v>1.7780000000000001E-4</v>
      </c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customHeight="1" outlineLevel="1">
      <c r="C61" s="637"/>
      <c r="D61" s="619" t="s">
        <v>823</v>
      </c>
      <c r="E61" s="609">
        <v>2.1859999999999999</v>
      </c>
      <c r="F61" s="620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customHeight="1" outlineLevel="1">
      <c r="C62" s="637"/>
      <c r="D62" s="619" t="s">
        <v>824</v>
      </c>
      <c r="E62" s="621">
        <v>3.7835000000000001</v>
      </c>
      <c r="F62" s="622">
        <v>1.7780000000000001E-4</v>
      </c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customHeight="1" outlineLevel="1">
      <c r="C63" s="636" t="s">
        <v>845</v>
      </c>
      <c r="D63" s="623" t="s">
        <v>822</v>
      </c>
      <c r="E63" s="610">
        <v>5.452</v>
      </c>
      <c r="F63" s="624">
        <v>1.7799999999999999E-4</v>
      </c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customHeight="1" outlineLevel="1">
      <c r="C64" s="636"/>
      <c r="D64" s="623" t="s">
        <v>823</v>
      </c>
      <c r="E64" s="610">
        <v>1.9730000000000001</v>
      </c>
      <c r="F64" s="627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customHeight="1" outlineLevel="1">
      <c r="C65" s="636"/>
      <c r="D65" s="623" t="s">
        <v>824</v>
      </c>
      <c r="E65" s="625">
        <v>3.7124999999999999</v>
      </c>
      <c r="F65" s="626">
        <v>1.7799999999999999E-4</v>
      </c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customHeight="1" outlineLevel="1">
      <c r="C66" s="637" t="s">
        <v>856</v>
      </c>
      <c r="D66" s="619" t="s">
        <v>822</v>
      </c>
      <c r="E66" s="609">
        <v>5.1660000000000004</v>
      </c>
      <c r="F66" s="618">
        <v>1.7780000000000001E-4</v>
      </c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customHeight="1" outlineLevel="1">
      <c r="C67" s="637"/>
      <c r="D67" s="619" t="s">
        <v>823</v>
      </c>
      <c r="E67" s="609">
        <v>2.2149999999999999</v>
      </c>
      <c r="F67" s="620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customHeight="1" outlineLevel="1">
      <c r="C68" s="637"/>
      <c r="D68" s="619" t="s">
        <v>824</v>
      </c>
      <c r="E68" s="621">
        <v>3.6905000000000001</v>
      </c>
      <c r="F68" s="622">
        <v>1.7780000000000001E-4</v>
      </c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customHeight="1" outlineLevel="1">
      <c r="C69" s="636" t="s">
        <v>859</v>
      </c>
      <c r="D69" s="623" t="s">
        <v>822</v>
      </c>
      <c r="E69" s="610">
        <v>5.5359999999999996</v>
      </c>
      <c r="F69" s="624">
        <v>1.7770000000000001E-4</v>
      </c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customHeight="1" outlineLevel="1">
      <c r="C70" s="636"/>
      <c r="D70" s="623" t="s">
        <v>823</v>
      </c>
      <c r="E70" s="610">
        <v>2.419</v>
      </c>
      <c r="F70" s="627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customHeight="1" outlineLevel="1">
      <c r="C71" s="636"/>
      <c r="D71" s="623" t="s">
        <v>824</v>
      </c>
      <c r="E71" s="625">
        <v>3.9775</v>
      </c>
      <c r="F71" s="626">
        <v>1.7770000000000001E-4</v>
      </c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customHeight="1" outlineLevel="1">
      <c r="C72" s="637" t="s">
        <v>862</v>
      </c>
      <c r="D72" s="619" t="s">
        <v>822</v>
      </c>
      <c r="E72" s="609">
        <v>4.8860000000000001</v>
      </c>
      <c r="F72" s="618">
        <v>1.7760000000000001E-4</v>
      </c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customHeight="1" outlineLevel="1">
      <c r="C73" s="637"/>
      <c r="D73" s="619" t="s">
        <v>823</v>
      </c>
      <c r="E73" s="609">
        <v>2.2370000000000001</v>
      </c>
      <c r="F73" s="620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customHeight="1" outlineLevel="1">
      <c r="C74" s="637"/>
      <c r="D74" s="619" t="s">
        <v>824</v>
      </c>
      <c r="E74" s="621">
        <v>3.5615000000000001</v>
      </c>
      <c r="F74" s="622">
        <v>1.7760000000000001E-4</v>
      </c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customHeight="1" outlineLevel="1">
      <c r="C75" s="636" t="s">
        <v>865</v>
      </c>
      <c r="D75" s="623" t="s">
        <v>822</v>
      </c>
      <c r="E75" s="610">
        <v>5.0979999999999999</v>
      </c>
      <c r="F75" s="624">
        <v>1.7799999999999999E-4</v>
      </c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customHeight="1" outlineLevel="1">
      <c r="C76" s="636"/>
      <c r="D76" s="623" t="s">
        <v>823</v>
      </c>
      <c r="E76" s="610">
        <v>2.3140000000000001</v>
      </c>
      <c r="F76" s="627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customHeight="1" outlineLevel="1" thickBot="1">
      <c r="C77" s="636"/>
      <c r="D77" s="623" t="s">
        <v>824</v>
      </c>
      <c r="E77" s="625">
        <v>3.706</v>
      </c>
      <c r="F77" s="626">
        <v>1.7799999999999999E-4</v>
      </c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thickBot="1">
      <c r="C78" s="771" t="s">
        <v>868</v>
      </c>
      <c r="D78" s="619" t="s">
        <v>822</v>
      </c>
      <c r="E78" s="621">
        <v>4.9210000000000003</v>
      </c>
      <c r="F78" s="622">
        <v>1.7760000000000001E-4</v>
      </c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81"/>
      <c r="D79" s="619" t="s">
        <v>823</v>
      </c>
      <c r="E79" s="609">
        <v>2.2280000000000002</v>
      </c>
      <c r="F79" s="622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72"/>
      <c r="D80" s="619" t="s">
        <v>824</v>
      </c>
      <c r="E80" s="621">
        <v>3.5745000000000005</v>
      </c>
      <c r="F80" s="622">
        <v>1.7760000000000001E-4</v>
      </c>
      <c r="H80" s="248" t="s">
        <v>219</v>
      </c>
      <c r="I80" s="304">
        <v>2.9830000000000001</v>
      </c>
      <c r="J80" s="305">
        <v>1.7809999999999999E-4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73"/>
      <c r="D81" s="623"/>
      <c r="E81" s="610"/>
      <c r="F81" s="624"/>
      <c r="H81" s="170" t="s">
        <v>786</v>
      </c>
      <c r="I81" s="308">
        <v>2.3929999999999998</v>
      </c>
      <c r="J81" s="309">
        <v>1.7780000000000001E-4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82"/>
      <c r="D82" s="623"/>
      <c r="E82" s="610"/>
      <c r="F82" s="624"/>
      <c r="H82" s="248" t="s">
        <v>787</v>
      </c>
      <c r="I82" s="306">
        <v>2.081</v>
      </c>
      <c r="J82" s="305">
        <v>1.7770000000000001E-4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79"/>
      <c r="D83" s="623"/>
      <c r="E83" s="625"/>
      <c r="F83" s="626"/>
      <c r="H83" s="303" t="s">
        <v>838</v>
      </c>
      <c r="I83" s="310">
        <v>1.9950000000000001</v>
      </c>
      <c r="J83" s="311">
        <v>1.7789999999999999E-4</v>
      </c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71"/>
      <c r="D84" s="619"/>
      <c r="E84" s="609"/>
      <c r="F84" s="618"/>
      <c r="H84" s="248" t="s">
        <v>841</v>
      </c>
      <c r="I84" s="307">
        <v>2.1859999999999999</v>
      </c>
      <c r="J84" s="305">
        <v>1.7780000000000001E-4</v>
      </c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81"/>
      <c r="D85" s="619"/>
      <c r="E85" s="609"/>
      <c r="F85" s="618"/>
      <c r="H85" s="170" t="s">
        <v>844</v>
      </c>
      <c r="I85" s="308">
        <v>1.9730000000000001</v>
      </c>
      <c r="J85" s="309">
        <v>1.7799999999999999E-4</v>
      </c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72"/>
      <c r="D86" s="619"/>
      <c r="E86" s="621"/>
      <c r="F86" s="622"/>
      <c r="H86" s="248" t="s">
        <v>855</v>
      </c>
      <c r="I86" s="304">
        <v>2.2149999999999999</v>
      </c>
      <c r="J86" s="305">
        <v>1.7780000000000001E-4</v>
      </c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73"/>
      <c r="D87" s="623"/>
      <c r="E87" s="610"/>
      <c r="F87" s="624"/>
      <c r="H87" s="170" t="s">
        <v>858</v>
      </c>
      <c r="I87" s="308">
        <v>2.419</v>
      </c>
      <c r="J87" s="309">
        <v>1.7770000000000001E-4</v>
      </c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82"/>
      <c r="D88" s="623"/>
      <c r="E88" s="610"/>
      <c r="F88" s="624"/>
      <c r="H88" s="248" t="s">
        <v>861</v>
      </c>
      <c r="I88" s="304">
        <v>2.2370000000000001</v>
      </c>
      <c r="J88" s="305">
        <v>1.7760000000000001E-4</v>
      </c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79"/>
      <c r="D89" s="623"/>
      <c r="E89" s="625"/>
      <c r="F89" s="626"/>
      <c r="H89" s="170" t="s">
        <v>864</v>
      </c>
      <c r="I89" s="308">
        <v>2.3140000000000001</v>
      </c>
      <c r="J89" s="309">
        <v>1.7799999999999999E-4</v>
      </c>
      <c r="K89" s="230"/>
      <c r="L89" s="230"/>
      <c r="M89" s="230"/>
      <c r="N89" s="230"/>
      <c r="P89" s="230"/>
      <c r="Q89" s="230"/>
      <c r="R89" s="230"/>
    </row>
    <row r="90" spans="3:18" ht="20.100000000000001" customHeight="1" outlineLevel="1">
      <c r="C90" s="771"/>
      <c r="D90" s="619"/>
      <c r="E90" s="609"/>
      <c r="F90" s="618"/>
      <c r="H90" s="248" t="s">
        <v>867</v>
      </c>
      <c r="I90" s="304">
        <v>2.2280000000000002</v>
      </c>
      <c r="J90" s="305">
        <v>1.7760000000000001E-4</v>
      </c>
      <c r="K90" s="230"/>
      <c r="L90" s="230"/>
      <c r="M90" s="230"/>
      <c r="N90" s="230"/>
      <c r="P90" s="230"/>
      <c r="Q90" s="230"/>
      <c r="R90" s="230"/>
    </row>
    <row r="91" spans="3:18" ht="20.100000000000001" customHeight="1" outlineLevel="1">
      <c r="C91" s="781"/>
      <c r="D91" s="619"/>
      <c r="E91" s="609"/>
      <c r="F91" s="61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customHeight="1" outlineLevel="1">
      <c r="C92" s="772"/>
      <c r="D92" s="619"/>
      <c r="E92" s="621"/>
      <c r="F92" s="622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customHeight="1" outlineLevel="1">
      <c r="C93" s="773"/>
      <c r="D93" s="623"/>
      <c r="E93" s="610"/>
      <c r="F93" s="624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customHeight="1" outlineLevel="1">
      <c r="C94" s="782"/>
      <c r="D94" s="623"/>
      <c r="E94" s="610"/>
      <c r="F94" s="624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customHeight="1" outlineLevel="1">
      <c r="C95" s="779"/>
      <c r="D95" s="623"/>
      <c r="E95" s="625"/>
      <c r="F95" s="626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customHeight="1" outlineLevel="1">
      <c r="C96" s="771"/>
      <c r="D96" s="619"/>
      <c r="E96" s="609"/>
      <c r="F96" s="61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customHeight="1" outlineLevel="1">
      <c r="C97" s="781"/>
      <c r="D97" s="619"/>
      <c r="E97" s="609"/>
      <c r="F97" s="61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customHeight="1" outlineLevel="1">
      <c r="C98" s="772"/>
      <c r="D98" s="619"/>
      <c r="E98" s="621"/>
      <c r="F98" s="622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customHeight="1" outlineLevel="1">
      <c r="C99" s="773"/>
      <c r="D99" s="623"/>
      <c r="E99" s="610"/>
      <c r="F99" s="624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customHeight="1" outlineLevel="1">
      <c r="C100" s="782"/>
      <c r="D100" s="623"/>
      <c r="E100" s="610"/>
      <c r="F100" s="624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customHeight="1" outlineLevel="1">
      <c r="C101" s="779"/>
      <c r="D101" s="623"/>
      <c r="E101" s="625"/>
      <c r="F101" s="626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customHeight="1" outlineLevel="1">
      <c r="C102" s="771"/>
      <c r="D102" s="619"/>
      <c r="E102" s="609"/>
      <c r="F102" s="618"/>
      <c r="H102" s="248"/>
      <c r="I102" s="304"/>
      <c r="J102" s="224"/>
    </row>
    <row r="103" spans="3:18" ht="20.100000000000001" customHeight="1" outlineLevel="1">
      <c r="C103" s="781"/>
      <c r="D103" s="619"/>
      <c r="E103" s="609"/>
      <c r="F103" s="620"/>
      <c r="H103" s="170"/>
      <c r="I103" s="308"/>
      <c r="J103" s="221"/>
    </row>
    <row r="104" spans="3:18" ht="20.100000000000001" customHeight="1" outlineLevel="1">
      <c r="C104" s="772"/>
      <c r="D104" s="619"/>
      <c r="E104" s="621"/>
      <c r="F104" s="622"/>
      <c r="H104" s="248"/>
      <c r="I104" s="304"/>
      <c r="J104" s="224"/>
    </row>
    <row r="105" spans="3:18" ht="20.100000000000001" customHeight="1" outlineLevel="1">
      <c r="C105" s="773"/>
      <c r="D105" s="623"/>
      <c r="E105" s="610"/>
      <c r="F105" s="624"/>
      <c r="H105" s="170"/>
      <c r="I105" s="308"/>
      <c r="J105" s="221"/>
    </row>
    <row r="106" spans="3:18" ht="20.100000000000001" customHeight="1" outlineLevel="1">
      <c r="C106" s="782"/>
      <c r="D106" s="623"/>
      <c r="E106" s="610"/>
      <c r="F106" s="627"/>
      <c r="H106" s="248"/>
      <c r="I106" s="304"/>
      <c r="J106" s="224"/>
    </row>
    <row r="107" spans="3:18" ht="20.100000000000001" customHeight="1" outlineLevel="1">
      <c r="C107" s="779"/>
      <c r="D107" s="623"/>
      <c r="E107" s="625"/>
      <c r="F107" s="626"/>
      <c r="H107" s="170"/>
      <c r="I107" s="308"/>
      <c r="J107" s="221"/>
    </row>
    <row r="108" spans="3:18" ht="20.100000000000001" customHeight="1" outlineLevel="1">
      <c r="C108" s="771"/>
      <c r="D108" s="619"/>
      <c r="E108" s="609"/>
      <c r="F108" s="618"/>
      <c r="H108" s="248"/>
      <c r="I108" s="304"/>
      <c r="J108" s="224"/>
    </row>
    <row r="109" spans="3:18" ht="20.100000000000001" customHeight="1" outlineLevel="1" thickBot="1">
      <c r="C109" s="781"/>
      <c r="D109" s="619"/>
      <c r="E109" s="609"/>
      <c r="F109" s="618"/>
      <c r="H109" s="201"/>
      <c r="I109" s="312"/>
      <c r="J109" s="236"/>
    </row>
    <row r="110" spans="3:18" ht="20.100000000000001" customHeight="1" outlineLevel="1">
      <c r="C110" s="772"/>
      <c r="D110" s="619"/>
      <c r="E110" s="621"/>
      <c r="F110" s="622"/>
      <c r="H110" s="230"/>
    </row>
    <row r="111" spans="3:18" ht="20.100000000000001" customHeight="1" outlineLevel="1">
      <c r="C111" s="773"/>
      <c r="D111" s="623"/>
      <c r="E111" s="610"/>
      <c r="F111" s="624"/>
      <c r="H111" s="230"/>
    </row>
    <row r="112" spans="3:18" ht="20.100000000000001" customHeight="1" outlineLevel="1">
      <c r="C112" s="782"/>
      <c r="D112" s="623"/>
      <c r="E112" s="610"/>
      <c r="F112" s="624"/>
      <c r="H112" s="230"/>
    </row>
    <row r="113" spans="3:8" ht="20.100000000000001" customHeight="1" outlineLevel="1">
      <c r="C113" s="779"/>
      <c r="D113" s="623"/>
      <c r="E113" s="625"/>
      <c r="F113" s="626"/>
      <c r="H113" s="230"/>
    </row>
    <row r="114" spans="3:8" ht="20.100000000000001" customHeight="1" outlineLevel="1">
      <c r="C114" s="771"/>
      <c r="D114" s="619"/>
      <c r="E114" s="609"/>
      <c r="F114" s="618"/>
      <c r="H114" s="230"/>
    </row>
    <row r="115" spans="3:8" ht="20.100000000000001" customHeight="1" outlineLevel="1">
      <c r="C115" s="781"/>
      <c r="D115" s="619"/>
      <c r="E115" s="609"/>
      <c r="F115" s="618"/>
      <c r="H115" s="230"/>
    </row>
    <row r="116" spans="3:8" ht="20.100000000000001" customHeight="1" outlineLevel="1">
      <c r="C116" s="772"/>
      <c r="D116" s="619"/>
      <c r="E116" s="621"/>
      <c r="F116" s="622"/>
      <c r="H116" s="230"/>
    </row>
    <row r="117" spans="3:8" ht="20.100000000000001" customHeight="1" outlineLevel="1">
      <c r="C117" s="773"/>
      <c r="D117" s="623"/>
      <c r="E117" s="610"/>
      <c r="F117" s="624"/>
      <c r="H117" s="230"/>
    </row>
    <row r="118" spans="3:8" ht="20.100000000000001" customHeight="1" outlineLevel="1">
      <c r="C118" s="782"/>
      <c r="D118" s="623"/>
      <c r="E118" s="610"/>
      <c r="F118" s="624"/>
      <c r="H118" s="230"/>
    </row>
    <row r="119" spans="3:8" ht="20.100000000000001" customHeight="1" outlineLevel="1">
      <c r="C119" s="779"/>
      <c r="D119" s="623"/>
      <c r="E119" s="625"/>
      <c r="F119" s="626"/>
      <c r="H119" s="230"/>
    </row>
    <row r="120" spans="3:8" ht="20.100000000000001" customHeight="1" outlineLevel="1">
      <c r="C120" s="771"/>
      <c r="D120" s="619"/>
      <c r="E120" s="609"/>
      <c r="F120" s="618"/>
      <c r="H120" s="230"/>
    </row>
    <row r="121" spans="3:8" ht="20.100000000000001" customHeight="1" outlineLevel="1">
      <c r="C121" s="781"/>
      <c r="D121" s="619"/>
      <c r="E121" s="609"/>
      <c r="F121" s="618"/>
      <c r="H121" s="230"/>
    </row>
    <row r="122" spans="3:8" ht="20.100000000000001" customHeight="1" outlineLevel="1">
      <c r="C122" s="772"/>
      <c r="D122" s="619"/>
      <c r="E122" s="621"/>
      <c r="F122" s="622"/>
      <c r="H122" s="230"/>
    </row>
    <row r="123" spans="3:8" ht="20.100000000000001" customHeight="1" outlineLevel="1">
      <c r="C123" s="773"/>
      <c r="D123" s="623"/>
      <c r="E123" s="610"/>
      <c r="F123" s="624"/>
      <c r="H123" s="230"/>
    </row>
    <row r="124" spans="3:8" ht="20.100000000000001" customHeight="1" outlineLevel="1">
      <c r="C124" s="782"/>
      <c r="D124" s="623"/>
      <c r="E124" s="610"/>
      <c r="F124" s="624"/>
      <c r="H124" s="230"/>
    </row>
    <row r="125" spans="3:8" ht="20.100000000000001" customHeight="1" outlineLevel="1">
      <c r="C125" s="779"/>
      <c r="D125" s="623"/>
      <c r="E125" s="625"/>
      <c r="F125" s="626"/>
      <c r="H125" s="230"/>
    </row>
    <row r="126" spans="3:8" ht="20.25" customHeight="1" outlineLevel="1">
      <c r="C126" s="771"/>
      <c r="D126" s="619"/>
      <c r="E126" s="609"/>
      <c r="F126" s="618"/>
      <c r="H126" s="230"/>
    </row>
    <row r="127" spans="3:8" ht="20.100000000000001" customHeight="1" outlineLevel="1">
      <c r="C127" s="781"/>
      <c r="D127" s="619"/>
      <c r="E127" s="609"/>
      <c r="F127" s="618"/>
      <c r="H127" s="230"/>
    </row>
    <row r="128" spans="3:8" ht="20.100000000000001" customHeight="1" outlineLevel="1">
      <c r="C128" s="772"/>
      <c r="D128" s="619"/>
      <c r="E128" s="621"/>
      <c r="F128" s="622"/>
      <c r="H128" s="230"/>
    </row>
    <row r="129" spans="3:12" ht="20.100000000000001" customHeight="1" outlineLevel="1">
      <c r="C129" s="773"/>
      <c r="D129" s="623"/>
      <c r="E129" s="628"/>
      <c r="F129" s="499"/>
      <c r="H129" s="230"/>
    </row>
    <row r="130" spans="3:12" ht="20.100000000000001" customHeight="1" outlineLevel="1">
      <c r="C130" s="782"/>
      <c r="D130" s="623"/>
      <c r="E130" s="628"/>
      <c r="F130" s="493"/>
    </row>
    <row r="131" spans="3:12" ht="20.100000000000001" customHeight="1" outlineLevel="1">
      <c r="C131" s="779"/>
      <c r="D131" s="623"/>
      <c r="E131" s="629"/>
      <c r="F131" s="630"/>
    </row>
    <row r="132" spans="3:12" ht="20.100000000000001" customHeight="1" outlineLevel="1">
      <c r="C132" s="771"/>
      <c r="D132" s="619"/>
      <c r="E132" s="617"/>
      <c r="F132" s="498"/>
    </row>
    <row r="133" spans="3:12" ht="20.100000000000001" customHeight="1" outlineLevel="1">
      <c r="C133" s="781"/>
      <c r="D133" s="619"/>
      <c r="E133" s="617"/>
      <c r="F133" s="482"/>
    </row>
    <row r="134" spans="3:12" ht="20.100000000000001" customHeight="1" outlineLevel="1">
      <c r="C134" s="772"/>
      <c r="D134" s="619"/>
      <c r="E134" s="631"/>
      <c r="F134" s="632"/>
    </row>
    <row r="135" spans="3:12" ht="20.100000000000001" customHeight="1" outlineLevel="1">
      <c r="C135" s="773"/>
      <c r="D135" s="623"/>
      <c r="E135" s="628"/>
      <c r="F135" s="499"/>
    </row>
    <row r="136" spans="3:12" ht="20.100000000000001" customHeight="1" outlineLevel="1">
      <c r="C136" s="782"/>
      <c r="D136" s="623"/>
      <c r="E136" s="628"/>
      <c r="F136" s="493"/>
    </row>
    <row r="137" spans="3:12" ht="20.100000000000001" customHeight="1" outlineLevel="1" thickBot="1">
      <c r="C137" s="774"/>
      <c r="D137" s="633"/>
      <c r="E137" s="634"/>
      <c r="F137" s="635"/>
    </row>
    <row r="138" spans="3:12" ht="20.100000000000001" customHeight="1">
      <c r="F138" s="641"/>
    </row>
    <row r="141" spans="3:12" ht="20.100000000000001" customHeight="1">
      <c r="F141" s="641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41"/>
    </row>
    <row r="168" spans="3:12" ht="20.100000000000001" customHeight="1">
      <c r="F168" s="641"/>
    </row>
    <row r="171" spans="3:12" ht="20.100000000000001" customHeight="1">
      <c r="F171" s="641"/>
    </row>
    <row r="174" spans="3:12" ht="20.100000000000001" customHeight="1">
      <c r="F174" s="641"/>
    </row>
    <row r="177" spans="6:6" ht="20.100000000000001" customHeight="1">
      <c r="F177" s="641"/>
    </row>
    <row r="180" spans="6:6" ht="20.100000000000001" customHeight="1">
      <c r="F180" s="641"/>
    </row>
    <row r="183" spans="6:6" ht="20.100000000000001" customHeight="1">
      <c r="F183" s="641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21" sqref="E2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83" t="s">
        <v>788</v>
      </c>
      <c r="E4" s="504">
        <v>120</v>
      </c>
      <c r="F4" s="504">
        <v>5.2190000000000003</v>
      </c>
      <c r="G4" s="786">
        <v>3.9083999999999999</v>
      </c>
      <c r="H4" s="783">
        <v>0.03</v>
      </c>
      <c r="I4" s="504">
        <v>464</v>
      </c>
      <c r="J4" s="789">
        <v>464</v>
      </c>
      <c r="K4" s="504">
        <v>329</v>
      </c>
      <c r="L4" s="789">
        <v>329</v>
      </c>
      <c r="M4" s="504">
        <v>6.8999999999999999E-3</v>
      </c>
      <c r="N4" s="786">
        <v>6.3E-3</v>
      </c>
      <c r="O4" s="792" t="s">
        <v>226</v>
      </c>
    </row>
    <row r="5" spans="1:15" ht="20.100000000000001" customHeight="1">
      <c r="C5" s="503" t="s">
        <v>786</v>
      </c>
      <c r="D5" s="784"/>
      <c r="E5" s="504">
        <v>120</v>
      </c>
      <c r="F5" s="504">
        <v>4.4210000000000003</v>
      </c>
      <c r="G5" s="787"/>
      <c r="H5" s="784"/>
      <c r="I5" s="504">
        <v>464</v>
      </c>
      <c r="J5" s="790"/>
      <c r="K5" s="504">
        <v>329</v>
      </c>
      <c r="L5" s="790"/>
      <c r="M5" s="504">
        <v>6.6E-3</v>
      </c>
      <c r="N5" s="787"/>
      <c r="O5" s="793"/>
    </row>
    <row r="6" spans="1:15" ht="20.100000000000001" customHeight="1">
      <c r="A6"/>
      <c r="B6"/>
      <c r="C6" s="503" t="s">
        <v>787</v>
      </c>
      <c r="D6" s="784"/>
      <c r="E6" s="504">
        <v>120</v>
      </c>
      <c r="F6" s="504">
        <v>3.6684999999999999</v>
      </c>
      <c r="G6" s="787"/>
      <c r="H6" s="784"/>
      <c r="I6" s="504">
        <v>464</v>
      </c>
      <c r="J6" s="790"/>
      <c r="K6" s="504">
        <v>329</v>
      </c>
      <c r="L6" s="790"/>
      <c r="M6" s="504">
        <v>6.4999999999999997E-3</v>
      </c>
      <c r="N6" s="787"/>
      <c r="O6" s="793"/>
    </row>
    <row r="7" spans="1:15" ht="20.100000000000001" customHeight="1">
      <c r="A7" s="452" t="s">
        <v>749</v>
      </c>
      <c r="B7"/>
      <c r="C7" s="503" t="s">
        <v>838</v>
      </c>
      <c r="D7" s="784"/>
      <c r="E7" s="504">
        <v>120</v>
      </c>
      <c r="F7" s="504">
        <v>3.6779999999999999</v>
      </c>
      <c r="G7" s="787"/>
      <c r="H7" s="784"/>
      <c r="I7" s="504">
        <v>464</v>
      </c>
      <c r="J7" s="790"/>
      <c r="K7" s="504">
        <v>329</v>
      </c>
      <c r="L7" s="790"/>
      <c r="M7" s="504">
        <v>6.7999999999999996E-3</v>
      </c>
      <c r="N7" s="787"/>
      <c r="O7" s="793"/>
    </row>
    <row r="8" spans="1:15" ht="20.100000000000001" customHeight="1">
      <c r="A8" s="452" t="s">
        <v>750</v>
      </c>
      <c r="B8"/>
      <c r="C8" s="503" t="s">
        <v>841</v>
      </c>
      <c r="D8" s="784"/>
      <c r="E8" s="504">
        <v>120</v>
      </c>
      <c r="F8" s="504">
        <v>3.7835000000000001</v>
      </c>
      <c r="G8" s="787"/>
      <c r="H8" s="784"/>
      <c r="I8" s="504">
        <v>464</v>
      </c>
      <c r="J8" s="790"/>
      <c r="K8" s="504">
        <v>329</v>
      </c>
      <c r="L8" s="790"/>
      <c r="M8" s="504">
        <v>5.7000000000000002E-3</v>
      </c>
      <c r="N8" s="787"/>
      <c r="O8" s="793"/>
    </row>
    <row r="9" spans="1:15" ht="20.100000000000001" customHeight="1">
      <c r="A9"/>
      <c r="B9"/>
      <c r="C9" s="503" t="s">
        <v>844</v>
      </c>
      <c r="D9" s="784"/>
      <c r="E9" s="504">
        <v>120</v>
      </c>
      <c r="F9" s="504">
        <v>3.7124999999999999</v>
      </c>
      <c r="G9" s="787"/>
      <c r="H9" s="784"/>
      <c r="I9" s="504">
        <v>464</v>
      </c>
      <c r="J9" s="790"/>
      <c r="K9" s="504">
        <v>329</v>
      </c>
      <c r="L9" s="790"/>
      <c r="M9" s="504">
        <v>6.1000000000000004E-3</v>
      </c>
      <c r="N9" s="787"/>
      <c r="O9" s="793"/>
    </row>
    <row r="10" spans="1:15" ht="20.100000000000001" customHeight="1">
      <c r="A10"/>
      <c r="B10"/>
      <c r="C10" s="503" t="s">
        <v>855</v>
      </c>
      <c r="D10" s="784"/>
      <c r="E10" s="504">
        <v>120</v>
      </c>
      <c r="F10" s="504">
        <v>3.6905000000000001</v>
      </c>
      <c r="G10" s="787"/>
      <c r="H10" s="784"/>
      <c r="I10" s="504">
        <v>464</v>
      </c>
      <c r="J10" s="790"/>
      <c r="K10" s="504">
        <v>329</v>
      </c>
      <c r="L10" s="790"/>
      <c r="M10" s="504">
        <v>5.5999999999999999E-3</v>
      </c>
      <c r="N10" s="787"/>
      <c r="O10" s="793"/>
    </row>
    <row r="11" spans="1:15" ht="20.100000000000001" customHeight="1">
      <c r="A11"/>
      <c r="B11"/>
      <c r="C11" s="503" t="s">
        <v>858</v>
      </c>
      <c r="D11" s="784"/>
      <c r="E11" s="504">
        <v>120</v>
      </c>
      <c r="F11" s="504">
        <v>3.9775</v>
      </c>
      <c r="G11" s="787"/>
      <c r="H11" s="784"/>
      <c r="I11" s="504">
        <v>464</v>
      </c>
      <c r="J11" s="790"/>
      <c r="K11" s="504">
        <v>329</v>
      </c>
      <c r="L11" s="790"/>
      <c r="M11" s="504">
        <v>5.4000000000000003E-3</v>
      </c>
      <c r="N11" s="787"/>
      <c r="O11" s="793"/>
    </row>
    <row r="12" spans="1:15" ht="20.100000000000001" customHeight="1">
      <c r="C12" s="503" t="s">
        <v>861</v>
      </c>
      <c r="D12" s="784"/>
      <c r="E12" s="504">
        <v>120</v>
      </c>
      <c r="F12" s="504">
        <v>3.5615000000000001</v>
      </c>
      <c r="G12" s="787"/>
      <c r="H12" s="784"/>
      <c r="I12" s="504">
        <v>464</v>
      </c>
      <c r="J12" s="790"/>
      <c r="K12" s="504">
        <v>329</v>
      </c>
      <c r="L12" s="790"/>
      <c r="M12" s="504">
        <v>6.4999999999999997E-3</v>
      </c>
      <c r="N12" s="787"/>
      <c r="O12" s="793"/>
    </row>
    <row r="13" spans="1:15" ht="20.100000000000001" customHeight="1">
      <c r="C13" s="503" t="s">
        <v>864</v>
      </c>
      <c r="D13" s="784"/>
      <c r="E13" s="504">
        <v>120</v>
      </c>
      <c r="F13" s="504">
        <v>3.706</v>
      </c>
      <c r="G13" s="787"/>
      <c r="H13" s="784"/>
      <c r="I13" s="504">
        <v>464</v>
      </c>
      <c r="J13" s="790"/>
      <c r="K13" s="504">
        <v>329</v>
      </c>
      <c r="L13" s="790"/>
      <c r="M13" s="504">
        <v>6.3E-3</v>
      </c>
      <c r="N13" s="787"/>
      <c r="O13" s="793"/>
    </row>
    <row r="14" spans="1:15" ht="20.100000000000001" customHeight="1">
      <c r="C14" s="503" t="s">
        <v>867</v>
      </c>
      <c r="D14" s="785"/>
      <c r="E14" s="504">
        <v>120</v>
      </c>
      <c r="F14" s="504">
        <v>3.5745</v>
      </c>
      <c r="G14" s="788"/>
      <c r="H14" s="785"/>
      <c r="I14" s="504">
        <v>464</v>
      </c>
      <c r="J14" s="791"/>
      <c r="K14" s="504">
        <v>329</v>
      </c>
      <c r="L14" s="791"/>
      <c r="M14" s="504">
        <v>6.6E-3</v>
      </c>
      <c r="N14" s="788"/>
      <c r="O14" s="794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14"/>
    <mergeCell ref="H4:H14"/>
    <mergeCell ref="D4:D14"/>
    <mergeCell ref="G4:G14"/>
    <mergeCell ref="J4:J14"/>
    <mergeCell ref="L4:L14"/>
    <mergeCell ref="N4:N1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789</v>
      </c>
      <c r="F45" s="223" t="s">
        <v>790</v>
      </c>
      <c r="G45" s="224" t="s">
        <v>791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789</v>
      </c>
      <c r="N45" s="223" t="s">
        <v>792</v>
      </c>
      <c r="O45" s="224" t="s">
        <v>793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794</v>
      </c>
      <c r="F46" s="220" t="s">
        <v>795</v>
      </c>
      <c r="G46" s="221" t="s">
        <v>791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794</v>
      </c>
      <c r="N46" s="220" t="s">
        <v>796</v>
      </c>
      <c r="O46" s="221" t="s">
        <v>797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798</v>
      </c>
      <c r="F47" s="223" t="s">
        <v>799</v>
      </c>
      <c r="G47" s="224" t="s">
        <v>791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798</v>
      </c>
      <c r="N47" s="223" t="s">
        <v>800</v>
      </c>
      <c r="O47" s="224" t="s">
        <v>801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802</v>
      </c>
      <c r="E79" s="105" t="s">
        <v>802</v>
      </c>
      <c r="F79" s="105" t="s">
        <v>803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804</v>
      </c>
      <c r="E84" s="105" t="s">
        <v>804</v>
      </c>
      <c r="F84" s="105" t="s">
        <v>805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816</v>
      </c>
      <c r="E89" s="105" t="s">
        <v>816</v>
      </c>
      <c r="F89" s="105" t="s">
        <v>816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819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807</v>
      </c>
      <c r="E94" s="105" t="s">
        <v>808</v>
      </c>
      <c r="F94" s="105" t="s">
        <v>809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810</v>
      </c>
      <c r="E99" s="105" t="s">
        <v>811</v>
      </c>
      <c r="F99" s="105" t="s">
        <v>812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817</v>
      </c>
      <c r="E104" s="105" t="s">
        <v>817</v>
      </c>
      <c r="F104" s="105" t="s">
        <v>817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806</v>
      </c>
      <c r="E109" s="105" t="s">
        <v>806</v>
      </c>
      <c r="F109" s="105" t="s">
        <v>806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814</v>
      </c>
      <c r="E114" s="105" t="s">
        <v>815</v>
      </c>
      <c r="F114" s="105" t="s">
        <v>815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813</v>
      </c>
      <c r="E119" s="105" t="s">
        <v>813</v>
      </c>
      <c r="F119" s="105" t="s">
        <v>813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46"/>
  <sheetViews>
    <sheetView zoomScaleNormal="100" workbookViewId="0">
      <selection activeCell="H21" sqref="H21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666"/>
      <c r="B1" s="667"/>
      <c r="C1" s="667"/>
      <c r="D1" s="668" t="s">
        <v>927</v>
      </c>
      <c r="E1" s="666"/>
      <c r="F1" s="668"/>
      <c r="G1" s="667"/>
      <c r="H1" s="667"/>
      <c r="I1" s="667"/>
      <c r="J1" s="669"/>
      <c r="K1" s="667"/>
      <c r="L1" s="667"/>
      <c r="M1" s="667"/>
      <c r="N1" s="667"/>
      <c r="O1" s="667"/>
      <c r="P1" s="670"/>
      <c r="Q1" s="667"/>
      <c r="R1" s="667"/>
    </row>
    <row r="2" spans="1:18" s="46" customFormat="1" ht="23.1" customHeight="1">
      <c r="A2" s="805" t="s">
        <v>0</v>
      </c>
      <c r="B2" s="795" t="s">
        <v>39</v>
      </c>
      <c r="C2" s="795" t="s">
        <v>6</v>
      </c>
      <c r="D2" s="795" t="s">
        <v>38</v>
      </c>
      <c r="E2" s="795" t="s">
        <v>194</v>
      </c>
      <c r="F2" s="795" t="s">
        <v>193</v>
      </c>
      <c r="G2" s="799" t="s">
        <v>1</v>
      </c>
      <c r="H2" s="799" t="s">
        <v>2</v>
      </c>
      <c r="I2" s="799" t="s">
        <v>162</v>
      </c>
      <c r="J2" s="803" t="s">
        <v>239</v>
      </c>
      <c r="K2" s="799" t="s">
        <v>238</v>
      </c>
      <c r="L2" s="799" t="s">
        <v>3</v>
      </c>
      <c r="M2" s="799" t="s">
        <v>4</v>
      </c>
      <c r="N2" s="799" t="s">
        <v>5</v>
      </c>
      <c r="O2" s="799" t="s">
        <v>237</v>
      </c>
      <c r="P2" s="801" t="s">
        <v>236</v>
      </c>
      <c r="Q2" s="795" t="s">
        <v>149</v>
      </c>
      <c r="R2" s="797" t="s">
        <v>87</v>
      </c>
    </row>
    <row r="3" spans="1:18" s="46" customFormat="1" ht="27" customHeight="1">
      <c r="A3" s="806"/>
      <c r="B3" s="796"/>
      <c r="C3" s="796"/>
      <c r="D3" s="796"/>
      <c r="E3" s="796"/>
      <c r="F3" s="796"/>
      <c r="G3" s="800"/>
      <c r="H3" s="800"/>
      <c r="I3" s="800"/>
      <c r="J3" s="804"/>
      <c r="K3" s="800"/>
      <c r="L3" s="800"/>
      <c r="M3" s="800"/>
      <c r="N3" s="800"/>
      <c r="O3" s="800"/>
      <c r="P3" s="802"/>
      <c r="Q3" s="796"/>
      <c r="R3" s="798"/>
    </row>
    <row r="4" spans="1:18" ht="23.1" customHeight="1">
      <c r="A4" s="709" t="s">
        <v>830</v>
      </c>
      <c r="B4" s="710" t="str">
        <f>Recharge!$B$32</f>
        <v>주식회사 한일지하수</v>
      </c>
      <c r="C4" s="711"/>
      <c r="D4" s="712" t="s">
        <v>928</v>
      </c>
      <c r="E4" s="712" t="str">
        <f>Recharge!$I$24</f>
        <v>영산강/영산강상류</v>
      </c>
      <c r="F4" s="712" t="str">
        <f>All!$B$2</f>
        <v>광주기상청</v>
      </c>
      <c r="G4" s="712">
        <v>200</v>
      </c>
      <c r="H4" s="712">
        <v>500</v>
      </c>
      <c r="I4" s="712">
        <v>120</v>
      </c>
      <c r="J4" s="712">
        <v>120</v>
      </c>
      <c r="K4" s="712">
        <v>240</v>
      </c>
      <c r="L4" s="712">
        <v>5</v>
      </c>
      <c r="M4" s="712">
        <v>70</v>
      </c>
      <c r="N4" s="713">
        <v>40</v>
      </c>
      <c r="O4" s="714">
        <f>ROUND(water!$F$7, 1)</f>
        <v>200.2</v>
      </c>
      <c r="P4" s="715">
        <v>3487130.5455</v>
      </c>
      <c r="Q4" s="712"/>
      <c r="R4" s="716"/>
    </row>
    <row r="5" spans="1:18" ht="23.1" customHeight="1">
      <c r="A5" s="709" t="s">
        <v>834</v>
      </c>
      <c r="B5" s="710" t="str">
        <f>Recharge!$B$32</f>
        <v>주식회사 한일지하수</v>
      </c>
      <c r="C5" s="711"/>
      <c r="D5" s="712" t="s">
        <v>928</v>
      </c>
      <c r="E5" s="712" t="str">
        <f>Recharge!$I$24</f>
        <v>영산강/영산강상류</v>
      </c>
      <c r="F5" s="712" t="str">
        <f>All!$B$2</f>
        <v>광주기상청</v>
      </c>
      <c r="G5" s="712">
        <v>200</v>
      </c>
      <c r="H5" s="712">
        <v>500</v>
      </c>
      <c r="I5" s="712">
        <v>120</v>
      </c>
      <c r="J5" s="712">
        <v>120</v>
      </c>
      <c r="K5" s="712">
        <v>240</v>
      </c>
      <c r="L5" s="712">
        <v>5</v>
      </c>
      <c r="M5" s="712">
        <v>70</v>
      </c>
      <c r="N5" s="713">
        <v>40</v>
      </c>
      <c r="O5" s="714">
        <f>ROUND(water!$F$7, 1)</f>
        <v>200.2</v>
      </c>
      <c r="P5" s="715">
        <v>3487130.5455</v>
      </c>
      <c r="Q5" s="712"/>
      <c r="R5" s="716"/>
    </row>
    <row r="6" spans="1:18" ht="23.1" customHeight="1">
      <c r="A6" s="709" t="s">
        <v>835</v>
      </c>
      <c r="B6" s="710" t="str">
        <f>Recharge!$B$32</f>
        <v>주식회사 한일지하수</v>
      </c>
      <c r="C6" s="711"/>
      <c r="D6" s="712" t="s">
        <v>928</v>
      </c>
      <c r="E6" s="712" t="str">
        <f>Recharge!$I$24</f>
        <v>영산강/영산강상류</v>
      </c>
      <c r="F6" s="712" t="str">
        <f>All!$B$2</f>
        <v>광주기상청</v>
      </c>
      <c r="G6" s="712">
        <v>200</v>
      </c>
      <c r="H6" s="712">
        <v>500</v>
      </c>
      <c r="I6" s="712">
        <v>120</v>
      </c>
      <c r="J6" s="712">
        <v>120</v>
      </c>
      <c r="K6" s="712">
        <v>240</v>
      </c>
      <c r="L6" s="712">
        <v>5</v>
      </c>
      <c r="M6" s="712">
        <v>70</v>
      </c>
      <c r="N6" s="713">
        <v>40</v>
      </c>
      <c r="O6" s="714">
        <f>ROUND(water!$F$7, 1)</f>
        <v>200.2</v>
      </c>
      <c r="P6" s="715">
        <v>3487130.5455</v>
      </c>
      <c r="Q6" s="712"/>
      <c r="R6" s="716"/>
    </row>
    <row r="7" spans="1:18" ht="23.1" customHeight="1">
      <c r="A7" s="709" t="s">
        <v>847</v>
      </c>
      <c r="B7" s="710" t="str">
        <f>Recharge!$B$32</f>
        <v>주식회사 한일지하수</v>
      </c>
      <c r="C7" s="711"/>
      <c r="D7" s="712" t="s">
        <v>928</v>
      </c>
      <c r="E7" s="712" t="str">
        <f>Recharge!$I$24</f>
        <v>영산강/영산강상류</v>
      </c>
      <c r="F7" s="712" t="str">
        <f>All!$B$2</f>
        <v>광주기상청</v>
      </c>
      <c r="G7" s="712">
        <v>200</v>
      </c>
      <c r="H7" s="712">
        <v>500</v>
      </c>
      <c r="I7" s="712">
        <v>120</v>
      </c>
      <c r="J7" s="712">
        <v>120</v>
      </c>
      <c r="K7" s="712">
        <v>240</v>
      </c>
      <c r="L7" s="712">
        <v>5</v>
      </c>
      <c r="M7" s="712">
        <v>70</v>
      </c>
      <c r="N7" s="713">
        <v>40</v>
      </c>
      <c r="O7" s="714">
        <f>ROUND(water!$F$7, 1)</f>
        <v>200.2</v>
      </c>
      <c r="P7" s="715">
        <v>3487130.5455</v>
      </c>
      <c r="Q7" s="712"/>
      <c r="R7" s="716"/>
    </row>
    <row r="8" spans="1:18" ht="23.1" customHeight="1">
      <c r="A8" s="709" t="s">
        <v>848</v>
      </c>
      <c r="B8" s="710" t="str">
        <f>Recharge!$B$32</f>
        <v>주식회사 한일지하수</v>
      </c>
      <c r="C8" s="711"/>
      <c r="D8" s="712" t="s">
        <v>928</v>
      </c>
      <c r="E8" s="712" t="str">
        <f>Recharge!$I$24</f>
        <v>영산강/영산강상류</v>
      </c>
      <c r="F8" s="712" t="str">
        <f>All!$B$2</f>
        <v>광주기상청</v>
      </c>
      <c r="G8" s="712">
        <v>200</v>
      </c>
      <c r="H8" s="712">
        <v>500</v>
      </c>
      <c r="I8" s="712">
        <v>120</v>
      </c>
      <c r="J8" s="712">
        <v>120</v>
      </c>
      <c r="K8" s="712">
        <v>240</v>
      </c>
      <c r="L8" s="712">
        <v>5</v>
      </c>
      <c r="M8" s="712">
        <v>70</v>
      </c>
      <c r="N8" s="713">
        <v>40</v>
      </c>
      <c r="O8" s="714">
        <f>ROUND(water!$F$7, 1)</f>
        <v>200.2</v>
      </c>
      <c r="P8" s="715">
        <v>3487130.5455</v>
      </c>
      <c r="Q8" s="712"/>
      <c r="R8" s="716"/>
    </row>
    <row r="9" spans="1:18" ht="23.1" customHeight="1">
      <c r="A9" s="709" t="s">
        <v>849</v>
      </c>
      <c r="B9" s="710" t="str">
        <f>Recharge!$B$32</f>
        <v>주식회사 한일지하수</v>
      </c>
      <c r="C9" s="711"/>
      <c r="D9" s="712" t="s">
        <v>928</v>
      </c>
      <c r="E9" s="712" t="str">
        <f>Recharge!$I$24</f>
        <v>영산강/영산강상류</v>
      </c>
      <c r="F9" s="712" t="str">
        <f>All!$B$2</f>
        <v>광주기상청</v>
      </c>
      <c r="G9" s="712">
        <v>200</v>
      </c>
      <c r="H9" s="712">
        <v>500</v>
      </c>
      <c r="I9" s="712">
        <v>120</v>
      </c>
      <c r="J9" s="712">
        <v>120</v>
      </c>
      <c r="K9" s="712">
        <v>240</v>
      </c>
      <c r="L9" s="712">
        <v>5</v>
      </c>
      <c r="M9" s="712">
        <v>70</v>
      </c>
      <c r="N9" s="713">
        <v>40</v>
      </c>
      <c r="O9" s="714">
        <f>ROUND(water!$F$7, 1)</f>
        <v>200.2</v>
      </c>
      <c r="P9" s="715">
        <v>3487130.5455</v>
      </c>
      <c r="Q9" s="712"/>
      <c r="R9" s="716"/>
    </row>
    <row r="10" spans="1:18" ht="23.1" customHeight="1">
      <c r="A10" s="709" t="s">
        <v>870</v>
      </c>
      <c r="B10" s="710" t="str">
        <f>Recharge!$B$32</f>
        <v>주식회사 한일지하수</v>
      </c>
      <c r="C10" s="711"/>
      <c r="D10" s="712" t="s">
        <v>928</v>
      </c>
      <c r="E10" s="712" t="str">
        <f>Recharge!$I$24</f>
        <v>영산강/영산강상류</v>
      </c>
      <c r="F10" s="712" t="str">
        <f>All!$B$2</f>
        <v>광주기상청</v>
      </c>
      <c r="G10" s="712">
        <v>200</v>
      </c>
      <c r="H10" s="712">
        <v>500</v>
      </c>
      <c r="I10" s="712">
        <v>120</v>
      </c>
      <c r="J10" s="712">
        <v>120</v>
      </c>
      <c r="K10" s="712">
        <v>240</v>
      </c>
      <c r="L10" s="712">
        <v>5</v>
      </c>
      <c r="M10" s="712">
        <v>70</v>
      </c>
      <c r="N10" s="713">
        <v>40</v>
      </c>
      <c r="O10" s="714">
        <f>ROUND(water!$F$7, 1)</f>
        <v>200.2</v>
      </c>
      <c r="P10" s="715">
        <v>3487130.5455</v>
      </c>
      <c r="Q10" s="712"/>
      <c r="R10" s="716"/>
    </row>
    <row r="11" spans="1:18" ht="23.1" customHeight="1">
      <c r="A11" s="709" t="s">
        <v>871</v>
      </c>
      <c r="B11" s="710" t="str">
        <f>Recharge!$B$32</f>
        <v>주식회사 한일지하수</v>
      </c>
      <c r="C11" s="711"/>
      <c r="D11" s="712" t="s">
        <v>928</v>
      </c>
      <c r="E11" s="712" t="str">
        <f>Recharge!$I$24</f>
        <v>영산강/영산강상류</v>
      </c>
      <c r="F11" s="712" t="str">
        <f>All!$B$2</f>
        <v>광주기상청</v>
      </c>
      <c r="G11" s="712">
        <v>200</v>
      </c>
      <c r="H11" s="712">
        <v>500</v>
      </c>
      <c r="I11" s="712">
        <v>120</v>
      </c>
      <c r="J11" s="712">
        <v>120</v>
      </c>
      <c r="K11" s="712">
        <v>240</v>
      </c>
      <c r="L11" s="712">
        <v>5</v>
      </c>
      <c r="M11" s="712">
        <v>70</v>
      </c>
      <c r="N11" s="713">
        <v>40</v>
      </c>
      <c r="O11" s="714">
        <f>ROUND(water!$F$7, 1)</f>
        <v>200.2</v>
      </c>
      <c r="P11" s="715">
        <v>3487130.5455</v>
      </c>
      <c r="Q11" s="712"/>
      <c r="R11" s="716"/>
    </row>
    <row r="12" spans="1:18" ht="23.1" customHeight="1">
      <c r="A12" s="709" t="s">
        <v>872</v>
      </c>
      <c r="B12" s="710" t="str">
        <f>Recharge!$B$32</f>
        <v>주식회사 한일지하수</v>
      </c>
      <c r="C12" s="711"/>
      <c r="D12" s="712" t="s">
        <v>928</v>
      </c>
      <c r="E12" s="712" t="str">
        <f>Recharge!$I$24</f>
        <v>영산강/영산강상류</v>
      </c>
      <c r="F12" s="712" t="str">
        <f>All!$B$2</f>
        <v>광주기상청</v>
      </c>
      <c r="G12" s="712">
        <v>200</v>
      </c>
      <c r="H12" s="712">
        <v>500</v>
      </c>
      <c r="I12" s="712">
        <v>120</v>
      </c>
      <c r="J12" s="712">
        <v>120</v>
      </c>
      <c r="K12" s="712">
        <v>240</v>
      </c>
      <c r="L12" s="712">
        <v>5</v>
      </c>
      <c r="M12" s="712">
        <v>70</v>
      </c>
      <c r="N12" s="713">
        <v>40</v>
      </c>
      <c r="O12" s="714">
        <f>ROUND(water!$F$7, 1)</f>
        <v>200.2</v>
      </c>
      <c r="P12" s="715">
        <v>3487130.5455</v>
      </c>
      <c r="Q12" s="712"/>
      <c r="R12" s="716"/>
    </row>
    <row r="13" spans="1:18" ht="23.1" customHeight="1">
      <c r="A13" s="709" t="s">
        <v>873</v>
      </c>
      <c r="B13" s="710" t="str">
        <f>Recharge!$B$32</f>
        <v>주식회사 한일지하수</v>
      </c>
      <c r="C13" s="711"/>
      <c r="D13" s="712" t="s">
        <v>928</v>
      </c>
      <c r="E13" s="712" t="str">
        <f>Recharge!$I$24</f>
        <v>영산강/영산강상류</v>
      </c>
      <c r="F13" s="712" t="str">
        <f>All!$B$2</f>
        <v>광주기상청</v>
      </c>
      <c r="G13" s="712">
        <v>200</v>
      </c>
      <c r="H13" s="712">
        <v>500</v>
      </c>
      <c r="I13" s="712">
        <v>120</v>
      </c>
      <c r="J13" s="712">
        <v>120</v>
      </c>
      <c r="K13" s="712">
        <v>240</v>
      </c>
      <c r="L13" s="712">
        <v>5</v>
      </c>
      <c r="M13" s="712">
        <v>70</v>
      </c>
      <c r="N13" s="713">
        <v>40</v>
      </c>
      <c r="O13" s="714">
        <f>ROUND(water!$F$7, 1)</f>
        <v>200.2</v>
      </c>
      <c r="P13" s="715">
        <v>3487130.5455</v>
      </c>
      <c r="Q13" s="712"/>
      <c r="R13" s="716"/>
    </row>
    <row r="14" spans="1:18" ht="23.1" customHeight="1" thickBot="1">
      <c r="A14" s="717" t="s">
        <v>874</v>
      </c>
      <c r="B14" s="718" t="str">
        <f>Recharge!$B$32</f>
        <v>주식회사 한일지하수</v>
      </c>
      <c r="C14" s="719"/>
      <c r="D14" s="720" t="s">
        <v>928</v>
      </c>
      <c r="E14" s="720" t="str">
        <f>Recharge!$I$24</f>
        <v>영산강/영산강상류</v>
      </c>
      <c r="F14" s="720" t="str">
        <f>All!$B$2</f>
        <v>광주기상청</v>
      </c>
      <c r="G14" s="720">
        <v>200</v>
      </c>
      <c r="H14" s="720">
        <v>500</v>
      </c>
      <c r="I14" s="720">
        <v>120</v>
      </c>
      <c r="J14" s="720">
        <v>120</v>
      </c>
      <c r="K14" s="720">
        <v>240</v>
      </c>
      <c r="L14" s="720">
        <v>5</v>
      </c>
      <c r="M14" s="720">
        <v>70</v>
      </c>
      <c r="N14" s="721">
        <v>40</v>
      </c>
      <c r="O14" s="722">
        <f>ROUND(water!$F$7, 1)</f>
        <v>200.2</v>
      </c>
      <c r="P14" s="723">
        <v>3487130.5455</v>
      </c>
      <c r="Q14" s="720"/>
      <c r="R14" s="724"/>
    </row>
    <row r="15" spans="1:18" ht="23.25" customHeight="1" thickBot="1">
      <c r="A15" s="73"/>
      <c r="J15" s="87"/>
      <c r="P15" s="88"/>
    </row>
    <row r="16" spans="1:18" ht="23.25" customHeight="1" thickBot="1">
      <c r="I16" s="162">
        <f>SUM(I4:I15)</f>
        <v>1320</v>
      </c>
    </row>
    <row r="18" spans="3:20">
      <c r="P18" s="18" t="s">
        <v>854</v>
      </c>
    </row>
    <row r="20" spans="3:20">
      <c r="Q20" s="16" t="s">
        <v>112</v>
      </c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3:20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3:20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3:20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3:20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3:20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3:20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3:2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3:2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4" xr:uid="{F575F19E-A8E3-4DC2-8F1D-5B767EB2BD69}">
      <formula1>INDIRECT("Tcorp[조사자]")</formula1>
    </dataValidation>
    <dataValidation type="list" allowBlank="1" showInputMessage="1" showErrorMessage="1" sqref="E4:E14" xr:uid="{2019737E-D483-40D6-8604-B68BA66F9B36}">
      <formula1>INDIRECT("Location[name]")</formula1>
    </dataValidation>
    <dataValidation type="list" allowBlank="1" showInputMessage="1" showErrorMessage="1" sqref="F4:F14" xr:uid="{8021220D-C64A-458F-88C2-6F1E1EAB3C18}">
      <formula1>INDIRECT("Tarea[area]")</formula1>
    </dataValidation>
    <dataValidation type="list" allowBlank="1" showInputMessage="1" showErrorMessage="1" sqref="G4:G1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2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584" t="s">
        <v>48</v>
      </c>
      <c r="C3" s="698">
        <f>Well!C4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Well!R4</f>
        <v>0</v>
      </c>
      <c r="D4" s="593" t="s">
        <v>51</v>
      </c>
      <c r="E4" s="594">
        <v>0</v>
      </c>
      <c r="F4" s="594"/>
      <c r="G4" s="595">
        <v>5.1830000000000001E-2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Well!Q4</f>
        <v>0</v>
      </c>
      <c r="D5" s="593" t="s">
        <v>53</v>
      </c>
      <c r="E5" s="596">
        <v>7.4550000000000001</v>
      </c>
      <c r="F5" s="597">
        <f>$E$5/$C$14</f>
        <v>1.6066810344827587E-2</v>
      </c>
      <c r="G5" s="598">
        <v>1.7809999999999999E-4</v>
      </c>
      <c r="H5" s="447">
        <v>-2.8366420403716015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Well!D4</f>
        <v>광주광역시 북구 매곡동 430</v>
      </c>
      <c r="D6" s="593" t="s">
        <v>56</v>
      </c>
      <c r="E6" s="597">
        <v>2.9830000000000001</v>
      </c>
      <c r="F6" s="597">
        <f>$E$6/$C$14</f>
        <v>6.4288793103448282E-3</v>
      </c>
      <c r="G6" s="599">
        <v>97.57</v>
      </c>
      <c r="H6" s="448">
        <v>1.706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Well!H4</f>
        <v>500</v>
      </c>
      <c r="D7" s="600" t="s">
        <v>58</v>
      </c>
      <c r="E7" s="601">
        <f>ROUND((E5+E6)/2,4)</f>
        <v>5.2190000000000003</v>
      </c>
      <c r="F7" s="602">
        <f>$E$7/$C$14</f>
        <v>1.1247844827586208E-2</v>
      </c>
      <c r="G7" s="603">
        <f>G5</f>
        <v>1.7809999999999999E-4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Well!G4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157.19999999999999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43.4</v>
      </c>
      <c r="F10" s="454">
        <v>53.1</v>
      </c>
      <c r="G10" s="455">
        <v>157.19999999999999</v>
      </c>
      <c r="H10" s="153">
        <f>MIN(E10,F10,G10)</f>
        <v>43.4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84.6</v>
      </c>
      <c r="F11" s="121">
        <f>ROUND((E10+F10)/2,1)</f>
        <v>48.3</v>
      </c>
      <c r="H11" s="152">
        <f>ROUND(AVERAGE(E10:G10),1)</f>
        <v>84.6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Well!I4</f>
        <v>120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Well!J4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7.76</v>
      </c>
      <c r="L16" s="131"/>
    </row>
    <row r="17" spans="2:12" ht="20.100000000000001" customHeight="1" thickBot="1">
      <c r="B17" s="585" t="s">
        <v>69</v>
      </c>
      <c r="C17" s="707">
        <f>Well!L4</f>
        <v>5</v>
      </c>
      <c r="E17" s="116">
        <f>Well!P4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5.76</v>
      </c>
      <c r="L17" s="131"/>
    </row>
    <row r="18" spans="2:12" ht="20.100000000000001" customHeight="1" thickBot="1">
      <c r="B18" s="585" t="s">
        <v>70</v>
      </c>
      <c r="C18" s="707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6.939759036144578E-3</v>
      </c>
      <c r="L18" s="133">
        <f>K18*100</f>
        <v>0.69397590361445782</v>
      </c>
    </row>
    <row r="19" spans="2:12" ht="20.100000000000001" customHeight="1" thickBot="1">
      <c r="B19" s="585" t="s">
        <v>72</v>
      </c>
      <c r="C19" s="707">
        <f>Well!N4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10.24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23.5</v>
      </c>
      <c r="D21" s="5"/>
      <c r="E21" s="117">
        <f>Well!$I$16</f>
        <v>1320</v>
      </c>
      <c r="F21" s="118">
        <f>Well!O4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13.26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49</v>
      </c>
      <c r="C26" s="651" t="s">
        <v>94</v>
      </c>
      <c r="D26" s="662">
        <f>C20</f>
        <v>10.24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0.69397590361445782</v>
      </c>
      <c r="I26" s="651" t="s">
        <v>173</v>
      </c>
      <c r="J26" s="665">
        <f>((E7/C14)/86400)</f>
        <v>1.301833892081737E-7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727D4-5F5D-4565-9F76-554694DC1216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832</v>
      </c>
      <c r="J2"/>
      <c r="K2"/>
      <c r="L2"/>
      <c r="M2"/>
    </row>
    <row r="3" spans="1:13" ht="20.100000000000001" customHeight="1">
      <c r="B3" s="584" t="s">
        <v>6</v>
      </c>
      <c r="C3" s="698">
        <f>Well!C5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Well!R5</f>
        <v>0</v>
      </c>
      <c r="D4" s="593" t="s">
        <v>51</v>
      </c>
      <c r="E4" s="594">
        <v>0</v>
      </c>
      <c r="F4" s="594"/>
      <c r="G4" s="595">
        <v>5.91E-2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Well!Q5</f>
        <v>0</v>
      </c>
      <c r="D5" s="593" t="s">
        <v>53</v>
      </c>
      <c r="E5" s="596">
        <v>6.4489999999999998</v>
      </c>
      <c r="F5" s="597">
        <f>$E$5/$C$14</f>
        <v>1.3898706896551724E-2</v>
      </c>
      <c r="G5" s="598">
        <v>1.7780000000000001E-4</v>
      </c>
      <c r="H5" s="447">
        <v>-2.9032075543605353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Well!D5</f>
        <v>광주광역시 북구 매곡동 430</v>
      </c>
      <c r="D6" s="593" t="s">
        <v>56</v>
      </c>
      <c r="E6" s="597">
        <v>2.3929999999999998</v>
      </c>
      <c r="F6" s="597">
        <f>$E$6/$C$14</f>
        <v>5.1573275862068961E-3</v>
      </c>
      <c r="G6" s="599">
        <v>157</v>
      </c>
      <c r="H6" s="448">
        <v>1.823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Well!H5</f>
        <v>500</v>
      </c>
      <c r="D7" s="600" t="s">
        <v>58</v>
      </c>
      <c r="E7" s="601">
        <f>ROUND((E5+E6)/2,4)</f>
        <v>4.4210000000000003</v>
      </c>
      <c r="F7" s="602">
        <f>$E$7/$C$14</f>
        <v>9.5280172413793104E-3</v>
      </c>
      <c r="G7" s="603">
        <f>G5</f>
        <v>1.7780000000000001E-4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Well!G5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144.80000000000001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42.4</v>
      </c>
      <c r="F10" s="454">
        <v>51.9</v>
      </c>
      <c r="G10" s="455">
        <v>144.80000000000001</v>
      </c>
      <c r="H10" s="153">
        <f>MIN(E10,F10,G10)</f>
        <v>42.4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79.7</v>
      </c>
      <c r="F11" s="121">
        <f>ROUND((E10+F10)/2,1)</f>
        <v>47.2</v>
      </c>
      <c r="H11" s="152">
        <f>ROUND(AVERAGE(E10:G10),1)</f>
        <v>79.7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Well!I5</f>
        <v>120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Well!J5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7.4700000000000006</v>
      </c>
      <c r="L16" s="131"/>
    </row>
    <row r="17" spans="2:12" ht="20.100000000000001" customHeight="1" thickBot="1">
      <c r="B17" s="585" t="s">
        <v>69</v>
      </c>
      <c r="C17" s="707">
        <f>Well!L5</f>
        <v>5</v>
      </c>
      <c r="E17" s="116">
        <f>Well!P5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5.4700000000000006</v>
      </c>
      <c r="L17" s="131"/>
    </row>
    <row r="18" spans="2:12" ht="20.100000000000001" customHeight="1" thickBot="1">
      <c r="B18" s="585" t="s">
        <v>70</v>
      </c>
      <c r="C18" s="707">
        <f>Well!M5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6.5903614457831329E-3</v>
      </c>
      <c r="L18" s="133">
        <f>K18*100</f>
        <v>0.65903614457831328</v>
      </c>
    </row>
    <row r="19" spans="2:12" ht="20.100000000000001" customHeight="1" thickBot="1">
      <c r="B19" s="585" t="s">
        <v>72</v>
      </c>
      <c r="C19" s="707">
        <f>Well!N5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10.53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25.45</v>
      </c>
      <c r="D21" s="5"/>
      <c r="E21" s="117">
        <f>Well!$I$16</f>
        <v>1320</v>
      </c>
      <c r="F21" s="118">
        <f>Well!O5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14.92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836</v>
      </c>
      <c r="C26" s="651" t="s">
        <v>94</v>
      </c>
      <c r="D26" s="662">
        <f>C20</f>
        <v>10.53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0.65903614457831328</v>
      </c>
      <c r="I26" s="651" t="s">
        <v>173</v>
      </c>
      <c r="J26" s="665">
        <f>((E7/C14)/86400)</f>
        <v>1.1027797733077906E-7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29ACB0-BBD4-405B-B234-103C3A54FE31}">
          <x14:formula1>
            <xm:f>drastic!$G$4:$G$14</xm:f>
          </x14:formula1>
          <xm:sqref>I26</xm:sqref>
        </x14:dataValidation>
        <x14:dataValidation type="list" allowBlank="1" showInputMessage="1" showErrorMessage="1" xr:uid="{0EC942F0-C2C2-4474-B1D1-680787796B7B}">
          <x14:formula1>
            <xm:f>drastic!$D$4:$D$14</xm:f>
          </x14:formula1>
          <xm:sqref>G26</xm:sqref>
        </x14:dataValidation>
        <x14:dataValidation type="list" allowBlank="1" showInputMessage="1" showErrorMessage="1" xr:uid="{962BB2BC-AC33-4FD5-9613-7B9FE5196F22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1574-36E7-4B55-8F50-9698EA966829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833</v>
      </c>
      <c r="J2"/>
      <c r="K2"/>
      <c r="L2"/>
      <c r="M2"/>
    </row>
    <row r="3" spans="1:13" ht="20.100000000000001" customHeight="1">
      <c r="B3" s="584" t="s">
        <v>6</v>
      </c>
      <c r="C3" s="698">
        <f>Well!C6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Well!R6</f>
        <v>0</v>
      </c>
      <c r="D4" s="593" t="s">
        <v>51</v>
      </c>
      <c r="E4" s="594">
        <v>0</v>
      </c>
      <c r="F4" s="594"/>
      <c r="G4" s="595">
        <v>6.7290000000000003E-2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Well!Q6</f>
        <v>0</v>
      </c>
      <c r="D5" s="593" t="s">
        <v>53</v>
      </c>
      <c r="E5" s="596">
        <v>5.2560000000000002</v>
      </c>
      <c r="F5" s="597">
        <f>$E$5/$C$14</f>
        <v>1.1327586206896553E-2</v>
      </c>
      <c r="G5" s="598">
        <v>1.7770000000000001E-4</v>
      </c>
      <c r="H5" s="447">
        <v>-2.9683500751110659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Well!D6</f>
        <v>광주광역시 북구 매곡동 430</v>
      </c>
      <c r="D6" s="593" t="s">
        <v>56</v>
      </c>
      <c r="E6" s="597">
        <v>2.081</v>
      </c>
      <c r="F6" s="597">
        <f>$E$6/$C$14</f>
        <v>4.4849137931034485E-3</v>
      </c>
      <c r="G6" s="599">
        <v>121.9</v>
      </c>
      <c r="H6" s="448">
        <v>1.946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Well!H6</f>
        <v>500</v>
      </c>
      <c r="D7" s="600" t="s">
        <v>58</v>
      </c>
      <c r="E7" s="601">
        <f>ROUND((E5+E6)/2,4)</f>
        <v>3.6684999999999999</v>
      </c>
      <c r="F7" s="602">
        <f>$E$7/$C$14</f>
        <v>7.9062500000000001E-3</v>
      </c>
      <c r="G7" s="603">
        <f>G5</f>
        <v>1.7770000000000001E-4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Well!G6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132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42.1</v>
      </c>
      <c r="F10" s="454">
        <v>51.5</v>
      </c>
      <c r="G10" s="455">
        <v>132</v>
      </c>
      <c r="H10" s="153">
        <f>MIN(E10,F10,G10)</f>
        <v>42.1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75.2</v>
      </c>
      <c r="F11" s="121">
        <f>ROUND((E10+F10)/2,1)</f>
        <v>46.8</v>
      </c>
      <c r="H11" s="152">
        <f>ROUND(AVERAGE(E10:G10),1)</f>
        <v>75.2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Well!I6</f>
        <v>120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Well!J6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7.3800000000000008</v>
      </c>
      <c r="L16" s="131"/>
    </row>
    <row r="17" spans="2:12" ht="20.100000000000001" customHeight="1" thickBot="1">
      <c r="B17" s="585" t="s">
        <v>69</v>
      </c>
      <c r="C17" s="707">
        <f>Well!L6</f>
        <v>5</v>
      </c>
      <c r="E17" s="116">
        <f>Well!P6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5.3800000000000008</v>
      </c>
      <c r="L17" s="131"/>
    </row>
    <row r="18" spans="2:12" ht="20.100000000000001" customHeight="1" thickBot="1">
      <c r="B18" s="585" t="s">
        <v>70</v>
      </c>
      <c r="C18" s="707">
        <f>Well!M6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6.4819277108433748E-3</v>
      </c>
      <c r="L18" s="133">
        <f>K18*100</f>
        <v>0.64819277108433748</v>
      </c>
    </row>
    <row r="19" spans="2:12" ht="20.100000000000001" customHeight="1" thickBot="1">
      <c r="B19" s="585" t="s">
        <v>72</v>
      </c>
      <c r="C19" s="707">
        <f>Well!N6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10.62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28.32</v>
      </c>
      <c r="D21" s="5"/>
      <c r="E21" s="117">
        <f>Well!$I$16</f>
        <v>1320</v>
      </c>
      <c r="F21" s="118">
        <f>Well!O6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17.700000000000003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837</v>
      </c>
      <c r="C26" s="651" t="s">
        <v>94</v>
      </c>
      <c r="D26" s="662">
        <f>C20</f>
        <v>10.62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0.64819277108433748</v>
      </c>
      <c r="I26" s="651" t="s">
        <v>173</v>
      </c>
      <c r="J26" s="665">
        <f>((E7/C14)/86400)</f>
        <v>9.1507523148148145E-8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E69EBC-3004-43A2-AB8F-BA8571FC3FDA}">
          <x14:formula1>
            <xm:f>drastic!$A$4:$A$13</xm:f>
          </x14:formula1>
          <xm:sqref>F26</xm:sqref>
        </x14:dataValidation>
        <x14:dataValidation type="list" allowBlank="1" showInputMessage="1" showErrorMessage="1" xr:uid="{FFF3B913-3A55-4D7A-8428-9E8E02A52FDA}">
          <x14:formula1>
            <xm:f>drastic!$D$4:$D$14</xm:f>
          </x14:formula1>
          <xm:sqref>G26</xm:sqref>
        </x14:dataValidation>
        <x14:dataValidation type="list" allowBlank="1" showInputMessage="1" showErrorMessage="1" xr:uid="{EF48DDCA-58D9-412E-8BB7-36179D9AEB4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D5A67-F3EF-4324-9406-5363D7AB3601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839</v>
      </c>
      <c r="C2" s="445" t="str">
        <f>Well!D7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840</v>
      </c>
      <c r="J2"/>
      <c r="K2"/>
      <c r="L2"/>
      <c r="M2"/>
    </row>
    <row r="3" spans="1:13" ht="20.100000000000001" customHeight="1">
      <c r="B3" s="584" t="s">
        <v>6</v>
      </c>
      <c r="C3" s="698">
        <f>Well!C7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Well!R7</f>
        <v>0</v>
      </c>
      <c r="D4" s="593" t="s">
        <v>51</v>
      </c>
      <c r="E4" s="594">
        <v>0</v>
      </c>
      <c r="F4" s="594"/>
      <c r="G4" s="595">
        <v>6.6489999999999994E-2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Well!Q7</f>
        <v>0</v>
      </c>
      <c r="D5" s="593" t="s">
        <v>53</v>
      </c>
      <c r="E5" s="596">
        <v>5.3609999999999998</v>
      </c>
      <c r="F5" s="597">
        <f>$E$5/$C$14</f>
        <v>1.1553879310344827E-2</v>
      </c>
      <c r="G5" s="598">
        <v>1.7789999999999999E-4</v>
      </c>
      <c r="H5" s="447">
        <v>-2.9615085374323593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Well!D7</f>
        <v>광주광역시 북구 매곡동 430</v>
      </c>
      <c r="D6" s="593" t="s">
        <v>56</v>
      </c>
      <c r="E6" s="597">
        <v>1.9950000000000001</v>
      </c>
      <c r="F6" s="597">
        <f>$E$6/$C$14</f>
        <v>4.2995689655172418E-3</v>
      </c>
      <c r="G6" s="599">
        <v>152.80000000000001</v>
      </c>
      <c r="H6" s="448">
        <v>1.9330000000000001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Well!H7</f>
        <v>500</v>
      </c>
      <c r="D7" s="600" t="s">
        <v>58</v>
      </c>
      <c r="E7" s="601">
        <f>ROUND((E5+E6)/2,4)</f>
        <v>3.6779999999999999</v>
      </c>
      <c r="F7" s="602">
        <f>$E$7/$C$14</f>
        <v>7.9267241379310342E-3</v>
      </c>
      <c r="G7" s="603">
        <f>G5</f>
        <v>1.7789999999999999E-4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Well!G7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132.1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41.8</v>
      </c>
      <c r="F10" s="454">
        <v>51.1</v>
      </c>
      <c r="G10" s="455">
        <v>132.1</v>
      </c>
      <c r="H10" s="153">
        <f>MIN(E10,F10,G10)</f>
        <v>41.8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</v>
      </c>
      <c r="F11" s="121">
        <f>ROUND((E10+F10)/2,1)</f>
        <v>46.5</v>
      </c>
      <c r="H11" s="152">
        <f>ROUND(AVERAGE(E10:G10),1)</f>
        <v>75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Well!I7</f>
        <v>120</v>
      </c>
      <c r="E15" s="19">
        <v>4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Well!J7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7.67</v>
      </c>
      <c r="L16" s="131"/>
    </row>
    <row r="17" spans="2:12" ht="20.100000000000001" customHeight="1" thickBot="1">
      <c r="B17" s="585" t="s">
        <v>69</v>
      </c>
      <c r="C17" s="707">
        <f>Well!L7</f>
        <v>5</v>
      </c>
      <c r="E17" s="116">
        <f>Well!P7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5.67</v>
      </c>
      <c r="L17" s="131"/>
    </row>
    <row r="18" spans="2:12" ht="20.100000000000001" customHeight="1" thickBot="1">
      <c r="B18" s="585" t="s">
        <v>70</v>
      </c>
      <c r="C18" s="707">
        <f>Well!M7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6.831325301204819E-3</v>
      </c>
      <c r="L18" s="133">
        <f>K18*100</f>
        <v>0.68313253012048192</v>
      </c>
    </row>
    <row r="19" spans="2:12" ht="20.100000000000001" customHeight="1" thickBot="1">
      <c r="B19" s="585" t="s">
        <v>72</v>
      </c>
      <c r="C19" s="707">
        <f>Well!N7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10.33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27.74</v>
      </c>
      <c r="D21" s="5"/>
      <c r="E21" s="117">
        <f>Well!$I$16</f>
        <v>1320</v>
      </c>
      <c r="F21" s="118">
        <f>Well!O7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17.409999999999997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850</v>
      </c>
      <c r="C26" s="651" t="s">
        <v>94</v>
      </c>
      <c r="D26" s="662">
        <f>C20</f>
        <v>10.33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0.68313253012048192</v>
      </c>
      <c r="I26" s="651" t="s">
        <v>173</v>
      </c>
      <c r="J26" s="665">
        <f>((E7/C14)/86400)</f>
        <v>9.1744492337164749E-8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E4583F-6D63-4548-9461-784E091F1D8E}">
          <x14:formula1>
            <xm:f>drastic!$A$4:$A$13</xm:f>
          </x14:formula1>
          <xm:sqref>F26</xm:sqref>
        </x14:dataValidation>
        <x14:dataValidation type="list" allowBlank="1" showInputMessage="1" showErrorMessage="1" xr:uid="{070F7685-3134-49B0-9879-99B053BD762E}">
          <x14:formula1>
            <xm:f>drastic!$D$4:$D$14</xm:f>
          </x14:formula1>
          <xm:sqref>G26</xm:sqref>
        </x14:dataValidation>
        <x14:dataValidation type="list" allowBlank="1" showInputMessage="1" showErrorMessage="1" xr:uid="{F28E45BB-BC58-4593-A205-F8E99DBE5B1B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EB14-FF44-4D5C-9982-896DC8C8A366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842</v>
      </c>
      <c r="C2" s="445" t="str">
        <f>Well!D8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843</v>
      </c>
      <c r="J2"/>
      <c r="K2"/>
      <c r="L2"/>
      <c r="M2"/>
    </row>
    <row r="3" spans="1:13" ht="20.100000000000001" customHeight="1">
      <c r="B3" s="584" t="s">
        <v>6</v>
      </c>
      <c r="C3" s="698">
        <f>Well!C8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Well!R8</f>
        <v>0</v>
      </c>
      <c r="D4" s="593" t="s">
        <v>51</v>
      </c>
      <c r="E4" s="594">
        <v>0</v>
      </c>
      <c r="F4" s="594"/>
      <c r="G4" s="595">
        <v>6.658E-2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Well!Q8</f>
        <v>0</v>
      </c>
      <c r="D5" s="593" t="s">
        <v>53</v>
      </c>
      <c r="E5" s="596">
        <v>5.3810000000000002</v>
      </c>
      <c r="F5" s="597">
        <f>$E$5/$C$14</f>
        <v>1.1596982758620689E-2</v>
      </c>
      <c r="G5" s="598">
        <v>1.7780000000000001E-4</v>
      </c>
      <c r="H5" s="447">
        <v>-2.9628490353353705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Well!D8</f>
        <v>광주광역시 북구 매곡동 430</v>
      </c>
      <c r="D6" s="593" t="s">
        <v>56</v>
      </c>
      <c r="E6" s="597">
        <v>2.1859999999999999</v>
      </c>
      <c r="F6" s="597">
        <f>$E$6/$C$14</f>
        <v>4.7112068965517243E-3</v>
      </c>
      <c r="G6" s="599">
        <v>105</v>
      </c>
      <c r="H6" s="448">
        <v>1.9350000000000001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Well!H8</f>
        <v>500</v>
      </c>
      <c r="D7" s="600" t="s">
        <v>58</v>
      </c>
      <c r="E7" s="601">
        <f>ROUND((E5+E6)/2,4)</f>
        <v>3.7835000000000001</v>
      </c>
      <c r="F7" s="602">
        <f>$E$7/$C$14</f>
        <v>8.1540948275862068E-3</v>
      </c>
      <c r="G7" s="603">
        <f>G5</f>
        <v>1.7780000000000001E-4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Well!G8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134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42.3</v>
      </c>
      <c r="F10" s="454">
        <v>51.8</v>
      </c>
      <c r="G10" s="455">
        <v>134</v>
      </c>
      <c r="H10" s="153">
        <f>MIN(E10,F10,G10)</f>
        <v>42.3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76</v>
      </c>
      <c r="F11" s="121">
        <f>ROUND((E10+F10)/2,1)</f>
        <v>47.1</v>
      </c>
      <c r="H11" s="152">
        <f>ROUND(AVERAGE(E10:G10),1)</f>
        <v>76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Well!I8</f>
        <v>120</v>
      </c>
      <c r="E15" s="19">
        <v>5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Well!J8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6.76</v>
      </c>
      <c r="L16" s="131"/>
    </row>
    <row r="17" spans="2:12" ht="20.100000000000001" customHeight="1" thickBot="1">
      <c r="B17" s="585" t="s">
        <v>69</v>
      </c>
      <c r="C17" s="707">
        <f>Well!L8</f>
        <v>5</v>
      </c>
      <c r="E17" s="116">
        <f>Well!P8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4.76</v>
      </c>
      <c r="L17" s="131"/>
    </row>
    <row r="18" spans="2:12" ht="20.100000000000001" customHeight="1" thickBot="1">
      <c r="B18" s="585" t="s">
        <v>70</v>
      </c>
      <c r="C18" s="707">
        <f>Well!M8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5.7349397590361444E-3</v>
      </c>
      <c r="L18" s="133">
        <f>K18*100</f>
        <v>0.57349397590361439</v>
      </c>
    </row>
    <row r="19" spans="2:12" ht="20.100000000000001" customHeight="1" thickBot="1">
      <c r="B19" s="585" t="s">
        <v>72</v>
      </c>
      <c r="C19" s="707">
        <f>Well!N8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11.24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28.59</v>
      </c>
      <c r="D21" s="5"/>
      <c r="E21" s="117">
        <f>Well!$I$16</f>
        <v>1320</v>
      </c>
      <c r="F21" s="118">
        <f>Well!O8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17.350000000000001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851</v>
      </c>
      <c r="C26" s="651" t="s">
        <v>94</v>
      </c>
      <c r="D26" s="662">
        <f>C20</f>
        <v>11.24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0.57349397590361439</v>
      </c>
      <c r="I26" s="651" t="s">
        <v>173</v>
      </c>
      <c r="J26" s="665">
        <f>((E7/C14)/86400)</f>
        <v>9.4376097541507017E-8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0DAE74-A174-4923-908E-92E8359286A8}">
          <x14:formula1>
            <xm:f>drastic!$A$4:$A$13</xm:f>
          </x14:formula1>
          <xm:sqref>F26</xm:sqref>
        </x14:dataValidation>
        <x14:dataValidation type="list" allowBlank="1" showInputMessage="1" showErrorMessage="1" xr:uid="{E3148F27-D9E4-4304-8DDE-8C50593784CD}">
          <x14:formula1>
            <xm:f>drastic!$D$4:$D$14</xm:f>
          </x14:formula1>
          <xm:sqref>G26</xm:sqref>
        </x14:dataValidation>
        <x14:dataValidation type="list" allowBlank="1" showInputMessage="1" showErrorMessage="1" xr:uid="{791E532A-9FCE-4F2B-8421-15E5E3099FE1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F247-D08E-4075-8DD8-72A8CAAE3AC2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845</v>
      </c>
      <c r="C2" s="445" t="str">
        <f>Well!D9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846</v>
      </c>
      <c r="J2"/>
      <c r="K2"/>
      <c r="L2"/>
      <c r="M2"/>
    </row>
    <row r="3" spans="1:13" ht="20.100000000000001" customHeight="1">
      <c r="B3" s="584" t="s">
        <v>6</v>
      </c>
      <c r="C3" s="698">
        <f>Well!C9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Well!R9</f>
        <v>0</v>
      </c>
      <c r="D4" s="593" t="s">
        <v>51</v>
      </c>
      <c r="E4" s="594">
        <v>0</v>
      </c>
      <c r="F4" s="594"/>
      <c r="G4" s="595">
        <v>6.6089999999999996E-2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Well!Q9</f>
        <v>0</v>
      </c>
      <c r="D5" s="593" t="s">
        <v>53</v>
      </c>
      <c r="E5" s="596">
        <v>5.452</v>
      </c>
      <c r="F5" s="597">
        <f>$E$5/$C$14</f>
        <v>1.175E-2</v>
      </c>
      <c r="G5" s="598">
        <v>1.7799999999999999E-4</v>
      </c>
      <c r="H5" s="447">
        <v>-2.9587645002951395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Well!D9</f>
        <v>광주광역시 북구 매곡동 430</v>
      </c>
      <c r="D6" s="593" t="s">
        <v>56</v>
      </c>
      <c r="E6" s="597">
        <v>1.9730000000000001</v>
      </c>
      <c r="F6" s="597">
        <f>$E$6/$C$14</f>
        <v>4.252155172413793E-3</v>
      </c>
      <c r="G6" s="599">
        <v>152.80000000000001</v>
      </c>
      <c r="H6" s="448">
        <v>1.927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Well!H9</f>
        <v>500</v>
      </c>
      <c r="D7" s="600" t="s">
        <v>58</v>
      </c>
      <c r="E7" s="601">
        <f>ROUND((E5+E6)/2,4)</f>
        <v>3.7124999999999999</v>
      </c>
      <c r="F7" s="602">
        <f>$E$7/$C$14</f>
        <v>8.0010775862068961E-3</v>
      </c>
      <c r="G7" s="603">
        <f>G5</f>
        <v>1.7799999999999999E-4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Well!G9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132.69999999999999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41.7</v>
      </c>
      <c r="F10" s="454">
        <v>51</v>
      </c>
      <c r="G10" s="455">
        <v>132.69999999999999</v>
      </c>
      <c r="H10" s="153">
        <f>MIN(E10,F10,G10)</f>
        <v>41.7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75.099999999999994</v>
      </c>
      <c r="F11" s="121">
        <f>ROUND((E10+F10)/2,1)</f>
        <v>46.4</v>
      </c>
      <c r="H11" s="152">
        <f>ROUND(AVERAGE(E10:G10),1)</f>
        <v>75.099999999999994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Well!I9</f>
        <v>120</v>
      </c>
      <c r="E15" s="19">
        <v>6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Well!J9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7.0500000000000007</v>
      </c>
      <c r="L16" s="131"/>
    </row>
    <row r="17" spans="2:12" ht="20.100000000000001" customHeight="1" thickBot="1">
      <c r="B17" s="585" t="s">
        <v>69</v>
      </c>
      <c r="C17" s="707">
        <f>Well!L9</f>
        <v>5</v>
      </c>
      <c r="E17" s="116">
        <f>Well!P9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5.0500000000000007</v>
      </c>
      <c r="L17" s="131"/>
    </row>
    <row r="18" spans="2:12" ht="20.100000000000001" customHeight="1" thickBot="1">
      <c r="B18" s="585" t="s">
        <v>70</v>
      </c>
      <c r="C18" s="707">
        <f>Well!M9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6.0843373493975911E-3</v>
      </c>
      <c r="L18" s="133">
        <f>K18*100</f>
        <v>0.60843373493975916</v>
      </c>
    </row>
    <row r="19" spans="2:12" ht="20.100000000000001" customHeight="1" thickBot="1">
      <c r="B19" s="585" t="s">
        <v>72</v>
      </c>
      <c r="C19" s="707">
        <f>Well!N9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28.11</v>
      </c>
      <c r="D21" s="5"/>
      <c r="E21" s="117">
        <f>Well!$I$16</f>
        <v>1320</v>
      </c>
      <c r="F21" s="118">
        <f>Well!O9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17.16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852</v>
      </c>
      <c r="C26" s="651" t="s">
        <v>94</v>
      </c>
      <c r="D26" s="662">
        <f>C20</f>
        <v>10.95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0.60843373493975916</v>
      </c>
      <c r="I26" s="651" t="s">
        <v>173</v>
      </c>
      <c r="J26" s="665">
        <f>((E7/C14)/86400)</f>
        <v>9.2605064655172409E-8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22F60A-0AC1-4AF7-8AF4-11C707FF060F}">
          <x14:formula1>
            <xm:f>drastic!$A$4:$A$13</xm:f>
          </x14:formula1>
          <xm:sqref>F26</xm:sqref>
        </x14:dataValidation>
        <x14:dataValidation type="list" allowBlank="1" showInputMessage="1" showErrorMessage="1" xr:uid="{C9EE1813-DC15-4E16-B3FF-1F6852C4D3CC}">
          <x14:formula1>
            <xm:f>drastic!$D$4:$D$14</xm:f>
          </x14:formula1>
          <xm:sqref>G26</xm:sqref>
        </x14:dataValidation>
        <x14:dataValidation type="list" allowBlank="1" showInputMessage="1" showErrorMessage="1" xr:uid="{35004EA5-EF77-4409-96B2-72828B4CE135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1218B-2DAC-4866-B5D9-FC7FDFEF65D4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856</v>
      </c>
      <c r="C2" s="445" t="str">
        <f>Well!D10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857</v>
      </c>
      <c r="J2"/>
      <c r="K2"/>
      <c r="L2"/>
      <c r="M2"/>
    </row>
    <row r="3" spans="1:13" ht="20.100000000000001" customHeight="1">
      <c r="B3" s="584" t="s">
        <v>6</v>
      </c>
      <c r="C3" s="698">
        <f>Well!C10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Well!R10</f>
        <v>0</v>
      </c>
      <c r="D4" s="593" t="s">
        <v>51</v>
      </c>
      <c r="E4" s="594">
        <v>0</v>
      </c>
      <c r="F4" s="594"/>
      <c r="G4" s="595">
        <v>6.787E-2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Well!Q10</f>
        <v>0</v>
      </c>
      <c r="D5" s="593" t="s">
        <v>53</v>
      </c>
      <c r="E5" s="596">
        <v>5.1660000000000004</v>
      </c>
      <c r="F5" s="597">
        <f>$E$5/$C$14</f>
        <v>1.1133620689655174E-2</v>
      </c>
      <c r="G5" s="598">
        <v>1.7780000000000001E-4</v>
      </c>
      <c r="H5" s="447">
        <v>-2.9724209748602282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Well!D10</f>
        <v>광주광역시 북구 매곡동 430</v>
      </c>
      <c r="D6" s="593" t="s">
        <v>56</v>
      </c>
      <c r="E6" s="597">
        <v>2.2149999999999999</v>
      </c>
      <c r="F6" s="597">
        <f>$E$6/$C$14</f>
        <v>4.7737068965517234E-3</v>
      </c>
      <c r="G6" s="599">
        <v>113.7</v>
      </c>
      <c r="H6" s="448">
        <v>1.954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Well!H10</f>
        <v>500</v>
      </c>
      <c r="D7" s="600" t="s">
        <v>58</v>
      </c>
      <c r="E7" s="601">
        <f>ROUND((E5+E6)/2,4)</f>
        <v>3.6905000000000001</v>
      </c>
      <c r="F7" s="602">
        <f>$E$7/$C$14</f>
        <v>7.9536637931034489E-3</v>
      </c>
      <c r="G7" s="603">
        <f>G5</f>
        <v>1.7780000000000001E-4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Well!G10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132.30000000000001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42.5</v>
      </c>
      <c r="F10" s="454">
        <v>52.1</v>
      </c>
      <c r="G10" s="455">
        <v>132.30000000000001</v>
      </c>
      <c r="H10" s="153">
        <f>MIN(E10,F10,G10)</f>
        <v>42.5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75.599999999999994</v>
      </c>
      <c r="F11" s="121">
        <f>ROUND((E10+F10)/2,1)</f>
        <v>47.3</v>
      </c>
      <c r="H11" s="152">
        <f>ROUND(AVERAGE(E10:G10),1)</f>
        <v>75.599999999999994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Well!I10</f>
        <v>120</v>
      </c>
      <c r="E15" s="19">
        <v>7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Well!J10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6.6099999999999994</v>
      </c>
      <c r="L16" s="131"/>
    </row>
    <row r="17" spans="2:12" ht="20.100000000000001" customHeight="1" thickBot="1">
      <c r="B17" s="585" t="s">
        <v>69</v>
      </c>
      <c r="C17" s="707">
        <f>Well!L10</f>
        <v>5</v>
      </c>
      <c r="E17" s="116">
        <f>Well!P10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4.6099999999999994</v>
      </c>
      <c r="L17" s="131"/>
    </row>
    <row r="18" spans="2:12" ht="20.100000000000001" customHeight="1" thickBot="1">
      <c r="B18" s="585" t="s">
        <v>70</v>
      </c>
      <c r="C18" s="707">
        <f>Well!M10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5.5542168674698788E-3</v>
      </c>
      <c r="L18" s="133">
        <f>K18*100</f>
        <v>0.55542168674698789</v>
      </c>
    </row>
    <row r="19" spans="2:12" ht="20.100000000000001" customHeight="1" thickBot="1">
      <c r="B19" s="585" t="s">
        <v>72</v>
      </c>
      <c r="C19" s="707">
        <f>Well!N10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11.39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29.35</v>
      </c>
      <c r="D21" s="5"/>
      <c r="E21" s="117">
        <f>Well!$I$16</f>
        <v>1320</v>
      </c>
      <c r="F21" s="118">
        <f>Well!O10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17.96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875</v>
      </c>
      <c r="C26" s="651" t="s">
        <v>94</v>
      </c>
      <c r="D26" s="662">
        <f>C20</f>
        <v>11.39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0.55542168674698789</v>
      </c>
      <c r="I26" s="651" t="s">
        <v>173</v>
      </c>
      <c r="J26" s="665">
        <f>((E7/C14)/86400)</f>
        <v>9.205629390166029E-8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D0B189-9358-4C75-B41D-BA31BF9A4796}">
          <x14:formula1>
            <xm:f>drastic!$A$4:$A$13</xm:f>
          </x14:formula1>
          <xm:sqref>F26</xm:sqref>
        </x14:dataValidation>
        <x14:dataValidation type="list" allowBlank="1" showInputMessage="1" showErrorMessage="1" xr:uid="{F96D3560-6F62-4635-B83A-B2606A242F31}">
          <x14:formula1>
            <xm:f>drastic!$D$4:$D$14</xm:f>
          </x14:formula1>
          <xm:sqref>G26</xm:sqref>
        </x14:dataValidation>
        <x14:dataValidation type="list" allowBlank="1" showInputMessage="1" showErrorMessage="1" xr:uid="{77D936C4-FD28-4705-A200-340451A21DA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8978D-FB0A-4B2B-9A3E-661347327D29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859</v>
      </c>
      <c r="C2" s="445" t="str">
        <f>Well!D11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860</v>
      </c>
      <c r="J2"/>
      <c r="K2"/>
      <c r="L2"/>
      <c r="M2"/>
    </row>
    <row r="3" spans="1:13" ht="20.100000000000001" customHeight="1">
      <c r="B3" s="584" t="s">
        <v>6</v>
      </c>
      <c r="C3" s="698">
        <f>Well!C11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Well!R11</f>
        <v>0</v>
      </c>
      <c r="D4" s="593" t="s">
        <v>51</v>
      </c>
      <c r="E4" s="594">
        <v>0</v>
      </c>
      <c r="F4" s="594"/>
      <c r="G4" s="595">
        <v>6.5570000000000003E-2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Well!Q11</f>
        <v>0</v>
      </c>
      <c r="D5" s="593" t="s">
        <v>53</v>
      </c>
      <c r="E5" s="596">
        <v>5.5359999999999996</v>
      </c>
      <c r="F5" s="597">
        <f>$E$5/$C$14</f>
        <v>1.193103448275862E-2</v>
      </c>
      <c r="G5" s="598">
        <v>1.7770000000000001E-4</v>
      </c>
      <c r="H5" s="447">
        <v>-2.9552041974447389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Well!D11</f>
        <v>광주광역시 북구 매곡동 430</v>
      </c>
      <c r="D6" s="593" t="s">
        <v>56</v>
      </c>
      <c r="E6" s="597">
        <v>2.419</v>
      </c>
      <c r="F6" s="597">
        <f>$E$6/$C$14</f>
        <v>5.2133620689655174E-3</v>
      </c>
      <c r="G6" s="599">
        <v>113</v>
      </c>
      <c r="H6" s="448">
        <v>1.921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Well!H11</f>
        <v>500</v>
      </c>
      <c r="D7" s="600" t="s">
        <v>58</v>
      </c>
      <c r="E7" s="601">
        <f>ROUND((E5+E6)/2,4)</f>
        <v>3.9775</v>
      </c>
      <c r="F7" s="602">
        <f>$E$7/$C$14</f>
        <v>8.5721982758620689E-3</v>
      </c>
      <c r="G7" s="603">
        <f>G5</f>
        <v>1.7770000000000001E-4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Well!G11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137.4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42.9</v>
      </c>
      <c r="F10" s="454">
        <v>52.5</v>
      </c>
      <c r="G10" s="455">
        <v>137.4</v>
      </c>
      <c r="H10" s="153">
        <f>MIN(E10,F10,G10)</f>
        <v>42.9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77.599999999999994</v>
      </c>
      <c r="F11" s="121">
        <f>ROUND((E10+F10)/2,1)</f>
        <v>47.7</v>
      </c>
      <c r="H11" s="152">
        <f>ROUND(AVERAGE(E10:G10),1)</f>
        <v>77.599999999999994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Well!I11</f>
        <v>120</v>
      </c>
      <c r="E15" s="19">
        <v>8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Well!J11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6.48</v>
      </c>
      <c r="L16" s="131"/>
    </row>
    <row r="17" spans="2:12" ht="20.100000000000001" customHeight="1" thickBot="1">
      <c r="B17" s="585" t="s">
        <v>69</v>
      </c>
      <c r="C17" s="707">
        <f>Well!L11</f>
        <v>5</v>
      </c>
      <c r="E17" s="116">
        <f>Well!P11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4.4800000000000004</v>
      </c>
      <c r="L17" s="131"/>
    </row>
    <row r="18" spans="2:12" ht="20.100000000000001" customHeight="1" thickBot="1">
      <c r="B18" s="585" t="s">
        <v>70</v>
      </c>
      <c r="C18" s="707">
        <f>Well!M11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5.3975903614457837E-3</v>
      </c>
      <c r="L18" s="133">
        <f>K18*100</f>
        <v>0.53975903614457832</v>
      </c>
    </row>
    <row r="19" spans="2:12" ht="20.100000000000001" customHeight="1" thickBot="1">
      <c r="B19" s="585" t="s">
        <v>72</v>
      </c>
      <c r="C19" s="707">
        <f>Well!N11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11.52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28.46</v>
      </c>
      <c r="D21" s="5"/>
      <c r="E21" s="117">
        <f>Well!$I$16</f>
        <v>1320</v>
      </c>
      <c r="F21" s="118">
        <f>Well!O11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16.940000000000001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876</v>
      </c>
      <c r="C26" s="651" t="s">
        <v>94</v>
      </c>
      <c r="D26" s="662">
        <f>C20</f>
        <v>11.52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0.53975903614457832</v>
      </c>
      <c r="I26" s="651" t="s">
        <v>173</v>
      </c>
      <c r="J26" s="665">
        <f>((E7/C14)/86400)</f>
        <v>9.9215257822477645E-8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396848-BF71-488E-91F0-7DEB03D62C39}">
          <x14:formula1>
            <xm:f>drastic!$A$4:$A$13</xm:f>
          </x14:formula1>
          <xm:sqref>F26</xm:sqref>
        </x14:dataValidation>
        <x14:dataValidation type="list" allowBlank="1" showInputMessage="1" showErrorMessage="1" xr:uid="{7DF860ED-5303-4D35-B631-79D341283933}">
          <x14:formula1>
            <xm:f>drastic!$D$4:$D$14</xm:f>
          </x14:formula1>
          <xm:sqref>G26</xm:sqref>
        </x14:dataValidation>
        <x14:dataValidation type="list" allowBlank="1" showInputMessage="1" showErrorMessage="1" xr:uid="{16DCEA60-5F50-4925-A3DB-19724BDB5E2F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8DE9-7666-4216-80BB-F89965DB7746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862</v>
      </c>
      <c r="C2" s="445" t="str">
        <f>Well!D12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863</v>
      </c>
      <c r="J2"/>
      <c r="K2"/>
      <c r="L2"/>
      <c r="M2"/>
    </row>
    <row r="3" spans="1:13" ht="20.100000000000001" customHeight="1">
      <c r="B3" s="584" t="s">
        <v>6</v>
      </c>
      <c r="C3" s="698">
        <f>Well!C12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Well!R12</f>
        <v>0</v>
      </c>
      <c r="D4" s="593" t="s">
        <v>51</v>
      </c>
      <c r="E4" s="594">
        <v>0</v>
      </c>
      <c r="F4" s="594"/>
      <c r="G4" s="595">
        <v>6.9330000000000003E-2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Well!Q12</f>
        <v>0</v>
      </c>
      <c r="D5" s="593" t="s">
        <v>53</v>
      </c>
      <c r="E5" s="596">
        <v>4.8860000000000001</v>
      </c>
      <c r="F5" s="597">
        <f>$E$5/$C$14</f>
        <v>1.0530172413793103E-2</v>
      </c>
      <c r="G5" s="598">
        <v>1.7760000000000001E-4</v>
      </c>
      <c r="H5" s="447">
        <v>-2.9834570171249313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Well!D12</f>
        <v>광주광역시 북구 매곡동 430</v>
      </c>
      <c r="D6" s="593" t="s">
        <v>56</v>
      </c>
      <c r="E6" s="597">
        <v>2.2370000000000001</v>
      </c>
      <c r="F6" s="597">
        <f>$E$6/$C$14</f>
        <v>4.8211206896551723E-3</v>
      </c>
      <c r="G6" s="599">
        <v>107.1</v>
      </c>
      <c r="H6" s="448">
        <v>1.976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Well!H12</f>
        <v>500</v>
      </c>
      <c r="D7" s="600" t="s">
        <v>58</v>
      </c>
      <c r="E7" s="601">
        <f>ROUND((E5+E6)/2,4)</f>
        <v>3.5615000000000001</v>
      </c>
      <c r="F7" s="602">
        <f>$E$7/$C$14</f>
        <v>7.6756465517241381E-3</v>
      </c>
      <c r="G7" s="603">
        <f>G5</f>
        <v>1.7760000000000001E-4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Well!G12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130.1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42.8</v>
      </c>
      <c r="F10" s="454">
        <v>52.4</v>
      </c>
      <c r="G10" s="455">
        <v>130.1</v>
      </c>
      <c r="H10" s="153">
        <f>MIN(E10,F10,G10)</f>
        <v>42.8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75.099999999999994</v>
      </c>
      <c r="F11" s="121">
        <f>ROUND((E10+F10)/2,1)</f>
        <v>47.6</v>
      </c>
      <c r="H11" s="152">
        <f>ROUND(AVERAGE(E10:G10),1)</f>
        <v>75.099999999999994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Well!I12</f>
        <v>120</v>
      </c>
      <c r="E15" s="19">
        <v>9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Well!J12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7.3699999999999992</v>
      </c>
      <c r="L16" s="131"/>
    </row>
    <row r="17" spans="2:12" ht="20.100000000000001" customHeight="1" thickBot="1">
      <c r="B17" s="585" t="s">
        <v>69</v>
      </c>
      <c r="C17" s="707">
        <f>Well!L12</f>
        <v>5</v>
      </c>
      <c r="E17" s="116">
        <f>Well!P12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5.3699999999999992</v>
      </c>
      <c r="L17" s="131"/>
    </row>
    <row r="18" spans="2:12" ht="20.100000000000001" customHeight="1" thickBot="1">
      <c r="B18" s="585" t="s">
        <v>70</v>
      </c>
      <c r="C18" s="707">
        <f>Well!M12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6.4698795180722886E-3</v>
      </c>
      <c r="L18" s="133">
        <f>K18*100</f>
        <v>0.6469879518072289</v>
      </c>
    </row>
    <row r="19" spans="2:12" ht="20.100000000000001" customHeight="1" thickBot="1">
      <c r="B19" s="585" t="s">
        <v>72</v>
      </c>
      <c r="C19" s="707">
        <f>Well!N12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10.63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29.47</v>
      </c>
      <c r="D21" s="5"/>
      <c r="E21" s="117">
        <f>Well!$I$16</f>
        <v>1320</v>
      </c>
      <c r="F21" s="118">
        <f>Well!O12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18.839999999999996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877</v>
      </c>
      <c r="C26" s="651" t="s">
        <v>94</v>
      </c>
      <c r="D26" s="662">
        <f>C20</f>
        <v>10.63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0.6469879518072289</v>
      </c>
      <c r="I26" s="651" t="s">
        <v>173</v>
      </c>
      <c r="J26" s="665">
        <f>((E7/C14)/86400)</f>
        <v>8.8838501756066408E-8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A763DD3-45E9-4655-9833-2184874B47DA}">
          <x14:formula1>
            <xm:f>drastic!$A$4:$A$13</xm:f>
          </x14:formula1>
          <xm:sqref>F26</xm:sqref>
        </x14:dataValidation>
        <x14:dataValidation type="list" allowBlank="1" showInputMessage="1" showErrorMessage="1" xr:uid="{D5424F8A-59F1-4215-AA72-1A192ADAD9EB}">
          <x14:formula1>
            <xm:f>drastic!$D$4:$D$14</xm:f>
          </x14:formula1>
          <xm:sqref>G26</xm:sqref>
        </x14:dataValidation>
        <x14:dataValidation type="list" allowBlank="1" showInputMessage="1" showErrorMessage="1" xr:uid="{165FC55B-8401-421B-8899-D7BD5935FBF8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A2541-8EB2-4BF7-8584-58821F647E93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865</v>
      </c>
      <c r="C2" s="445" t="str">
        <f>Well!D13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866</v>
      </c>
      <c r="J2"/>
      <c r="K2"/>
      <c r="L2"/>
      <c r="M2"/>
    </row>
    <row r="3" spans="1:13" ht="20.100000000000001" customHeight="1">
      <c r="B3" s="584" t="s">
        <v>6</v>
      </c>
      <c r="C3" s="698">
        <f>Well!C13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Well!R13</f>
        <v>0</v>
      </c>
      <c r="D4" s="593" t="s">
        <v>51</v>
      </c>
      <c r="E4" s="594">
        <v>0</v>
      </c>
      <c r="F4" s="594"/>
      <c r="G4" s="595">
        <v>6.8110000000000004E-2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Well!Q13</f>
        <v>0</v>
      </c>
      <c r="D5" s="593" t="s">
        <v>53</v>
      </c>
      <c r="E5" s="596">
        <v>5.0979999999999999</v>
      </c>
      <c r="F5" s="597">
        <f>$E$5/$C$14</f>
        <v>1.0987068965517242E-2</v>
      </c>
      <c r="G5" s="598">
        <v>1.7799999999999999E-4</v>
      </c>
      <c r="H5" s="447">
        <v>-2.9735882681368135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Well!D13</f>
        <v>광주광역시 북구 매곡동 430</v>
      </c>
      <c r="D6" s="593" t="s">
        <v>56</v>
      </c>
      <c r="E6" s="597">
        <v>2.3140000000000001</v>
      </c>
      <c r="F6" s="597">
        <f>$E$6/$C$14</f>
        <v>4.9870689655172416E-3</v>
      </c>
      <c r="G6" s="599">
        <v>113.6</v>
      </c>
      <c r="H6" s="448">
        <v>1.956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Well!H13</f>
        <v>500</v>
      </c>
      <c r="D7" s="600" t="s">
        <v>58</v>
      </c>
      <c r="E7" s="601">
        <f>ROUND((E5+E6)/2,4)</f>
        <v>3.706</v>
      </c>
      <c r="F7" s="602">
        <f>$E$7/$C$14</f>
        <v>7.9870689655172408E-3</v>
      </c>
      <c r="G7" s="603">
        <f>G5</f>
        <v>1.7799999999999999E-4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Well!G13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132.5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42.8</v>
      </c>
      <c r="F10" s="454">
        <v>52.4</v>
      </c>
      <c r="G10" s="455">
        <v>132.5</v>
      </c>
      <c r="H10" s="153">
        <f>MIN(E10,F10,G10)</f>
        <v>42.8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75.900000000000006</v>
      </c>
      <c r="F11" s="121">
        <f>ROUND((E10+F10)/2,1)</f>
        <v>47.6</v>
      </c>
      <c r="H11" s="152">
        <f>ROUND(AVERAGE(E10:G10),1)</f>
        <v>75.900000000000006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Well!I13</f>
        <v>120</v>
      </c>
      <c r="E15" s="19">
        <v>10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Well!J13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7.24</v>
      </c>
      <c r="L16" s="131"/>
    </row>
    <row r="17" spans="2:12" ht="20.100000000000001" customHeight="1" thickBot="1">
      <c r="B17" s="585" t="s">
        <v>69</v>
      </c>
      <c r="C17" s="707">
        <f>Well!L13</f>
        <v>5</v>
      </c>
      <c r="E17" s="116">
        <f>Well!P13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5.24</v>
      </c>
      <c r="L17" s="131"/>
    </row>
    <row r="18" spans="2:12" ht="20.100000000000001" customHeight="1" thickBot="1">
      <c r="B18" s="585" t="s">
        <v>70</v>
      </c>
      <c r="C18" s="707">
        <f>Well!M13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6.3132530120481927E-3</v>
      </c>
      <c r="L18" s="133">
        <f>K18*100</f>
        <v>0.63132530120481922</v>
      </c>
    </row>
    <row r="19" spans="2:12" ht="20.100000000000001" customHeight="1" thickBot="1">
      <c r="B19" s="585" t="s">
        <v>72</v>
      </c>
      <c r="C19" s="707">
        <f>Well!N13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10.76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28.93</v>
      </c>
      <c r="D21" s="5"/>
      <c r="E21" s="117">
        <f>Well!$I$16</f>
        <v>1320</v>
      </c>
      <c r="F21" s="118">
        <f>Well!O13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18.170000000000002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878</v>
      </c>
      <c r="C26" s="651" t="s">
        <v>94</v>
      </c>
      <c r="D26" s="662">
        <f>C20</f>
        <v>10.76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0.63132530120481922</v>
      </c>
      <c r="I26" s="651" t="s">
        <v>173</v>
      </c>
      <c r="J26" s="665">
        <f>((E7/C14)/86400)</f>
        <v>9.2442927841634729E-8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EBA30D-83CC-49ED-B9EF-A37225309D98}">
          <x14:formula1>
            <xm:f>drastic!$A$4:$A$13</xm:f>
          </x14:formula1>
          <xm:sqref>F26</xm:sqref>
        </x14:dataValidation>
        <x14:dataValidation type="list" allowBlank="1" showInputMessage="1" showErrorMessage="1" xr:uid="{B2AA9D6D-0826-4487-929F-73C42AA7002B}">
          <x14:formula1>
            <xm:f>drastic!$D$4:$D$14</xm:f>
          </x14:formula1>
          <xm:sqref>G26</xm:sqref>
        </x14:dataValidation>
        <x14:dataValidation type="list" allowBlank="1" showInputMessage="1" showErrorMessage="1" xr:uid="{D14F4BEA-C124-4C36-B0C7-6297CB841DBE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F5AA1-54D8-4242-B1D2-D5CF265A8D30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868</v>
      </c>
      <c r="C2" s="445" t="str">
        <f>Well!D14</f>
        <v>광주광역시 북구 매곡동 430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869</v>
      </c>
      <c r="J2"/>
      <c r="K2"/>
      <c r="L2"/>
      <c r="M2"/>
    </row>
    <row r="3" spans="1:13" ht="20.100000000000001" customHeight="1">
      <c r="B3" s="584" t="s">
        <v>6</v>
      </c>
      <c r="C3" s="698">
        <f>Well!C14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9">
        <f>Well!R14</f>
        <v>0</v>
      </c>
      <c r="D4" s="593" t="s">
        <v>51</v>
      </c>
      <c r="E4" s="594">
        <v>0</v>
      </c>
      <c r="F4" s="594"/>
      <c r="G4" s="595">
        <v>6.8940000000000001E-2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9">
        <f>Well!Q14</f>
        <v>0</v>
      </c>
      <c r="D5" s="593" t="s">
        <v>53</v>
      </c>
      <c r="E5" s="596">
        <v>4.9210000000000003</v>
      </c>
      <c r="F5" s="597">
        <f>$E$5/$C$14</f>
        <v>1.0605603448275863E-2</v>
      </c>
      <c r="G5" s="598">
        <v>1.7760000000000001E-4</v>
      </c>
      <c r="H5" s="447">
        <v>-2.9807139466445105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00" t="str">
        <f>Well!D14</f>
        <v>광주광역시 북구 매곡동 430</v>
      </c>
      <c r="D6" s="593" t="s">
        <v>56</v>
      </c>
      <c r="E6" s="597">
        <v>2.2280000000000002</v>
      </c>
      <c r="F6" s="597">
        <f>$E$6/$C$14</f>
        <v>4.8017241379310349E-3</v>
      </c>
      <c r="G6" s="599">
        <v>73.31</v>
      </c>
      <c r="H6" s="448">
        <v>1.97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01">
        <f>Well!H14</f>
        <v>500</v>
      </c>
      <c r="D7" s="600" t="s">
        <v>58</v>
      </c>
      <c r="E7" s="601">
        <f>ROUND((E5+E6)/2,4)</f>
        <v>3.5745</v>
      </c>
      <c r="F7" s="602">
        <f>$E$7/$C$14</f>
        <v>7.7036637931034487E-3</v>
      </c>
      <c r="G7" s="603">
        <f>G5</f>
        <v>1.7760000000000001E-4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02">
        <f>Well!G14</f>
        <v>200</v>
      </c>
      <c r="D8" s="513">
        <f>C8/2000</f>
        <v>0.1</v>
      </c>
    </row>
    <row r="9" spans="1:13" ht="25.5" customHeight="1" thickBot="1">
      <c r="B9" s="586" t="s">
        <v>59</v>
      </c>
      <c r="C9" s="703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130.30000000000001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42.7</v>
      </c>
      <c r="F10" s="454">
        <v>52.4</v>
      </c>
      <c r="G10" s="455">
        <v>130.30000000000001</v>
      </c>
      <c r="H10" s="153">
        <f>MIN(E10,F10,G10)</f>
        <v>42.7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75.099999999999994</v>
      </c>
      <c r="F11" s="121">
        <f>ROUND((E10+F10)/2,1)</f>
        <v>47.6</v>
      </c>
      <c r="H11" s="152">
        <f>ROUND(AVERAGE(E10:G10),1)</f>
        <v>75.099999999999994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4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04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5">
        <f>C7-IF(C20&gt;C9,C20,C9)</f>
        <v>464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02">
        <f>Well!I14</f>
        <v>120</v>
      </c>
      <c r="E15" s="19">
        <v>11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6">
        <f>Well!J14</f>
        <v>120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7.4499999999999993</v>
      </c>
      <c r="L16" s="131"/>
    </row>
    <row r="17" spans="2:12" ht="20.100000000000001" customHeight="1" thickBot="1">
      <c r="B17" s="585" t="s">
        <v>69</v>
      </c>
      <c r="C17" s="707">
        <f>Well!L14</f>
        <v>5</v>
      </c>
      <c r="E17" s="116">
        <f>Well!P14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5.4499999999999993</v>
      </c>
      <c r="L17" s="131"/>
    </row>
    <row r="18" spans="2:12" ht="20.100000000000001" customHeight="1" thickBot="1">
      <c r="B18" s="585" t="s">
        <v>70</v>
      </c>
      <c r="C18" s="707">
        <f>Well!M14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6.5662650602409632E-3</v>
      </c>
      <c r="L18" s="133">
        <f>K18*100</f>
        <v>0.65662650602409633</v>
      </c>
    </row>
    <row r="19" spans="2:12" ht="20.100000000000001" customHeight="1" thickBot="1">
      <c r="B19" s="585" t="s">
        <v>72</v>
      </c>
      <c r="C19" s="707">
        <f>Well!N14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696">
        <v>10.55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29.28</v>
      </c>
      <c r="D21" s="5"/>
      <c r="E21" s="117">
        <f>Well!$I$16</f>
        <v>1320</v>
      </c>
      <c r="F21" s="118">
        <f>Well!O14</f>
        <v>200.2</v>
      </c>
      <c r="G21" s="70">
        <f>G19-E21-F21</f>
        <v>-206.51566926591858</v>
      </c>
    </row>
    <row r="22" spans="2:12" ht="20.100000000000001" customHeight="1" thickBot="1">
      <c r="B22" s="586" t="s">
        <v>154</v>
      </c>
      <c r="C22" s="708">
        <f>C21-C20</f>
        <v>18.73</v>
      </c>
      <c r="E22" s="298">
        <f>E21+F21</f>
        <v>1520.2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2.66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879</v>
      </c>
      <c r="C26" s="651" t="s">
        <v>94</v>
      </c>
      <c r="D26" s="662">
        <f>C20</f>
        <v>10.55</v>
      </c>
      <c r="E26" s="663">
        <f>Recharge!C30</f>
        <v>20.102939999999997</v>
      </c>
      <c r="F26" s="652" t="s">
        <v>173</v>
      </c>
      <c r="G26" s="662" t="s">
        <v>341</v>
      </c>
      <c r="H26" s="664">
        <f>L18</f>
        <v>0.65662650602409633</v>
      </c>
      <c r="I26" s="651" t="s">
        <v>173</v>
      </c>
      <c r="J26" s="665">
        <f>((E7/C14)/86400)</f>
        <v>8.9162775383141768E-8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9745340-9A21-4451-953C-660DFC3DD84D}">
          <x14:formula1>
            <xm:f>drastic!$A$4:$A$13</xm:f>
          </x14:formula1>
          <xm:sqref>F26</xm:sqref>
        </x14:dataValidation>
        <x14:dataValidation type="list" allowBlank="1" showInputMessage="1" showErrorMessage="1" xr:uid="{79127479-5BE8-43D9-8365-25B455F91747}">
          <x14:formula1>
            <xm:f>drastic!$D$4:$D$14</xm:f>
          </x14:formula1>
          <xm:sqref>G26</xm:sqref>
        </x14:dataValidation>
        <x14:dataValidation type="list" allowBlank="1" showInputMessage="1" showErrorMessage="1" xr:uid="{F8C078A3-B440-4ECF-B5DE-A157164E904A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1" t="s">
        <v>80</v>
      </c>
      <c r="C12" s="812"/>
      <c r="D12" s="812" t="s">
        <v>81</v>
      </c>
      <c r="E12" s="812"/>
      <c r="F12" s="813"/>
      <c r="H12" s="811" t="s">
        <v>81</v>
      </c>
      <c r="I12" s="812"/>
      <c r="J12" s="813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14" t="s">
        <v>36</v>
      </c>
      <c r="C24" s="815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14" t="s">
        <v>37</v>
      </c>
      <c r="C25" s="815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09" t="s">
        <v>86</v>
      </c>
      <c r="C26" s="810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11" t="s">
        <v>80</v>
      </c>
      <c r="C12" s="812"/>
      <c r="D12" s="812" t="s">
        <v>81</v>
      </c>
      <c r="E12" s="812"/>
      <c r="F12" s="812"/>
      <c r="G12" s="812" t="s">
        <v>147</v>
      </c>
      <c r="H12" s="812"/>
      <c r="I12" s="813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14" t="s">
        <v>36</v>
      </c>
      <c r="C24" s="815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14" t="s">
        <v>37</v>
      </c>
      <c r="C25" s="815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09" t="s">
        <v>86</v>
      </c>
      <c r="C26" s="810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6" t="s">
        <v>81</v>
      </c>
      <c r="E29" s="817"/>
      <c r="F29" s="818"/>
      <c r="H29" s="816" t="s">
        <v>147</v>
      </c>
      <c r="I29" s="817"/>
      <c r="J29" s="81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11" t="s">
        <v>80</v>
      </c>
      <c r="C12" s="812"/>
      <c r="D12" s="812" t="s">
        <v>81</v>
      </c>
      <c r="E12" s="812"/>
      <c r="F12" s="812"/>
      <c r="G12" s="812" t="s">
        <v>147</v>
      </c>
      <c r="H12" s="812"/>
      <c r="I12" s="812"/>
      <c r="J12" s="812" t="s">
        <v>148</v>
      </c>
      <c r="K12" s="812"/>
      <c r="L12" s="813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14" t="s">
        <v>36</v>
      </c>
      <c r="C24" s="815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14" t="s">
        <v>37</v>
      </c>
      <c r="C25" s="815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09" t="s">
        <v>86</v>
      </c>
      <c r="C26" s="810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6" t="s">
        <v>81</v>
      </c>
      <c r="E29" s="817"/>
      <c r="F29" s="818"/>
      <c r="H29" s="816" t="s">
        <v>147</v>
      </c>
      <c r="I29" s="817"/>
      <c r="J29" s="818"/>
      <c r="L29" s="816" t="s">
        <v>148</v>
      </c>
      <c r="M29" s="817"/>
      <c r="N29" s="81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36</vt:i4>
      </vt:variant>
    </vt:vector>
  </HeadingPairs>
  <TitlesOfParts>
    <vt:vector size="6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2025-03-24T20:40:41Z</dcterms:modified>
</cp:coreProperties>
</file>