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3"/>
    <sheet state="visible" name="parameters" sheetId="2" r:id="rId4"/>
  </sheets>
  <definedNames/>
  <calcPr/>
</workbook>
</file>

<file path=xl/sharedStrings.xml><?xml version="1.0" encoding="utf-8"?>
<sst xmlns="http://schemas.openxmlformats.org/spreadsheetml/2006/main" count="101" uniqueCount="54">
  <si>
    <t>Test</t>
  </si>
  <si>
    <t>Overall sensitivity</t>
  </si>
  <si>
    <t>Specificity</t>
  </si>
  <si>
    <t>TPR</t>
  </si>
  <si>
    <t>FPR</t>
  </si>
  <si>
    <t>TNR</t>
  </si>
  <si>
    <t>FNR</t>
  </si>
  <si>
    <t>PPV</t>
  </si>
  <si>
    <t>NPV</t>
  </si>
  <si>
    <t>No screening</t>
  </si>
  <si>
    <t>Price</t>
  </si>
  <si>
    <t>Adherence</t>
  </si>
  <si>
    <t>Positive rate</t>
  </si>
  <si>
    <t>False negative rate</t>
  </si>
  <si>
    <t>Screen cost/person</t>
  </si>
  <si>
    <t>Followup cost/person</t>
  </si>
  <si>
    <t>False negative cost/person</t>
  </si>
  <si>
    <t>years between tests</t>
  </si>
  <si>
    <t>Cost per person/year</t>
  </si>
  <si>
    <t>Grail 2019</t>
  </si>
  <si>
    <t>Source</t>
  </si>
  <si>
    <t>Stage</t>
  </si>
  <si>
    <t>I</t>
  </si>
  <si>
    <t>II</t>
  </si>
  <si>
    <t>III</t>
  </si>
  <si>
    <t>IV</t>
  </si>
  <si>
    <t>CRCs in Imperiale 2014</t>
  </si>
  <si>
    <t>Imperiale 2014</t>
  </si>
  <si>
    <t>https://www.nejm.org/doi/full/10.1056/NEJMoa1311194</t>
  </si>
  <si>
    <t>Proportion of CRCs in each stage</t>
  </si>
  <si>
    <t>CRC incidence rate (Imperiale 2014)</t>
  </si>
  <si>
    <t>Imperiale 2014; note that this is one higher than the sum of stages, which is accurate to the paper</t>
  </si>
  <si>
    <t>Sensitivity at Stage</t>
  </si>
  <si>
    <t>Liu et al ASCO 2019</t>
  </si>
  <si>
    <t>http://web.archive.org/web/20190629031448/https://grail.com/wp-content/uploads/ASCO_2019_CCGA2_Liu_Poster_Final.pdf</t>
  </si>
  <si>
    <t>Guardant 2019 (spec90)</t>
  </si>
  <si>
    <t>Kim et al AACR 2019</t>
  </si>
  <si>
    <t>http://web.archive.org/web/20190702172911/http://investors.guardanthealth.com/static-files/03bc1a4f-cc90-4c2e-9cfa-539f0f05fa4e</t>
  </si>
  <si>
    <t>Guardant 2019 (spec95)</t>
  </si>
  <si>
    <t>Guardant 2019 (spec98)</t>
  </si>
  <si>
    <t>Cologuard</t>
  </si>
  <si>
    <t>FIT</t>
  </si>
  <si>
    <t>Cost</t>
  </si>
  <si>
    <t>Set equal to Cologuard</t>
  </si>
  <si>
    <t>Exact Sciences 2019Q2 earnings report; revenue per completed test</t>
  </si>
  <si>
    <t>http://s22.q4cdn.com/877809405/files/doc_presentations/2019/07/EXAS-GHDX-Joint-Investor-Presentation-(01109342-11xA26CA)-MJ-final.pdf</t>
  </si>
  <si>
    <t>Arbitrary</t>
  </si>
  <si>
    <t>Colonoscopy</t>
  </si>
  <si>
    <t>False negative</t>
  </si>
  <si>
    <t>Makes /3yr Cologuard and /1yr FIT equal in total cost</t>
  </si>
  <si>
    <t>Adherence to draw for Hb A1c in Moffet 2011</t>
  </si>
  <si>
    <t>https://www.ncbi.nlm.nih.gov/pmc/articles/PMC3189790/</t>
  </si>
  <si>
    <t xml:space="preserve">Average of Cyhaniuk 2016 and Inadomi 2012
</t>
  </si>
  <si>
    <t xml:space="preserve">https://www.ncbi.nlm.nih.gov/pubmed/26885670
https://www.ncbi.nlm.nih.gov/pmc/articles/PMC3360917/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</si>
</sst>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&quot;$&quot;#,##0.00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ncbi.nlm.nih.gov/pmc/articles/PMC3189790/" TargetMode="External"/><Relationship Id="rId10" Type="http://schemas.openxmlformats.org/officeDocument/2006/relationships/hyperlink" Target="https://www.ncbi.nlm.nih.gov/pmc/articles/PMC3189790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www.ncbi.nlm.nih.gov/pmc/articles/PMC3189790/" TargetMode="External"/><Relationship Id="rId1" Type="http://schemas.openxmlformats.org/officeDocument/2006/relationships/hyperlink" Target="https://www.nejm.org/doi/full/10.1056/NEJMoa1311194" TargetMode="External"/><Relationship Id="rId2" Type="http://schemas.openxmlformats.org/officeDocument/2006/relationships/hyperlink" Target="http://web.archive.org/web/20190629031448/https://grail.com/wp-content/uploads/ASCO_2019_CCGA2_Liu_Poster_Final.pdf" TargetMode="External"/><Relationship Id="rId3" Type="http://schemas.openxmlformats.org/officeDocument/2006/relationships/hyperlink" Target="http://web.archive.org/web/20190702172911/http://investors.guardanthealth.com/static-files/03bc1a4f-cc90-4c2e-9cfa-539f0f05fa4e" TargetMode="External"/><Relationship Id="rId4" Type="http://schemas.openxmlformats.org/officeDocument/2006/relationships/hyperlink" Target="http://web.archive.org/web/20190702172911/http://investors.guardanthealth.com/static-files/03bc1a4f-cc90-4c2e-9cfa-539f0f05fa4e" TargetMode="External"/><Relationship Id="rId9" Type="http://schemas.openxmlformats.org/officeDocument/2006/relationships/hyperlink" Target="https://www.ncbi.nlm.nih.gov/pmc/articles/PMC3189790/" TargetMode="External"/><Relationship Id="rId5" Type="http://schemas.openxmlformats.org/officeDocument/2006/relationships/hyperlink" Target="http://web.archive.org/web/20190702172911/http://investors.guardanthealth.com/static-files/03bc1a4f-cc90-4c2e-9cfa-539f0f05fa4e" TargetMode="External"/><Relationship Id="rId6" Type="http://schemas.openxmlformats.org/officeDocument/2006/relationships/hyperlink" Target="https://www.nejm.org/doi/full/10.1056/NEJMoa1311194" TargetMode="External"/><Relationship Id="rId7" Type="http://schemas.openxmlformats.org/officeDocument/2006/relationships/hyperlink" Target="https://www.nejm.org/doi/full/10.1056/NEJMoa1311194" TargetMode="External"/><Relationship Id="rId8" Type="http://schemas.openxmlformats.org/officeDocument/2006/relationships/hyperlink" Target="http://s22.q4cdn.com/877809405/files/doc_presentations/2019/07/EXAS-GHDX-Joint-Investor-Presentation-(01109342-11xA26CA)-MJ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tr">
        <f>parameters!A11</f>
        <v>Grail 2019</v>
      </c>
      <c r="B2">
        <f>sumproduct(parameters!B11:E11,parameters!$B$5:$E$5)</f>
        <v>0.677671875</v>
      </c>
      <c r="C2">
        <f>VLOOKUP(A2,parameters!$A$11:$F$16,6,FALSE)</f>
        <v>0.99</v>
      </c>
      <c r="D2" s="3">
        <f>B2*parameters!$B$7</f>
        <v>0.004409717877</v>
      </c>
      <c r="E2" s="3">
        <f>(1-C2)*(1-parameters!$B$7)</f>
        <v>0.009934928421</v>
      </c>
      <c r="F2" s="3">
        <f>C2*(1-parameters!$B$7)</f>
        <v>0.9835579137</v>
      </c>
      <c r="G2" s="3">
        <f t="shared" ref="G2:G8" si="1">1-sum(D2:F2)</f>
        <v>0.002097439996</v>
      </c>
      <c r="H2" s="4">
        <f t="shared" ref="H2:H8" si="2">D2/(D2+E2)</f>
        <v>0.3074121024</v>
      </c>
      <c r="I2" s="4">
        <f t="shared" ref="I2:I8" si="3">F2/(F2+G2)</f>
        <v>0.9978720351</v>
      </c>
    </row>
    <row r="3">
      <c r="A3" s="2" t="str">
        <f>parameters!A12</f>
        <v>Guardant 2019 (spec90)</v>
      </c>
      <c r="B3">
        <f>sumproduct(parameters!B12:E12,parameters!$B$5:$E$5)</f>
        <v>0.886875</v>
      </c>
      <c r="C3">
        <f>VLOOKUP(A3,parameters!$A$11:$F$16,6,FALSE)</f>
        <v>0.9</v>
      </c>
      <c r="D3" s="3">
        <f>B3*parameters!$B$7</f>
        <v>0.005771035639</v>
      </c>
      <c r="E3" s="3">
        <f>(1-C3)*(1-parameters!$B$7)</f>
        <v>0.09934928421</v>
      </c>
      <c r="F3" s="3">
        <f>C3*(1-parameters!$B$7)</f>
        <v>0.8941435579</v>
      </c>
      <c r="G3" s="3">
        <f t="shared" si="1"/>
        <v>0.0007361222345</v>
      </c>
      <c r="H3" s="4">
        <f t="shared" si="2"/>
        <v>0.05489933485</v>
      </c>
      <c r="I3" s="4">
        <f t="shared" si="3"/>
        <v>0.9991774065</v>
      </c>
    </row>
    <row r="4">
      <c r="A4" s="2" t="str">
        <f>parameters!A13</f>
        <v>Guardant 2019 (spec95)</v>
      </c>
      <c r="B4">
        <f>sumproduct(parameters!B13:E13,parameters!$B$5:$E$5)</f>
        <v>0.84078125</v>
      </c>
      <c r="C4">
        <f>VLOOKUP(A4,parameters!$A$11:$F$16,6,FALSE)</f>
        <v>0.95</v>
      </c>
      <c r="D4" s="3">
        <f>B4*parameters!$B$7</f>
        <v>0.005471096331</v>
      </c>
      <c r="E4" s="3">
        <f>(1-C4)*(1-parameters!$B$7)</f>
        <v>0.04967464211</v>
      </c>
      <c r="F4" s="3">
        <f>C4*(1-parameters!$B$7)</f>
        <v>0.9438182</v>
      </c>
      <c r="G4" s="3">
        <f t="shared" si="1"/>
        <v>0.001036061543</v>
      </c>
      <c r="H4" s="4">
        <f t="shared" si="2"/>
        <v>0.09921158889</v>
      </c>
      <c r="I4" s="4">
        <f t="shared" si="3"/>
        <v>0.9989034695</v>
      </c>
    </row>
    <row r="5">
      <c r="A5" s="2" t="str">
        <f>parameters!A14</f>
        <v>Guardant 2019 (spec98)</v>
      </c>
      <c r="B5">
        <f>sumproduct(parameters!B14:E14,parameters!$B$5:$E$5)</f>
        <v>0.7528125</v>
      </c>
      <c r="C5">
        <f>VLOOKUP(A5,parameters!$A$11:$F$16,6,FALSE)</f>
        <v>0.98</v>
      </c>
      <c r="D5" s="3">
        <f>B5*parameters!$B$7</f>
        <v>0.004898669787</v>
      </c>
      <c r="E5" s="3">
        <f>(1-C5)*(1-parameters!$B$7)</f>
        <v>0.01986985684</v>
      </c>
      <c r="F5" s="3">
        <f>C5*(1-parameters!$B$7)</f>
        <v>0.9736229853</v>
      </c>
      <c r="G5" s="3">
        <f t="shared" si="1"/>
        <v>0.001608488087</v>
      </c>
      <c r="H5" s="4">
        <f t="shared" si="2"/>
        <v>0.1977780051</v>
      </c>
      <c r="I5" s="4">
        <f t="shared" si="3"/>
        <v>0.9983506602</v>
      </c>
    </row>
    <row r="6">
      <c r="A6" s="2" t="str">
        <f>parameters!A15</f>
        <v>Cologuard</v>
      </c>
      <c r="B6">
        <f>sumproduct(parameters!B15:E15,parameters!$B$5:$E$5)</f>
        <v>0.917734375</v>
      </c>
      <c r="C6">
        <f>VLOOKUP(A6,parameters!$A$11:$F$16,6,FALSE)</f>
        <v>0.866</v>
      </c>
      <c r="D6" s="3">
        <f>B6*parameters!$B$7</f>
        <v>0.005971842464</v>
      </c>
      <c r="E6" s="3">
        <f>(1-C6)*(1-parameters!$B$7)</f>
        <v>0.1331280408</v>
      </c>
      <c r="F6" s="3">
        <f>C6*(1-parameters!$B$7)</f>
        <v>0.8603648013</v>
      </c>
      <c r="G6" s="3">
        <f t="shared" si="1"/>
        <v>0.0005353154095</v>
      </c>
      <c r="H6" s="4">
        <f t="shared" si="2"/>
        <v>0.0429320451</v>
      </c>
      <c r="I6" s="4">
        <f t="shared" si="3"/>
        <v>0.999378191</v>
      </c>
    </row>
    <row r="7">
      <c r="A7" s="2" t="str">
        <f>parameters!A16</f>
        <v>FIT</v>
      </c>
      <c r="B7">
        <f>sumproduct(parameters!B16:E16,parameters!$B$5:$E$5)</f>
        <v>0.73365625</v>
      </c>
      <c r="C7">
        <f>VLOOKUP(A7,parameters!$A$11:$F$16,6,FALSE)</f>
        <v>0.949</v>
      </c>
      <c r="D7" s="3">
        <f>B7*parameters!$B$7</f>
        <v>0.004774017044</v>
      </c>
      <c r="E7" s="3">
        <f>(1-C7)*(1-parameters!$B$7)</f>
        <v>0.05066813495</v>
      </c>
      <c r="F7" s="3">
        <f>C7*(1-parameters!$B$7)</f>
        <v>0.9428247072</v>
      </c>
      <c r="G7" s="3">
        <f t="shared" si="1"/>
        <v>0.00173314083</v>
      </c>
      <c r="H7" s="4">
        <f t="shared" si="2"/>
        <v>0.08610807612</v>
      </c>
      <c r="I7" s="4">
        <f t="shared" si="3"/>
        <v>0.99816513</v>
      </c>
    </row>
    <row r="8">
      <c r="A8" s="1" t="s">
        <v>9</v>
      </c>
      <c r="B8" s="1">
        <v>0.0</v>
      </c>
      <c r="C8" s="1">
        <v>1.0</v>
      </c>
      <c r="D8" s="3">
        <f>B8*parameters!$B$7</f>
        <v>0</v>
      </c>
      <c r="E8" s="3">
        <f>(1-C8)*(1-parameters!$B$7)</f>
        <v>0</v>
      </c>
      <c r="F8" s="3">
        <f>C8*(1-parameters!$B$7)</f>
        <v>0.9934928421</v>
      </c>
      <c r="G8" s="3">
        <f t="shared" si="1"/>
        <v>0.006507157874</v>
      </c>
      <c r="H8" s="4" t="str">
        <f t="shared" si="2"/>
        <v>#DIV/0!</v>
      </c>
      <c r="I8" s="4">
        <f t="shared" si="3"/>
        <v>0.9934928421</v>
      </c>
    </row>
    <row r="12">
      <c r="A12" s="1" t="s">
        <v>0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18</v>
      </c>
    </row>
    <row r="13">
      <c r="A13" s="2" t="s">
        <v>19</v>
      </c>
      <c r="B13" s="6">
        <f>VLOOKUP(A13,parameters!$A$20:$B$25,2,FALSE)</f>
        <v>482</v>
      </c>
      <c r="C13">
        <f>VLOOKUP(A13,parameters!$A$31:$B$36,2,FALSE)</f>
        <v>0.86</v>
      </c>
      <c r="D13">
        <f t="shared" ref="D13:D18" si="4">C13*(D2+E2)</f>
        <v>0.01233639582</v>
      </c>
      <c r="E13">
        <f t="shared" ref="E13:E18" si="5">C13*G2+(1-C13)*G$8</f>
        <v>0.002714800499</v>
      </c>
      <c r="F13" s="6">
        <f t="shared" ref="F13:F18" si="6">B13*C13</f>
        <v>414.52</v>
      </c>
      <c r="G13" s="6">
        <f>D13*VLOOKUP("Colonoscopy",parameters!$A$20:$B$27,2,FALSE)</f>
        <v>14.80367498</v>
      </c>
      <c r="H13" s="6">
        <f>E13*VLOOKUP("False Negative",parameters!$A$20:$B$27,2,FALSE)</f>
        <v>69.6210588</v>
      </c>
      <c r="I13" s="1">
        <v>3.0</v>
      </c>
      <c r="J13" s="6">
        <f t="shared" ref="J13:J18" si="7">sum(F13:H13)/I13</f>
        <v>166.3149113</v>
      </c>
    </row>
    <row r="14">
      <c r="A14" s="2" t="s">
        <v>35</v>
      </c>
      <c r="B14" s="6">
        <f>VLOOKUP(A14,parameters!$A$20:$B$25,2,FALSE)</f>
        <v>482</v>
      </c>
      <c r="C14">
        <f>VLOOKUP(A14,parameters!$A$31:$B$36,2,FALSE)</f>
        <v>0.86</v>
      </c>
      <c r="D14">
        <f t="shared" si="4"/>
        <v>0.09040347507</v>
      </c>
      <c r="E14">
        <f t="shared" si="5"/>
        <v>0.001544067224</v>
      </c>
      <c r="F14" s="6">
        <f t="shared" si="6"/>
        <v>414.52</v>
      </c>
      <c r="G14" s="6">
        <f>D14*VLOOKUP("Colonoscopy",parameters!$A$20:$B$27,2,FALSE)</f>
        <v>108.4841701</v>
      </c>
      <c r="H14" s="6">
        <f>E14*VLOOKUP("False Negative",parameters!$A$20:$B$27,2,FALSE)</f>
        <v>39.59760396</v>
      </c>
      <c r="I14" s="1">
        <v>3.0</v>
      </c>
      <c r="J14" s="6">
        <f t="shared" si="7"/>
        <v>187.5339247</v>
      </c>
    </row>
    <row r="15">
      <c r="A15" s="2" t="s">
        <v>38</v>
      </c>
      <c r="B15" s="6">
        <f>VLOOKUP(A15,parameters!$A$20:$B$25,2,FALSE)</f>
        <v>482</v>
      </c>
      <c r="C15">
        <f>VLOOKUP(A15,parameters!$A$31:$B$36,2,FALSE)</f>
        <v>0.86</v>
      </c>
      <c r="D15">
        <f t="shared" si="4"/>
        <v>0.04742533506</v>
      </c>
      <c r="E15">
        <f t="shared" si="5"/>
        <v>0.001802015029</v>
      </c>
      <c r="F15" s="6">
        <f t="shared" si="6"/>
        <v>414.52</v>
      </c>
      <c r="G15" s="6">
        <f>D15*VLOOKUP("Colonoscopy",parameters!$A$20:$B$27,2,FALSE)</f>
        <v>56.91040207</v>
      </c>
      <c r="H15" s="6">
        <f>E15*VLOOKUP("False Negative",parameters!$A$20:$B$27,2,FALSE)</f>
        <v>46.21267542</v>
      </c>
      <c r="I15" s="1">
        <v>3.0</v>
      </c>
      <c r="J15" s="6">
        <f t="shared" si="7"/>
        <v>172.5476925</v>
      </c>
    </row>
    <row r="16">
      <c r="A16" s="2" t="s">
        <v>39</v>
      </c>
      <c r="B16" s="6">
        <f>VLOOKUP(A16,parameters!$A$20:$B$25,2,FALSE)</f>
        <v>482</v>
      </c>
      <c r="C16">
        <f>VLOOKUP(A16,parameters!$A$31:$B$36,2,FALSE)</f>
        <v>0.86</v>
      </c>
      <c r="D16">
        <f t="shared" si="4"/>
        <v>0.0213009329</v>
      </c>
      <c r="E16">
        <f t="shared" si="5"/>
        <v>0.002294301857</v>
      </c>
      <c r="F16" s="6">
        <f t="shared" si="6"/>
        <v>414.52</v>
      </c>
      <c r="G16" s="6">
        <f>D16*VLOOKUP("Colonoscopy",parameters!$A$20:$B$27,2,FALSE)</f>
        <v>25.56111948</v>
      </c>
      <c r="H16" s="6">
        <f>E16*VLOOKUP("False Negative",parameters!$A$20:$B$27,2,FALSE)</f>
        <v>58.83737112</v>
      </c>
      <c r="I16" s="1">
        <v>3.0</v>
      </c>
      <c r="J16" s="6">
        <f t="shared" si="7"/>
        <v>166.3061635</v>
      </c>
    </row>
    <row r="17">
      <c r="A17" s="2" t="s">
        <v>40</v>
      </c>
      <c r="B17" s="6">
        <f>VLOOKUP(A17,parameters!$A$20:$B$25,2,FALSE)</f>
        <v>482</v>
      </c>
      <c r="C17">
        <f>VLOOKUP(A17,parameters!$A$31:$B$36,2,FALSE)</f>
        <v>0.655</v>
      </c>
      <c r="D17">
        <f t="shared" si="4"/>
        <v>0.09111042357</v>
      </c>
      <c r="E17">
        <f t="shared" si="5"/>
        <v>0.00259560106</v>
      </c>
      <c r="F17" s="6">
        <f t="shared" si="6"/>
        <v>315.71</v>
      </c>
      <c r="G17" s="6">
        <f>D17*VLOOKUP("Colonoscopy",parameters!$A$20:$B$27,2,FALSE)</f>
        <v>109.3325083</v>
      </c>
      <c r="H17" s="6">
        <f>E17*VLOOKUP("False Negative",parameters!$A$20:$B$27,2,FALSE)</f>
        <v>66.56418917</v>
      </c>
      <c r="I17" s="1">
        <v>3.0</v>
      </c>
      <c r="J17" s="6">
        <f t="shared" si="7"/>
        <v>163.8688992</v>
      </c>
    </row>
    <row r="18">
      <c r="A18" s="2" t="s">
        <v>41</v>
      </c>
      <c r="B18" s="6">
        <f>VLOOKUP(A18,parameters!$A$20:$B$25,2,FALSE)</f>
        <v>50</v>
      </c>
      <c r="C18">
        <f>VLOOKUP(A18,parameters!$A$31:$B$36,2,FALSE)</f>
        <v>0.655</v>
      </c>
      <c r="D18">
        <f t="shared" si="4"/>
        <v>0.03631460955</v>
      </c>
      <c r="E18">
        <f t="shared" si="5"/>
        <v>0.00338017671</v>
      </c>
      <c r="F18" s="6">
        <f t="shared" si="6"/>
        <v>32.75</v>
      </c>
      <c r="G18" s="6">
        <f>D18*VLOOKUP("Colonoscopy",parameters!$A$20:$B$27,2,FALSE)</f>
        <v>43.57753147</v>
      </c>
      <c r="H18" s="6">
        <f>E18*VLOOKUP("False Negative",parameters!$A$20:$B$27,2,FALSE)</f>
        <v>86.68463173</v>
      </c>
      <c r="I18" s="1">
        <v>1.0</v>
      </c>
      <c r="J18" s="6">
        <f t="shared" si="7"/>
        <v>163.0121632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7" max="7" width="18.86"/>
  </cols>
  <sheetData>
    <row r="1">
      <c r="B1" s="1"/>
      <c r="G1" s="1" t="s">
        <v>20</v>
      </c>
    </row>
    <row r="2">
      <c r="B2" s="1" t="s">
        <v>21</v>
      </c>
    </row>
    <row r="3">
      <c r="B3" s="1" t="s">
        <v>22</v>
      </c>
      <c r="C3" s="1" t="s">
        <v>23</v>
      </c>
      <c r="D3" s="1" t="s">
        <v>24</v>
      </c>
      <c r="E3" s="1" t="s">
        <v>25</v>
      </c>
    </row>
    <row r="4">
      <c r="A4" s="1" t="s">
        <v>26</v>
      </c>
      <c r="B4" s="1">
        <v>29.0</v>
      </c>
      <c r="C4" s="1">
        <v>21.0</v>
      </c>
      <c r="D4" s="1">
        <v>10.0</v>
      </c>
      <c r="E4" s="1">
        <v>4.0</v>
      </c>
      <c r="G4" s="1" t="s">
        <v>27</v>
      </c>
      <c r="H4" s="5" t="s">
        <v>28</v>
      </c>
    </row>
    <row r="5">
      <c r="A5" s="1" t="s">
        <v>29</v>
      </c>
      <c r="B5">
        <f t="shared" ref="B5:E5" si="1">B4/sum($B4:$E4)</f>
        <v>0.453125</v>
      </c>
      <c r="C5">
        <f t="shared" si="1"/>
        <v>0.328125</v>
      </c>
      <c r="D5">
        <f t="shared" si="1"/>
        <v>0.15625</v>
      </c>
      <c r="E5">
        <f t="shared" si="1"/>
        <v>0.0625</v>
      </c>
    </row>
    <row r="7">
      <c r="A7" s="1" t="s">
        <v>30</v>
      </c>
      <c r="B7" s="7">
        <f>65/9989</f>
        <v>0.006507157874</v>
      </c>
      <c r="G7" s="1" t="s">
        <v>31</v>
      </c>
    </row>
    <row r="8">
      <c r="B8" s="1"/>
    </row>
    <row r="9">
      <c r="B9" s="1" t="s">
        <v>32</v>
      </c>
    </row>
    <row r="10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2</v>
      </c>
    </row>
    <row r="11">
      <c r="A11" s="2" t="s">
        <v>19</v>
      </c>
      <c r="B11" s="1">
        <v>0.539</v>
      </c>
      <c r="C11" s="1">
        <v>0.772</v>
      </c>
      <c r="D11" s="1">
        <v>0.782</v>
      </c>
      <c r="E11" s="1">
        <v>0.927</v>
      </c>
      <c r="F11" s="1">
        <v>0.99</v>
      </c>
      <c r="G11" s="1" t="s">
        <v>33</v>
      </c>
      <c r="H11" s="5" t="s">
        <v>34</v>
      </c>
    </row>
    <row r="12">
      <c r="A12" s="1" t="s">
        <v>35</v>
      </c>
      <c r="B12" s="1">
        <v>0.84</v>
      </c>
      <c r="C12" s="1">
        <v>0.9</v>
      </c>
      <c r="D12" s="1">
        <v>0.95</v>
      </c>
      <c r="E12" s="1">
        <v>1.0</v>
      </c>
      <c r="F12" s="1">
        <v>0.9</v>
      </c>
      <c r="G12" s="1" t="s">
        <v>36</v>
      </c>
      <c r="H12" s="5" t="s">
        <v>37</v>
      </c>
    </row>
    <row r="13">
      <c r="A13" s="1" t="s">
        <v>38</v>
      </c>
      <c r="B13" s="1">
        <v>0.76</v>
      </c>
      <c r="C13" s="1">
        <v>0.87</v>
      </c>
      <c r="D13" s="1">
        <v>0.95</v>
      </c>
      <c r="E13" s="1">
        <v>1.0</v>
      </c>
      <c r="F13" s="1">
        <v>0.95</v>
      </c>
      <c r="G13" s="1" t="s">
        <v>36</v>
      </c>
      <c r="H13" s="5" t="s">
        <v>37</v>
      </c>
    </row>
    <row r="14">
      <c r="A14" s="1" t="s">
        <v>39</v>
      </c>
      <c r="B14" s="1">
        <v>0.64</v>
      </c>
      <c r="C14" s="1">
        <v>0.82</v>
      </c>
      <c r="D14" s="1">
        <v>0.84</v>
      </c>
      <c r="E14" s="1">
        <v>1.0</v>
      </c>
      <c r="F14" s="1">
        <v>0.98</v>
      </c>
      <c r="G14" s="1" t="s">
        <v>36</v>
      </c>
      <c r="H14" s="5" t="s">
        <v>37</v>
      </c>
    </row>
    <row r="15">
      <c r="A15" s="2" t="s">
        <v>40</v>
      </c>
      <c r="B15" s="1">
        <v>0.887</v>
      </c>
      <c r="C15" s="1">
        <v>1.0</v>
      </c>
      <c r="D15" s="1">
        <v>0.9</v>
      </c>
      <c r="E15" s="1">
        <v>0.753</v>
      </c>
      <c r="F15" s="1">
        <v>0.866</v>
      </c>
      <c r="G15" s="1" t="s">
        <v>27</v>
      </c>
      <c r="H15" s="5" t="s">
        <v>28</v>
      </c>
    </row>
    <row r="16">
      <c r="A16" s="1" t="s">
        <v>41</v>
      </c>
      <c r="B16" s="1">
        <v>0.655</v>
      </c>
      <c r="C16" s="1">
        <v>0.759</v>
      </c>
      <c r="D16" s="1">
        <v>0.9</v>
      </c>
      <c r="E16" s="1">
        <v>0.755</v>
      </c>
      <c r="F16" s="1">
        <v>0.949</v>
      </c>
      <c r="G16" s="1" t="s">
        <v>27</v>
      </c>
      <c r="H16" s="5" t="s">
        <v>28</v>
      </c>
    </row>
    <row r="19">
      <c r="A19" s="1" t="s">
        <v>0</v>
      </c>
      <c r="B19" s="1" t="s">
        <v>42</v>
      </c>
    </row>
    <row r="20">
      <c r="A20" s="2" t="s">
        <v>19</v>
      </c>
      <c r="B20" s="8">
        <v>482.0</v>
      </c>
      <c r="G20" s="1" t="s">
        <v>43</v>
      </c>
    </row>
    <row r="21">
      <c r="A21" s="1" t="s">
        <v>35</v>
      </c>
      <c r="B21" s="8">
        <v>482.0</v>
      </c>
      <c r="G21" s="1" t="s">
        <v>43</v>
      </c>
    </row>
    <row r="22">
      <c r="A22" s="1" t="s">
        <v>38</v>
      </c>
      <c r="B22" s="8">
        <v>482.0</v>
      </c>
      <c r="G22" s="1" t="s">
        <v>43</v>
      </c>
    </row>
    <row r="23">
      <c r="A23" s="1" t="s">
        <v>39</v>
      </c>
      <c r="B23" s="8">
        <v>482.0</v>
      </c>
      <c r="G23" s="1" t="s">
        <v>43</v>
      </c>
    </row>
    <row r="24">
      <c r="A24" s="2" t="s">
        <v>40</v>
      </c>
      <c r="B24" s="8">
        <v>482.0</v>
      </c>
      <c r="G24" s="1" t="s">
        <v>44</v>
      </c>
      <c r="H24" s="5" t="s">
        <v>45</v>
      </c>
    </row>
    <row r="25">
      <c r="A25" s="1" t="s">
        <v>41</v>
      </c>
      <c r="B25" s="8">
        <v>50.0</v>
      </c>
      <c r="G25" s="1" t="s">
        <v>46</v>
      </c>
    </row>
    <row r="26">
      <c r="A26" s="1" t="s">
        <v>47</v>
      </c>
      <c r="B26" s="8">
        <v>1200.0</v>
      </c>
      <c r="G26" s="1" t="s">
        <v>46</v>
      </c>
    </row>
    <row r="27">
      <c r="A27" s="1" t="s">
        <v>48</v>
      </c>
      <c r="B27" s="8">
        <v>25645.0</v>
      </c>
      <c r="G27" s="1" t="s">
        <v>49</v>
      </c>
    </row>
    <row r="30">
      <c r="A30" s="1" t="s">
        <v>0</v>
      </c>
      <c r="B30" s="1" t="s">
        <v>11</v>
      </c>
    </row>
    <row r="31">
      <c r="A31" s="2" t="s">
        <v>19</v>
      </c>
      <c r="B31" s="1">
        <v>0.86</v>
      </c>
      <c r="G31" s="1" t="s">
        <v>50</v>
      </c>
      <c r="H31" s="9" t="s">
        <v>51</v>
      </c>
    </row>
    <row r="32">
      <c r="A32" s="1" t="s">
        <v>35</v>
      </c>
      <c r="B32" s="1">
        <v>0.86</v>
      </c>
      <c r="G32" s="1" t="s">
        <v>50</v>
      </c>
      <c r="H32" s="9" t="s">
        <v>51</v>
      </c>
    </row>
    <row r="33">
      <c r="A33" s="1" t="s">
        <v>38</v>
      </c>
      <c r="B33" s="1">
        <v>0.86</v>
      </c>
      <c r="G33" s="1" t="s">
        <v>50</v>
      </c>
      <c r="H33" s="9" t="s">
        <v>51</v>
      </c>
    </row>
    <row r="34">
      <c r="A34" s="1" t="s">
        <v>39</v>
      </c>
      <c r="B34" s="1">
        <v>0.86</v>
      </c>
      <c r="G34" s="1" t="s">
        <v>50</v>
      </c>
      <c r="H34" s="9" t="s">
        <v>51</v>
      </c>
    </row>
    <row r="35">
      <c r="A35" s="2" t="s">
        <v>40</v>
      </c>
      <c r="B35" s="1">
        <v>0.655</v>
      </c>
      <c r="G35" s="1" t="s">
        <v>52</v>
      </c>
      <c r="H35" s="2" t="s">
        <v>53</v>
      </c>
    </row>
    <row r="36">
      <c r="A36" s="1" t="s">
        <v>41</v>
      </c>
      <c r="B36" s="1">
        <v>0.655</v>
      </c>
      <c r="G36" s="1" t="s">
        <v>52</v>
      </c>
      <c r="H36" s="2" t="s">
        <v>53</v>
      </c>
    </row>
  </sheetData>
  <hyperlinks>
    <hyperlink r:id="rId1" ref="H4"/>
    <hyperlink r:id="rId2" ref="H11"/>
    <hyperlink r:id="rId3" ref="H12"/>
    <hyperlink r:id="rId4" ref="H13"/>
    <hyperlink r:id="rId5" ref="H14"/>
    <hyperlink r:id="rId6" ref="H15"/>
    <hyperlink r:id="rId7" ref="H16"/>
    <hyperlink r:id="rId8" ref="H24"/>
    <hyperlink r:id="rId9" ref="H31"/>
    <hyperlink r:id="rId10" ref="H32"/>
    <hyperlink r:id="rId11" ref="H33"/>
    <hyperlink r:id="rId12" ref="H34"/>
  </hyperlinks>
  <drawing r:id="rId13"/>
</worksheet>
</file>