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lab Design" sheetId="1" state="visible" r:id="rId2"/>
    <sheet name="Joint Design" sheetId="2" state="visible" r:id="rId3"/>
    <sheet name="bradburycoef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<sst xmlns="http://schemas.openxmlformats.org/spreadsheetml/2006/main" count="92" uniqueCount="86">
  <si>
    <t xml:space="preserve">DESIGN OF LOW VOLUME CONCRETE RIGID PAVEMENT USING IRC SP 62 (2014)</t>
  </si>
  <si>
    <t xml:space="preserve">Design parameters</t>
  </si>
  <si>
    <t xml:space="preserve">Design constants (basic properties)</t>
  </si>
  <si>
    <t xml:space="preserve">Calculated (dont edit them)</t>
  </si>
  <si>
    <r>
      <rPr>
        <b val="true"/>
        <sz val="10"/>
        <rFont val="Arial"/>
        <family val="2"/>
        <charset val="1"/>
      </rPr>
      <t xml:space="preserve">Case 1</t>
    </r>
    <r>
      <rPr>
        <sz val="10"/>
        <rFont val="Arial"/>
        <family val="2"/>
        <charset val="1"/>
      </rPr>
      <t xml:space="preserve"> = T &lt; 50 CVPD,                                       </t>
    </r>
    <r>
      <rPr>
        <b val="true"/>
        <sz val="10"/>
        <rFont val="Arial"/>
        <family val="2"/>
        <charset val="1"/>
      </rPr>
      <t xml:space="preserve">Case 2</t>
    </r>
    <r>
      <rPr>
        <sz val="10"/>
        <rFont val="Arial"/>
        <family val="2"/>
        <charset val="1"/>
      </rPr>
      <t xml:space="preserve"> = 150 &gt; T &gt; 50 CVPD,                  </t>
    </r>
    <r>
      <rPr>
        <b val="true"/>
        <sz val="10"/>
        <rFont val="Arial"/>
        <family val="2"/>
        <charset val="1"/>
      </rPr>
      <t xml:space="preserve"> Case 3</t>
    </r>
    <r>
      <rPr>
        <sz val="10"/>
        <rFont val="Arial"/>
        <family val="2"/>
        <charset val="1"/>
      </rPr>
      <t xml:space="preserve"> = 450 &gt; T &gt; 150 CVPD</t>
    </r>
  </si>
  <si>
    <t xml:space="preserve">Enter Data</t>
  </si>
  <si>
    <t xml:space="preserve">No. of commercial vehicles per day</t>
  </si>
  <si>
    <t xml:space="preserve">Poisson’s ration of concrete, μ</t>
  </si>
  <si>
    <t xml:space="preserve">Case 1/2/3</t>
  </si>
  <si>
    <t xml:space="preserve">Temperature Zone (1 to 6)</t>
  </si>
  <si>
    <t xml:space="preserve">Tyre (1-single/2-dual)</t>
  </si>
  <si>
    <t xml:space="preserve">Ratio of L/l</t>
  </si>
  <si>
    <r>
      <rPr>
        <sz val="10"/>
        <color rgb="FF000000"/>
        <rFont val="Arial"/>
        <family val="2"/>
        <charset val="1"/>
      </rPr>
      <t xml:space="preserve">Safe Bearing Capacity, SBC (KN/m</t>
    </r>
    <r>
      <rPr>
        <vertAlign val="superscript"/>
        <sz val="10"/>
        <color rgb="FF000000"/>
        <rFont val="Arial"/>
        <family val="2"/>
        <charset val="1"/>
      </rPr>
      <t xml:space="preserve">2</t>
    </r>
    <r>
      <rPr>
        <sz val="10"/>
        <color rgb="FF000000"/>
        <rFont val="Arial"/>
        <family val="2"/>
        <charset val="1"/>
      </rPr>
      <t xml:space="preserve">)</t>
    </r>
  </si>
  <si>
    <t xml:space="preserve">Co-efficient of thermal exp.</t>
  </si>
  <si>
    <t xml:space="preserve">Correction factor</t>
  </si>
  <si>
    <r>
      <rPr>
        <sz val="10"/>
        <color rgb="FF000000"/>
        <rFont val="Arial"/>
        <family val="2"/>
        <charset val="1"/>
      </rPr>
      <t xml:space="preserve">28 day Compressive strength, f</t>
    </r>
    <r>
      <rPr>
        <vertAlign val="subscript"/>
        <sz val="10"/>
        <color rgb="FF000000"/>
        <rFont val="Arial"/>
        <family val="2"/>
        <charset val="1"/>
      </rPr>
      <t xml:space="preserve">ck</t>
    </r>
    <r>
      <rPr>
        <sz val="10"/>
        <color rgb="FF000000"/>
        <rFont val="Arial"/>
        <family val="2"/>
        <charset val="1"/>
      </rPr>
      <t xml:space="preserve"> (MPa)</t>
    </r>
  </si>
  <si>
    <r>
      <rPr>
        <sz val="10"/>
        <rFont val="Arial"/>
        <family val="2"/>
        <charset val="1"/>
      </rPr>
      <t xml:space="preserve">Spacing of wheels, S</t>
    </r>
    <r>
      <rPr>
        <vertAlign val="subscript"/>
        <sz val="10"/>
        <rFont val="Arial"/>
        <family val="2"/>
        <charset val="1"/>
      </rPr>
      <t xml:space="preserve">d</t>
    </r>
    <r>
      <rPr>
        <sz val="10"/>
        <rFont val="Arial"/>
        <family val="2"/>
        <charset val="1"/>
      </rPr>
      <t xml:space="preserve"> (mm)</t>
    </r>
  </si>
  <si>
    <t xml:space="preserve">Radius of relative stiffness, l (mm)</t>
  </si>
  <si>
    <t xml:space="preserve">Trial thickness, h (m)</t>
  </si>
  <si>
    <t xml:space="preserve">Wheel Load, P (KN)</t>
  </si>
  <si>
    <t xml:space="preserve">Design Traffic</t>
  </si>
  <si>
    <t xml:space="preserve">Transverse joint spacing (m)</t>
  </si>
  <si>
    <t xml:space="preserve">Tyre pressure, p (MPa)</t>
  </si>
  <si>
    <t xml:space="preserve">Radius of contact, a (mm)</t>
  </si>
  <si>
    <t xml:space="preserve">Sub-base</t>
  </si>
  <si>
    <t xml:space="preserve">Granular</t>
  </si>
  <si>
    <t xml:space="preserve">Design life of pavement (yrs)</t>
  </si>
  <si>
    <t xml:space="preserve">Temperature differential, ΔT (°C)</t>
  </si>
  <si>
    <t xml:space="preserve">Rate of traffic growth</t>
  </si>
  <si>
    <t xml:space="preserve">modulus of elasticity of concrete, E (MPa)</t>
  </si>
  <si>
    <t xml:space="preserve">Truck with 50KN wheel load (%)</t>
  </si>
  <si>
    <t xml:space="preserve">modulus of subgrade rxn, k (MPa/m)</t>
  </si>
  <si>
    <r>
      <rPr>
        <sz val="10"/>
        <rFont val="Arial"/>
        <family val="2"/>
        <charset val="1"/>
      </rPr>
      <t xml:space="preserve">Modulus of rupture, f</t>
    </r>
    <r>
      <rPr>
        <vertAlign val="subscript"/>
        <sz val="10"/>
        <rFont val="Arial"/>
        <family val="2"/>
        <charset val="1"/>
      </rPr>
      <t xml:space="preserve">cr</t>
    </r>
    <r>
      <rPr>
        <sz val="10"/>
        <rFont val="Arial"/>
        <family val="2"/>
        <charset val="1"/>
      </rPr>
      <t xml:space="preserve"> (MPa)</t>
    </r>
  </si>
  <si>
    <t xml:space="preserve">Results</t>
  </si>
  <si>
    <t xml:space="preserve">Case 1</t>
  </si>
  <si>
    <t xml:space="preserve"> (Only edge wheel load stress)</t>
  </si>
  <si>
    <t xml:space="preserve">stress developed, σ (MPa)</t>
  </si>
  <si>
    <t xml:space="preserve">Design is </t>
  </si>
  <si>
    <t xml:space="preserve">Case 2 </t>
  </si>
  <si>
    <t xml:space="preserve"> (Edge Wheel load stress + temperature stress)</t>
  </si>
  <si>
    <t xml:space="preserve">Temperature stress at edge (MPa)</t>
  </si>
  <si>
    <t xml:space="preserve">Wheel load stress at edge (MPa)</t>
  </si>
  <si>
    <t xml:space="preserve">Total stress,  σ (MPa)</t>
  </si>
  <si>
    <t xml:space="preserve">Case 3 </t>
  </si>
  <si>
    <t xml:space="preserve"> (Edge Wheel load stress + temperature stress + fatigue)</t>
  </si>
  <si>
    <t xml:space="preserve">Total stress for fatigue calc, σ (MPa)</t>
  </si>
  <si>
    <r>
      <rPr>
        <sz val="10"/>
        <rFont val="Arial"/>
        <family val="2"/>
        <charset val="1"/>
      </rPr>
      <t xml:space="preserve">Allowable repetitions, N</t>
    </r>
    <r>
      <rPr>
        <vertAlign val="subscript"/>
        <sz val="10"/>
        <rFont val="Arial"/>
        <family val="2"/>
        <charset val="1"/>
      </rPr>
      <t xml:space="preserve">f</t>
    </r>
  </si>
  <si>
    <t xml:space="preserve">stress ratio, SR</t>
  </si>
  <si>
    <t xml:space="preserve">Cumulative fatigue damage</t>
  </si>
  <si>
    <t xml:space="preserve">Transverse Joint</t>
  </si>
  <si>
    <t xml:space="preserve">Width of Slab (m)</t>
  </si>
  <si>
    <t xml:space="preserve">Coef. of friction, f</t>
  </si>
  <si>
    <t xml:space="preserve">Grade of steel (eg, Fe500)</t>
  </si>
  <si>
    <r>
      <rPr>
        <sz val="10"/>
        <rFont val="Arial"/>
        <family val="2"/>
        <charset val="1"/>
      </rPr>
      <t xml:space="preserve">Allowable stress (MPa or, N/mm</t>
    </r>
    <r>
      <rPr>
        <vertAlign val="super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)</t>
    </r>
  </si>
  <si>
    <t xml:space="preserve">Length of Slab (m)</t>
  </si>
  <si>
    <t xml:space="preserve">Thickness of Slab (m)</t>
  </si>
  <si>
    <r>
      <rPr>
        <sz val="10"/>
        <rFont val="Arial"/>
        <family val="2"/>
        <charset val="1"/>
      </rPr>
      <t xml:space="preserve">A</t>
    </r>
    <r>
      <rPr>
        <vertAlign val="subscript"/>
        <sz val="10"/>
        <rFont val="Arial"/>
        <family val="2"/>
        <charset val="1"/>
      </rPr>
      <t xml:space="preserve">st, </t>
    </r>
    <r>
      <rPr>
        <sz val="10"/>
        <rFont val="Arial"/>
        <family val="2"/>
        <charset val="1"/>
      </rPr>
      <t xml:space="preserve">req.</t>
    </r>
    <r>
      <rPr>
        <vertAlign val="subscript"/>
        <sz val="10"/>
        <rFont val="Arial"/>
        <family val="2"/>
        <charset val="1"/>
      </rPr>
      <t xml:space="preserve">.</t>
    </r>
    <r>
      <rPr>
        <sz val="10"/>
        <rFont val="Arial"/>
        <family val="2"/>
        <charset val="1"/>
      </rPr>
      <t xml:space="preserve">per meter (mm</t>
    </r>
    <r>
      <rPr>
        <vertAlign val="super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</si>
  <si>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Total A</t>
    </r>
    <r>
      <rPr>
        <vertAlign val="sub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req. (mm</t>
    </r>
    <r>
      <rPr>
        <vertAlign val="super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)</t>
    </r>
  </si>
  <si>
    <t xml:space="preserve">mod. of the elasticity of dowel bar, E (MPa)</t>
  </si>
  <si>
    <r>
      <rPr>
        <sz val="10"/>
        <rFont val="Arial"/>
        <family val="2"/>
        <charset val="1"/>
      </rPr>
      <t xml:space="preserve">Modulus of dowel support, k</t>
    </r>
    <r>
      <rPr>
        <vertAlign val="subscript"/>
        <sz val="10"/>
        <rFont val="Arial"/>
        <family val="2"/>
        <charset val="1"/>
      </rPr>
      <t xml:space="preserve">mds</t>
    </r>
    <r>
      <rPr>
        <sz val="10"/>
        <rFont val="Arial"/>
        <family val="2"/>
        <charset val="1"/>
      </rPr>
      <t xml:space="preserve"> (MPa/m)</t>
    </r>
  </si>
  <si>
    <t xml:space="preserve">Expansion Joint gap (mm)</t>
  </si>
  <si>
    <t xml:space="preserve">Diameter of bars (mm)</t>
  </si>
  <si>
    <t xml:space="preserve">Spacing of bars trial (mm)</t>
  </si>
  <si>
    <r>
      <rPr>
        <sz val="10"/>
        <rFont val="Arial"/>
        <family val="2"/>
        <charset val="1"/>
      </rPr>
      <t xml:space="preserve">Permissible bearing stress in conc., F</t>
    </r>
    <r>
      <rPr>
        <vertAlign val="subscript"/>
        <sz val="10"/>
        <rFont val="Arial"/>
        <family val="2"/>
        <charset val="1"/>
      </rPr>
      <t xml:space="preserve">b</t>
    </r>
    <r>
      <rPr>
        <sz val="10"/>
        <rFont val="Arial"/>
        <family val="2"/>
        <charset val="1"/>
      </rPr>
      <t xml:space="preserve"> (MPa)</t>
    </r>
  </si>
  <si>
    <t xml:space="preserve">No. of dowel bars participating in load transf.</t>
  </si>
  <si>
    <t xml:space="preserve">Load to be transferred by dowel (KN)</t>
  </si>
  <si>
    <t xml:space="preserve">Load carried by outer dowel (KN)</t>
  </si>
  <si>
    <r>
      <rPr>
        <sz val="10"/>
        <rFont val="Arial"/>
        <family val="2"/>
        <charset val="1"/>
      </rPr>
      <t xml:space="preserve">MOI of dowel (mm</t>
    </r>
    <r>
      <rPr>
        <vertAlign val="superscript"/>
        <sz val="10"/>
        <rFont val="Arial"/>
        <family val="2"/>
        <charset val="1"/>
      </rPr>
      <t xml:space="preserve">4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</si>
  <si>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relative stiffness of the bar, β (mm</t>
    </r>
    <r>
      <rPr>
        <vertAlign val="superscript"/>
        <sz val="10"/>
        <rFont val="Arial"/>
        <family val="2"/>
        <charset val="1"/>
      </rPr>
      <t xml:space="preserve">-1</t>
    </r>
    <r>
      <rPr>
        <sz val="10"/>
        <rFont val="Arial"/>
        <family val="2"/>
        <charset val="1"/>
      </rPr>
      <t xml:space="preserve">)</t>
    </r>
  </si>
  <si>
    <t xml:space="preserve">Bearing stress in dowel bar (MPa)</t>
  </si>
  <si>
    <t xml:space="preserve">Design of dowel is</t>
  </si>
  <si>
    <t xml:space="preserve">no. of bars</t>
  </si>
  <si>
    <r>
      <rPr>
        <sz val="10"/>
        <rFont val="Arial"/>
        <family val="2"/>
        <charset val="1"/>
      </rPr>
      <t xml:space="preserve">Area Provided (mm</t>
    </r>
    <r>
      <rPr>
        <vertAlign val="super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)</t>
    </r>
  </si>
  <si>
    <t xml:space="preserve">Spacing provided (mm)</t>
  </si>
  <si>
    <t xml:space="preserve">Longitudinal Joint (deformed bars)</t>
  </si>
  <si>
    <t xml:space="preserve">Slab thickness (m)</t>
  </si>
  <si>
    <t xml:space="preserve">Lane width (m), b</t>
  </si>
  <si>
    <r>
      <rPr>
        <sz val="10"/>
        <rFont val="Arial"/>
        <family val="2"/>
        <charset val="1"/>
      </rPr>
      <t xml:space="preserve">Density of conc (KN/m</t>
    </r>
    <r>
      <rPr>
        <vertAlign val="superscript"/>
        <sz val="10"/>
        <rFont val="Arial"/>
        <family val="2"/>
        <charset val="1"/>
      </rPr>
      <t xml:space="preserve">3</t>
    </r>
    <r>
      <rPr>
        <sz val="10"/>
        <rFont val="Arial"/>
        <family val="2"/>
        <charset val="1"/>
      </rPr>
      <t xml:space="preserve">)</t>
    </r>
  </si>
  <si>
    <t xml:space="preserve">Allowable tensile stress in deformed bars IRC 15-2011 (MPa)</t>
  </si>
  <si>
    <t xml:space="preserve">Allowable bond stress for deformed bars IRC 15-2011 (MPa)</t>
  </si>
  <si>
    <t xml:space="preserve">tie dia (mm)</t>
  </si>
  <si>
    <r>
      <rPr>
        <sz val="10"/>
        <rFont val="Arial"/>
        <family val="2"/>
        <charset val="1"/>
      </rPr>
      <t xml:space="preserve">Area of plain steel bar req per meter (mm</t>
    </r>
    <r>
      <rPr>
        <vertAlign val="super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/m)</t>
    </r>
  </si>
  <si>
    <t xml:space="preserve">spacing (mm)</t>
  </si>
  <si>
    <t xml:space="preserve">Length of bar req (mm)</t>
  </si>
  <si>
    <t xml:space="preserve">L/l</t>
  </si>
  <si>
    <t xml:space="preserve"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</si>
</sst>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vertAlign val="superscript"/>
      <sz val="10"/>
      <color rgb="FF000000"/>
      <name val="Arial"/>
      <family val="2"/>
      <charset val="1"/>
    </font>
    <font>
      <vertAlign val="subscript"/>
      <sz val="10"/>
      <color rgb="FF000000"/>
      <name val="Arial"/>
      <family val="2"/>
      <charset val="1"/>
    </font>
    <font>
      <vertAlign val="subscript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vertAlign val="superscript"/>
      <sz val="10"/>
      <name val="Arial"/>
      <family val="2"/>
      <charset val="1"/>
    </font>
    <font>
      <b val="true"/>
      <sz val="14"/>
      <color rgb="FFFF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B4C7E7"/>
        <bgColor rgb="FF9DC3E6"/>
      </patternFill>
    </fill>
    <fill>
      <patternFill patternType="solid">
        <fgColor rgb="FFD0CECE"/>
        <bgColor rgb="FFC5E0B4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rgb="FFF4B183"/>
        <bgColor rgb="FFF8CBAD"/>
      </patternFill>
    </fill>
    <fill>
      <patternFill patternType="solid">
        <fgColor rgb="FF8FAADC"/>
        <bgColor rgb="FF9DC3E6"/>
      </patternFill>
    </fill>
    <fill>
      <patternFill patternType="solid">
        <fgColor rgb="FFC5E0B4"/>
        <bgColor rgb="FFD0CECE"/>
      </patternFill>
    </fill>
    <fill>
      <patternFill patternType="solid">
        <fgColor rgb="FFFFD966"/>
        <bgColor rgb="FFFFE699"/>
      </patternFill>
    </fill>
    <fill>
      <patternFill patternType="solid">
        <fgColor rgb="FFA9D18E"/>
        <bgColor rgb="FFC5E0B4"/>
      </patternFill>
    </fill>
    <fill>
      <patternFill patternType="solid">
        <fgColor rgb="FF9DC3E6"/>
        <bgColor rgb="FFB4C7E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color rgb="FF000000"/>
        <sz val="11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DC3E6"/>
      <rgbColor rgb="FFF4B183"/>
      <rgbColor rgb="FFCC99FF"/>
      <rgbColor rgb="FFF8CBAD"/>
      <rgbColor rgb="FF3366FF"/>
      <rgbColor rgb="FF33CCCC"/>
      <rgbColor rgb="FF92D050"/>
      <rgbColor rgb="FFFFD966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4" activeCellId="0" sqref="H4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7.71"/>
    <col collapsed="false" customWidth="true" hidden="false" outlineLevel="0" max="2" min="2" style="1" width="13.15"/>
    <col collapsed="false" customWidth="true" hidden="false" outlineLevel="0" max="3" min="3" style="1" width="2.15"/>
    <col collapsed="false" customWidth="true" hidden="false" outlineLevel="0" max="4" min="4" style="1" width="32.15"/>
    <col collapsed="false" customWidth="false" hidden="false" outlineLevel="0" max="5" min="5" style="1" width="11.57"/>
    <col collapsed="false" customWidth="true" hidden="false" outlineLevel="0" max="6" min="6" style="1" width="2.42"/>
    <col collapsed="false" customWidth="true" hidden="false" outlineLevel="0" max="7" min="7" style="1" width="33.86"/>
    <col collapsed="false" customWidth="false" hidden="false" outlineLevel="0" max="16384" min="8" style="1" width="11.57"/>
  </cols>
  <sheetData>
    <row r="1" customFormat="false" ht="26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3" customFormat="false" ht="13.8" hidden="false" customHeight="false" outlineLevel="0" collapsed="false">
      <c r="A3" s="3" t="s">
        <v>1</v>
      </c>
      <c r="D3" s="4" t="s">
        <v>2</v>
      </c>
      <c r="G3" s="5" t="s">
        <v>3</v>
      </c>
    </row>
    <row r="5" customFormat="false" ht="15" hidden="false" customHeight="false" outlineLevel="0" collapsed="false">
      <c r="A5" s="6" t="s">
        <v>4</v>
      </c>
      <c r="B5" s="6"/>
      <c r="C5" s="6"/>
      <c r="D5" s="6"/>
      <c r="E5" s="6"/>
      <c r="F5" s="6"/>
      <c r="G5" s="6"/>
      <c r="H5" s="6"/>
      <c r="I5" s="6"/>
    </row>
    <row r="7" customFormat="false" ht="15" hidden="false" customHeight="false" outlineLevel="0" collapsed="false">
      <c r="A7" s="7" t="s">
        <v>5</v>
      </c>
      <c r="B7" s="8"/>
    </row>
    <row r="8" customFormat="false" ht="15" hidden="false" customHeight="false" outlineLevel="0" collapsed="false">
      <c r="A8" s="9" t="s">
        <v>6</v>
      </c>
      <c r="B8" s="3" t="n">
        <v>20</v>
      </c>
      <c r="D8" s="9" t="s">
        <v>7</v>
      </c>
      <c r="E8" s="4" t="n">
        <v>0.15</v>
      </c>
      <c r="G8" s="9" t="s">
        <v>8</v>
      </c>
      <c r="H8" s="5" t="n">
        <f aca="false">IF(B8&lt;51,1,IF(B8&lt;151,2,IF(B8&lt;451,3,"Not low vol")))</f>
        <v>1</v>
      </c>
    </row>
    <row r="9" customFormat="false" ht="15" hidden="false" customHeight="false" outlineLevel="0" collapsed="false">
      <c r="A9" s="9" t="s">
        <v>9</v>
      </c>
      <c r="B9" s="10" t="n">
        <v>2</v>
      </c>
      <c r="D9" s="9" t="s">
        <v>10</v>
      </c>
      <c r="E9" s="4" t="n">
        <v>2</v>
      </c>
      <c r="G9" s="9" t="s">
        <v>11</v>
      </c>
      <c r="H9" s="5" t="n">
        <f aca="false">B13*1000/H11</f>
        <v>4.77623750541675</v>
      </c>
    </row>
    <row r="10" customFormat="false" ht="15" hidden="false" customHeight="false" outlineLevel="0" collapsed="false">
      <c r="A10" s="11" t="s">
        <v>12</v>
      </c>
      <c r="B10" s="3" t="n">
        <v>180</v>
      </c>
      <c r="D10" s="9" t="s">
        <v>13</v>
      </c>
      <c r="E10" s="4" t="n">
        <v>1E-005</v>
      </c>
      <c r="G10" s="9" t="s">
        <v>14</v>
      </c>
      <c r="H10" s="5" t="n">
        <f aca="false">(INDEX(bradburycoef!B2:B13, MATCH(H9, bradburycoef!A2:A13)+1)-INDEX(bradburycoef!B2:B13, MATCH(H9, bradburycoef!A2:A13)))*(H9-MATCH(H9, bradburycoef!A2:A13))+INDEX(bradburycoef!B2:B13, MATCH(H9, bradburycoef!A2:A13))</f>
        <v>0.65734650151669</v>
      </c>
    </row>
    <row r="11" customFormat="false" ht="15.75" hidden="false" customHeight="false" outlineLevel="0" collapsed="false">
      <c r="A11" s="11" t="s">
        <v>15</v>
      </c>
      <c r="B11" s="10" t="n">
        <v>30</v>
      </c>
      <c r="D11" s="12" t="s">
        <v>16</v>
      </c>
      <c r="E11" s="4" t="n">
        <v>310</v>
      </c>
      <c r="G11" s="9" t="s">
        <v>17</v>
      </c>
      <c r="H11" s="5" t="n">
        <f aca="false">(H15*B12^3/12/(1-E8^2)/H16)^0.25*1000</f>
        <v>942.164202449424</v>
      </c>
    </row>
    <row r="12" customFormat="false" ht="15" hidden="false" customHeight="false" outlineLevel="0" collapsed="false">
      <c r="A12" s="13" t="s">
        <v>18</v>
      </c>
      <c r="B12" s="14" t="n">
        <v>0.18</v>
      </c>
      <c r="D12" s="9" t="s">
        <v>19</v>
      </c>
      <c r="E12" s="4" t="n">
        <v>50</v>
      </c>
      <c r="G12" s="9" t="s">
        <v>20</v>
      </c>
      <c r="H12" s="5" t="n">
        <f aca="false">B8*365*((1+E15)^E14-1)/E15</f>
        <v>268534.815785897</v>
      </c>
    </row>
    <row r="13" customFormat="false" ht="15" hidden="false" customHeight="false" outlineLevel="0" collapsed="false">
      <c r="A13" s="9" t="s">
        <v>21</v>
      </c>
      <c r="B13" s="3" t="n">
        <v>4.5</v>
      </c>
      <c r="D13" s="9" t="s">
        <v>22</v>
      </c>
      <c r="E13" s="4" t="n">
        <v>0.8</v>
      </c>
      <c r="G13" s="9" t="s">
        <v>23</v>
      </c>
      <c r="H13" s="5" t="n">
        <f aca="false">IF(E9=2,1000*(0.8521*E12/(PI()*E13*1000)/2+(E11/PI()/1000)*(E12/0.5227/E13/1000/2)^0.5)^0.5,IF(E9=1,1000*(E12/PI()/E13/1000)^0.5,"error"))</f>
        <v>180.564112270981</v>
      </c>
    </row>
    <row r="14" customFormat="false" ht="15" hidden="false" customHeight="false" outlineLevel="0" collapsed="false">
      <c r="A14" s="9" t="s">
        <v>24</v>
      </c>
      <c r="B14" s="3" t="s">
        <v>25</v>
      </c>
      <c r="D14" s="9" t="s">
        <v>26</v>
      </c>
      <c r="E14" s="4" t="n">
        <v>20</v>
      </c>
      <c r="G14" s="9" t="s">
        <v>27</v>
      </c>
      <c r="H14" s="5" t="n">
        <f aca="false">IF(B9=1,IF(B12&lt;0.151,12.5,IF(B12&lt;0.201,13.1,14.3)),IF(B9=2,IF(B12&lt;0.151,15.6,IF(B12&lt;0.201,16.4,16.6)),IF(B9=3,IF(B12&lt;0.151,17.3,IF(B12&lt;0.201,19,20.3)),IF(B9=4,IF(B12&lt;0.151,15,IF(B12&lt;0.201,16.4,17.6)),IF(B9=5,IF(B12&lt;0.151,14.6,IF(B12&lt;0.201,15.8,16.2)),IF(B9=6,IF(B12&lt;0.151,15.5,IF(B12&lt;0.201,17,19)),"ERROR7"))))))</f>
        <v>16.4</v>
      </c>
    </row>
    <row r="15" customFormat="false" ht="15" hidden="false" customHeight="false" outlineLevel="0" collapsed="false">
      <c r="D15" s="9" t="s">
        <v>28</v>
      </c>
      <c r="E15" s="4" t="n">
        <v>0.06</v>
      </c>
      <c r="G15" s="9" t="s">
        <v>29</v>
      </c>
      <c r="H15" s="5" t="n">
        <f aca="false">5000*(B11)^0.5</f>
        <v>27386.1278752583</v>
      </c>
    </row>
    <row r="16" customFormat="false" ht="15" hidden="false" customHeight="false" outlineLevel="0" collapsed="false">
      <c r="D16" s="9" t="s">
        <v>30</v>
      </c>
      <c r="E16" s="4" t="n">
        <v>10</v>
      </c>
      <c r="G16" s="9" t="s">
        <v>31</v>
      </c>
      <c r="H16" s="5" t="n">
        <f aca="false">IF(B14="Granular",1.2*B10*40*2/1000,IF(B14="Plain",B10*40*2/1000,2*B10*40*2/1000))</f>
        <v>17.28</v>
      </c>
    </row>
    <row r="17" customFormat="false" ht="15.75" hidden="false" customHeight="false" outlineLevel="0" collapsed="false">
      <c r="G17" s="12" t="s">
        <v>32</v>
      </c>
      <c r="H17" s="5" t="n">
        <f aca="false">1.1*0.7*(B11)^0.5</f>
        <v>4.21746369278978</v>
      </c>
    </row>
    <row r="19" customFormat="false" ht="15" hidden="false" customHeight="false" outlineLevel="0" collapsed="false">
      <c r="A19" s="15" t="s">
        <v>33</v>
      </c>
    </row>
    <row r="20" customFormat="false" ht="15" hidden="false" customHeight="false" outlineLevel="0" collapsed="false">
      <c r="A20" s="16" t="s">
        <v>34</v>
      </c>
      <c r="B20" s="17" t="s">
        <v>35</v>
      </c>
      <c r="C20" s="17"/>
      <c r="D20" s="17"/>
      <c r="E20" s="17"/>
    </row>
    <row r="21" customFormat="false" ht="15.75" hidden="false" customHeight="false" outlineLevel="0" collapsed="false">
      <c r="A21" s="18" t="s">
        <v>32</v>
      </c>
      <c r="B21" s="1" t="n">
        <f aca="false">H17</f>
        <v>4.21746369278978</v>
      </c>
    </row>
    <row r="22" customFormat="false" ht="15" hidden="false" customHeight="false" outlineLevel="0" collapsed="false">
      <c r="A22" s="1" t="s">
        <v>36</v>
      </c>
      <c r="B22" s="1" t="n">
        <f aca="false">IF(H8=1,3*(1+E8)*E12/(PI()*(3+E8)*B12^2)*(LN(H15*B12^3*1000^4/100/H16/H13^4)+1.84-4*E8/3+(1-E8)/2+1.18*(1+2*E8)*H13/H11)/1000,"")</f>
        <v>3.67150801101633</v>
      </c>
    </row>
    <row r="23" customFormat="false" ht="15.75" hidden="false" customHeight="false" outlineLevel="0" collapsed="false">
      <c r="A23" s="1" t="s">
        <v>37</v>
      </c>
      <c r="B23" s="19" t="str">
        <f aca="false">IF(H8=1,IF(B22&lt;H17,"SAFE","UNSAFE"),"")</f>
        <v>SAFE</v>
      </c>
    </row>
    <row r="25" customFormat="false" ht="15" hidden="false" customHeight="false" outlineLevel="0" collapsed="false">
      <c r="A25" s="16" t="s">
        <v>38</v>
      </c>
      <c r="B25" s="17" t="s">
        <v>39</v>
      </c>
      <c r="C25" s="17"/>
      <c r="D25" s="17"/>
      <c r="E25" s="17"/>
    </row>
    <row r="26" customFormat="false" ht="15" hidden="false" customHeight="false" outlineLevel="0" collapsed="false">
      <c r="A26" s="1" t="s">
        <v>40</v>
      </c>
      <c r="B26" s="1" t="str">
        <f aca="false">IF(H8=2,H15*E10*H14*0.667*H10/2,"")</f>
        <v/>
      </c>
    </row>
    <row r="27" customFormat="false" ht="15" hidden="false" customHeight="false" outlineLevel="0" collapsed="false">
      <c r="A27" s="1" t="s">
        <v>41</v>
      </c>
      <c r="B27" s="1" t="str">
        <f aca="false">IF(H8=2,3*(1+E8)*E12/(PI()*(3+E8)*B12^2)*(LN(H15*B12^3*1000^4/100/H16/H13^4)+1.84-4*E8/3+(1-E8)/2+1.18*(1+2*E8)*H13/H11)/1000,"")</f>
        <v/>
      </c>
    </row>
    <row r="28" customFormat="false" ht="15" hidden="false" customHeight="false" outlineLevel="0" collapsed="false">
      <c r="A28" s="1" t="s">
        <v>42</v>
      </c>
      <c r="B28" s="1" t="str">
        <f aca="false">IF(H8=2,B26+B27,"")</f>
        <v/>
      </c>
    </row>
    <row r="29" customFormat="false" ht="15.75" hidden="false" customHeight="false" outlineLevel="0" collapsed="false">
      <c r="A29" s="1" t="s">
        <v>37</v>
      </c>
      <c r="B29" s="19" t="str">
        <f aca="false">IF(H8=2,IF(B28&lt;H17,"SAFE","UNSAFE"),"")</f>
        <v/>
      </c>
    </row>
    <row r="31" customFormat="false" ht="15" hidden="false" customHeight="false" outlineLevel="0" collapsed="false">
      <c r="A31" s="16" t="s">
        <v>43</v>
      </c>
      <c r="B31" s="17" t="s">
        <v>44</v>
      </c>
      <c r="C31" s="17"/>
      <c r="D31" s="17"/>
      <c r="E31" s="17"/>
    </row>
    <row r="32" customFormat="false" ht="15" hidden="false" customHeight="false" outlineLevel="0" collapsed="false">
      <c r="A32" s="1" t="s">
        <v>41</v>
      </c>
      <c r="B32" s="1" t="str">
        <f aca="false">IF(H8=3,3*(1+E8)*E12/(PI()*(3+E8)*B12^2)*(LN(H15*B12^3*1000^4/100/H16/H13^4)+1.84-4*E8/3+(1-E8)/2+1.18*(1+2*E8)*H13/H11)/1000,"")</f>
        <v/>
      </c>
    </row>
    <row r="33" customFormat="false" ht="15" hidden="false" customHeight="false" outlineLevel="0" collapsed="false">
      <c r="A33" s="1" t="s">
        <v>40</v>
      </c>
      <c r="B33" s="1" t="str">
        <f aca="false">IF(H8=3,H15*E10*H14*H10/2,"")</f>
        <v/>
      </c>
    </row>
    <row r="34" customFormat="false" ht="15" hidden="false" customHeight="false" outlineLevel="0" collapsed="false">
      <c r="A34" s="1" t="s">
        <v>45</v>
      </c>
      <c r="B34" s="1" t="str">
        <f aca="false">IF(H8=3,B33+B32,"")</f>
        <v/>
      </c>
    </row>
    <row r="35" customFormat="false" ht="15.75" hidden="false" customHeight="false" outlineLevel="0" collapsed="false">
      <c r="A35" s="18" t="s">
        <v>46</v>
      </c>
      <c r="B35" s="1" t="str">
        <f aca="false">IF(H8=3,10^(B36^-2.222/0.523),"")</f>
        <v/>
      </c>
    </row>
    <row r="36" customFormat="false" ht="15" hidden="false" customHeight="false" outlineLevel="0" collapsed="false">
      <c r="A36" s="1" t="s">
        <v>47</v>
      </c>
      <c r="B36" s="1" t="str">
        <f aca="false">IF(H8=3,B34/H17,"")</f>
        <v/>
      </c>
    </row>
    <row r="37" customFormat="false" ht="15" hidden="false" customHeight="false" outlineLevel="0" collapsed="false">
      <c r="A37" s="1" t="s">
        <v>48</v>
      </c>
      <c r="B37" s="1" t="str">
        <f aca="false">IF(H8=3,H12*E16/100/B35,"")</f>
        <v/>
      </c>
    </row>
    <row r="38" customFormat="false" ht="15.75" hidden="false" customHeight="false" outlineLevel="0" collapsed="false">
      <c r="A38" s="1" t="s">
        <v>37</v>
      </c>
      <c r="B38" s="19" t="str">
        <f aca="false">IF(H8=3,IF(AND(B36&lt;1,B37&lt;1),"SAFE","UNSAFE"),"")</f>
        <v/>
      </c>
    </row>
  </sheetData>
  <mergeCells count="5">
    <mergeCell ref="A1:J1"/>
    <mergeCell ref="A5:I5"/>
    <mergeCell ref="B20:E20"/>
    <mergeCell ref="B25:E25"/>
    <mergeCell ref="B31:E31"/>
  </mergeCells>
  <conditionalFormatting sqref="B36:B37">
    <cfRule type="cellIs" priority="2" operator="greaterThanOrEqual" aboveAverage="0" equalAverage="0" bottom="0" percent="0" rank="0" text="" dxfId="0">
      <formula>1</formula>
    </cfRule>
  </conditionalFormatting>
  <conditionalFormatting sqref="B36">
    <cfRule type="cellIs" priority="3" operator="equal" aboveAverage="0" equalAverage="0" bottom="0" percent="0" rank="0" text="" dxfId="0">
      <formula>0</formula>
    </cfRule>
  </conditionalFormatting>
  <dataValidations count="3">
    <dataValidation allowBlank="true" errorStyle="stop" operator="equal" showDropDown="false" showErrorMessage="true" showInputMessage="false" sqref="B9" type="list">
      <formula1>"1,2,3,4,5,6"</formula1>
      <formula2>0</formula2>
    </dataValidation>
    <dataValidation allowBlank="false" errorStyle="stop" operator="equal" showDropDown="false" showErrorMessage="true" showInputMessage="false" sqref="B11" type="list">
      <formula1>"20,25,30,35,40,45,50"</formula1>
      <formula2>0</formula2>
    </dataValidation>
    <dataValidation allowBlank="true" errorStyle="stop" operator="equal" showDropDown="false" showErrorMessage="true" showInputMessage="false" sqref="B14" type="list">
      <formula1>"Granular,Cementitious ,Plain"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5:B43"/>
  <sheetViews>
    <sheetView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F26" activeCellId="0" sqref="F26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53.57"/>
    <col collapsed="false" customWidth="false" hidden="false" outlineLevel="0" max="16384" min="2" style="1" width="11.57"/>
  </cols>
  <sheetData>
    <row r="5" customFormat="false" ht="15" hidden="false" customHeight="false" outlineLevel="0" collapsed="false">
      <c r="A5" s="16" t="s">
        <v>49</v>
      </c>
    </row>
    <row r="6" customFormat="false" ht="15" hidden="false" customHeight="false" outlineLevel="0" collapsed="false">
      <c r="A6" s="9" t="s">
        <v>50</v>
      </c>
      <c r="B6" s="20" t="n">
        <v>3.5</v>
      </c>
    </row>
    <row r="7" customFormat="false" ht="15" hidden="false" customHeight="false" outlineLevel="0" collapsed="false">
      <c r="A7" s="9" t="s">
        <v>51</v>
      </c>
      <c r="B7" s="20" t="n">
        <v>1.5</v>
      </c>
    </row>
    <row r="8" customFormat="false" ht="15" hidden="false" customHeight="false" outlineLevel="0" collapsed="false">
      <c r="A8" s="9" t="s">
        <v>52</v>
      </c>
      <c r="B8" s="20" t="n">
        <v>250</v>
      </c>
    </row>
    <row r="9" customFormat="false" ht="15" hidden="false" customHeight="false" outlineLevel="0" collapsed="false">
      <c r="A9" s="12" t="s">
        <v>53</v>
      </c>
      <c r="B9" s="20" t="n">
        <f aca="false">0.87*B8</f>
        <v>217.5</v>
      </c>
    </row>
    <row r="10" customFormat="false" ht="15" hidden="false" customHeight="false" outlineLevel="0" collapsed="false">
      <c r="A10" s="9" t="s">
        <v>54</v>
      </c>
      <c r="B10" s="21" t="n">
        <f aca="false">'Slab Design'!B13</f>
        <v>4.5</v>
      </c>
    </row>
    <row r="11" customFormat="false" ht="15" hidden="false" customHeight="false" outlineLevel="0" collapsed="false">
      <c r="A11" s="9" t="s">
        <v>55</v>
      </c>
      <c r="B11" s="21" t="n">
        <f aca="false">'Slab Design'!B12</f>
        <v>0.18</v>
      </c>
    </row>
    <row r="12" customFormat="false" ht="15.75" hidden="false" customHeight="false" outlineLevel="0" collapsed="false">
      <c r="A12" s="12" t="s">
        <v>56</v>
      </c>
      <c r="B12" s="20" t="n">
        <f aca="false">24000*B11*B10*B7/2/B9</f>
        <v>67.0344827586207</v>
      </c>
    </row>
    <row r="13" customFormat="false" ht="15.75" hidden="false" customHeight="false" outlineLevel="0" collapsed="false">
      <c r="A13" s="12" t="s">
        <v>57</v>
      </c>
      <c r="B13" s="20" t="n">
        <f aca="false">B12*B6</f>
        <v>234.620689655172</v>
      </c>
    </row>
    <row r="14" customFormat="false" ht="15" hidden="false" customHeight="false" outlineLevel="0" collapsed="false">
      <c r="A14" s="9" t="s">
        <v>58</v>
      </c>
      <c r="B14" s="20" t="n">
        <f aca="false">2*10^5</f>
        <v>200000</v>
      </c>
    </row>
    <row r="15" customFormat="false" ht="15.75" hidden="false" customHeight="false" outlineLevel="0" collapsed="false">
      <c r="A15" s="12" t="s">
        <v>59</v>
      </c>
      <c r="B15" s="20" t="n">
        <v>415000</v>
      </c>
    </row>
    <row r="16" customFormat="false" ht="15" hidden="false" customHeight="false" outlineLevel="0" collapsed="false">
      <c r="A16" s="9" t="s">
        <v>60</v>
      </c>
      <c r="B16" s="20" t="n">
        <v>20</v>
      </c>
    </row>
    <row r="17" customFormat="false" ht="15" hidden="false" customHeight="false" outlineLevel="0" collapsed="false">
      <c r="A17" s="13" t="s">
        <v>61</v>
      </c>
      <c r="B17" s="22" t="n">
        <v>25</v>
      </c>
    </row>
    <row r="18" customFormat="false" ht="15" hidden="false" customHeight="false" outlineLevel="0" collapsed="false">
      <c r="A18" s="13" t="s">
        <v>62</v>
      </c>
      <c r="B18" s="22" t="n">
        <v>250</v>
      </c>
    </row>
    <row r="19" customFormat="false" ht="15.75" hidden="false" customHeight="false" outlineLevel="0" collapsed="false">
      <c r="A19" s="12" t="s">
        <v>63</v>
      </c>
      <c r="B19" s="23" t="n">
        <f aca="false">(101.6-B17)*'Slab Design'!B11/95.25</f>
        <v>24.1259842519685</v>
      </c>
    </row>
    <row r="20" customFormat="false" ht="15" hidden="false" customHeight="false" outlineLevel="0" collapsed="false">
      <c r="A20" s="9" t="s">
        <v>64</v>
      </c>
      <c r="B20" s="23" t="n">
        <f aca="false">ROUNDDOWN(1+'Slab Design'!H11/B18,0)</f>
        <v>4</v>
      </c>
    </row>
    <row r="21" customFormat="false" ht="15" hidden="false" customHeight="false" outlineLevel="0" collapsed="false">
      <c r="A21" s="9" t="s">
        <v>65</v>
      </c>
      <c r="B21" s="23" t="n">
        <f aca="false">'Slab Design'!E12*0.5</f>
        <v>25</v>
      </c>
    </row>
    <row r="22" customFormat="false" ht="15" hidden="false" customHeight="false" outlineLevel="0" collapsed="false">
      <c r="A22" s="9" t="s">
        <v>66</v>
      </c>
      <c r="B22" s="23" t="n">
        <f aca="false">'Slab Design'!E12*0.5/(B20-B20*(B20-1)/'Slab Design'!H11/2*B18)</f>
        <v>10.3824011456964</v>
      </c>
    </row>
    <row r="23" customFormat="false" ht="15" hidden="false" customHeight="false" outlineLevel="0" collapsed="false">
      <c r="A23" s="12" t="s">
        <v>67</v>
      </c>
      <c r="B23" s="23" t="n">
        <f aca="false">PI()*B17^4/64</f>
        <v>19174.7598485705</v>
      </c>
    </row>
    <row r="24" customFormat="false" ht="15" hidden="false" customHeight="false" outlineLevel="0" collapsed="false">
      <c r="A24" s="12" t="s">
        <v>68</v>
      </c>
      <c r="B24" s="23" t="n">
        <f aca="false">(B15*B17/1000/4/B14/B23)^0.25</f>
        <v>0.028677550040286</v>
      </c>
    </row>
    <row r="25" customFormat="false" ht="15" hidden="false" customHeight="false" outlineLevel="0" collapsed="false">
      <c r="A25" s="9" t="s">
        <v>69</v>
      </c>
      <c r="B25" s="23" t="n">
        <f aca="false">B22*B15*(2+B24*B16)/(4*B24^3*B14*B23)</f>
        <v>30.6501512178074</v>
      </c>
    </row>
    <row r="26" customFormat="false" ht="18.75" hidden="false" customHeight="false" outlineLevel="0" collapsed="false">
      <c r="A26" s="9" t="s">
        <v>70</v>
      </c>
      <c r="B26" s="24" t="str">
        <f aca="false">IF(B25&lt;B19,"SAFE","UNSAFE")</f>
        <v>UNSAFE</v>
      </c>
    </row>
    <row r="27" customFormat="false" ht="15" hidden="false" customHeight="false" outlineLevel="0" collapsed="false">
      <c r="A27" s="9"/>
      <c r="B27" s="9"/>
    </row>
    <row r="28" customFormat="false" ht="15" hidden="false" customHeight="false" outlineLevel="0" collapsed="false">
      <c r="A28" s="9" t="s">
        <v>71</v>
      </c>
      <c r="B28" s="20" t="n">
        <v>14</v>
      </c>
    </row>
    <row r="29" customFormat="false" ht="15" hidden="false" customHeight="false" outlineLevel="0" collapsed="false">
      <c r="A29" s="12" t="s">
        <v>72</v>
      </c>
      <c r="B29" s="23" t="n">
        <f aca="false">B28*PI()*B17^2/4</f>
        <v>6872.23392972767</v>
      </c>
    </row>
    <row r="30" customFormat="false" ht="15" hidden="false" customHeight="false" outlineLevel="0" collapsed="false">
      <c r="A30" s="9" t="s">
        <v>73</v>
      </c>
      <c r="B30" s="23" t="n">
        <f aca="false">B6/B28*1000</f>
        <v>250</v>
      </c>
    </row>
    <row r="33" customFormat="false" ht="15" hidden="false" customHeight="false" outlineLevel="0" collapsed="false">
      <c r="A33" s="25" t="s">
        <v>74</v>
      </c>
      <c r="B33" s="25"/>
    </row>
    <row r="34" customFormat="false" ht="15" hidden="false" customHeight="false" outlineLevel="0" collapsed="false">
      <c r="A34" s="9" t="s">
        <v>75</v>
      </c>
      <c r="B34" s="9" t="n">
        <f aca="false">'Slab Design'!B12</f>
        <v>0.18</v>
      </c>
    </row>
    <row r="35" customFormat="false" ht="15" hidden="false" customHeight="false" outlineLevel="0" collapsed="false">
      <c r="A35" s="9" t="s">
        <v>76</v>
      </c>
      <c r="B35" s="9" t="n">
        <f aca="false">B6</f>
        <v>3.5</v>
      </c>
    </row>
    <row r="36" customFormat="false" ht="15" hidden="false" customHeight="false" outlineLevel="0" collapsed="false">
      <c r="A36" s="12" t="s">
        <v>77</v>
      </c>
      <c r="B36" s="9" t="n">
        <v>24</v>
      </c>
    </row>
    <row r="37" customFormat="false" ht="15" hidden="false" customHeight="false" outlineLevel="0" collapsed="false">
      <c r="A37" s="9" t="s">
        <v>51</v>
      </c>
      <c r="B37" s="9" t="n">
        <v>1.5</v>
      </c>
    </row>
    <row r="38" customFormat="false" ht="15" hidden="false" customHeight="false" outlineLevel="0" collapsed="false">
      <c r="A38" s="9" t="s">
        <v>78</v>
      </c>
      <c r="B38" s="9" t="n">
        <v>200</v>
      </c>
    </row>
    <row r="39" customFormat="false" ht="15" hidden="false" customHeight="false" outlineLevel="0" collapsed="false">
      <c r="A39" s="9" t="s">
        <v>79</v>
      </c>
      <c r="B39" s="9" t="n">
        <v>2.46</v>
      </c>
    </row>
    <row r="40" customFormat="false" ht="15" hidden="false" customHeight="false" outlineLevel="0" collapsed="false">
      <c r="A40" s="13" t="s">
        <v>80</v>
      </c>
      <c r="B40" s="13" t="n">
        <v>12</v>
      </c>
    </row>
    <row r="41" customFormat="false" ht="15" hidden="false" customHeight="false" outlineLevel="0" collapsed="false">
      <c r="A41" s="12" t="s">
        <v>81</v>
      </c>
      <c r="B41" s="9" t="n">
        <f aca="false">B35*B37*B34*B36*1000/B38</f>
        <v>113.4</v>
      </c>
    </row>
    <row r="42" customFormat="false" ht="15" hidden="false" customHeight="false" outlineLevel="0" collapsed="false">
      <c r="A42" s="9" t="s">
        <v>82</v>
      </c>
      <c r="B42" s="13" t="n">
        <f aca="false">1000*(PI()*B40^2/4)/(B41)</f>
        <v>997.331001139617</v>
      </c>
    </row>
    <row r="43" customFormat="false" ht="15" hidden="false" customHeight="false" outlineLevel="0" collapsed="false">
      <c r="A43" s="9" t="s">
        <v>83</v>
      </c>
      <c r="B43" s="13" t="n">
        <f aca="false">2*B38*(PI()/4*B40^2)/(B39*PI()*B40)+100+50</f>
        <v>637.80487804878</v>
      </c>
    </row>
  </sheetData>
  <conditionalFormatting sqref="B30">
    <cfRule type="cellIs" priority="2" operator="greaterThan" aboveAverage="0" equalAverage="0" bottom="0" percent="0" rank="0" text="" dxfId="0">
      <formula>300</formula>
    </cfRule>
  </conditionalFormatting>
  <conditionalFormatting sqref="B29">
    <cfRule type="cellIs" priority="3" operator="lessThan" aboveAverage="0" equalAverage="0" bottom="0" percent="0" rank="0" text="" dxfId="0">
      <formula>$B$13</formula>
    </cfRule>
  </conditionalFormatting>
  <dataValidations count="2">
    <dataValidation allowBlank="true" errorStyle="stop" operator="equal" showDropDown="false" showErrorMessage="true" showInputMessage="false" sqref="B8" type="list">
      <formula1>"250,415,500"</formula1>
      <formula2>0</formula2>
    </dataValidation>
    <dataValidation allowBlank="true" errorStyle="stop" operator="equal" showDropDown="false" showErrorMessage="true" showInputMessage="false" sqref="B17" type="list">
      <formula1>"6,8,12,16,20,25,30,32,36,38"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3" activeCellId="0" sqref="B13"/>
    </sheetView>
  </sheetViews>
  <sheetFormatPr defaultColWidth="11.5703125" defaultRowHeight="15" zeroHeight="false" outlineLevelRow="0" outlineLevelCol="0"/>
  <sheetData>
    <row r="1" customFormat="false" ht="15" hidden="false" customHeight="false" outlineLevel="0" collapsed="false">
      <c r="A1" s="0" t="s">
        <v>84</v>
      </c>
      <c r="B1" s="0" t="s">
        <v>85</v>
      </c>
    </row>
    <row r="2" customFormat="false" ht="15" hidden="false" customHeight="false" outlineLevel="0" collapsed="false">
      <c r="A2" s="0" t="n">
        <v>1</v>
      </c>
      <c r="B2" s="0" t="n">
        <v>0</v>
      </c>
    </row>
    <row r="3" customFormat="false" ht="15" hidden="false" customHeight="false" outlineLevel="0" collapsed="false">
      <c r="A3" s="0" t="n">
        <v>2</v>
      </c>
      <c r="B3" s="0" t="n">
        <v>0.04</v>
      </c>
    </row>
    <row r="4" customFormat="false" ht="15" hidden="false" customHeight="false" outlineLevel="0" collapsed="false">
      <c r="A4" s="0" t="n">
        <v>3</v>
      </c>
      <c r="B4" s="0" t="n">
        <v>0.175</v>
      </c>
    </row>
    <row r="5" customFormat="false" ht="15" hidden="false" customHeight="false" outlineLevel="0" collapsed="false">
      <c r="A5" s="0" t="n">
        <v>4</v>
      </c>
      <c r="B5" s="0" t="n">
        <v>0.44</v>
      </c>
    </row>
    <row r="6" customFormat="false" ht="15" hidden="false" customHeight="false" outlineLevel="0" collapsed="false">
      <c r="A6" s="0" t="n">
        <v>5</v>
      </c>
      <c r="B6" s="0" t="n">
        <v>0.72</v>
      </c>
    </row>
    <row r="7" customFormat="false" ht="15" hidden="false" customHeight="false" outlineLevel="0" collapsed="false">
      <c r="A7" s="0" t="n">
        <v>6</v>
      </c>
      <c r="B7" s="0" t="n">
        <v>0.92</v>
      </c>
    </row>
    <row r="8" customFormat="false" ht="15" hidden="false" customHeight="false" outlineLevel="0" collapsed="false">
      <c r="A8" s="0" t="n">
        <v>7</v>
      </c>
      <c r="B8" s="0" t="n">
        <v>1.03</v>
      </c>
    </row>
    <row r="9" customFormat="false" ht="15" hidden="false" customHeight="false" outlineLevel="0" collapsed="false">
      <c r="A9" s="0" t="n">
        <v>8</v>
      </c>
      <c r="B9" s="0" t="n">
        <v>1.077</v>
      </c>
    </row>
    <row r="10" customFormat="false" ht="15" hidden="false" customHeight="false" outlineLevel="0" collapsed="false">
      <c r="A10" s="0" t="n">
        <v>9</v>
      </c>
      <c r="B10" s="0" t="n">
        <v>1.08</v>
      </c>
    </row>
    <row r="11" customFormat="false" ht="15" hidden="false" customHeight="false" outlineLevel="0" collapsed="false">
      <c r="A11" s="0" t="n">
        <v>10</v>
      </c>
      <c r="B11" s="0" t="n">
        <v>1.075</v>
      </c>
    </row>
    <row r="12" customFormat="false" ht="15" hidden="false" customHeight="false" outlineLevel="0" collapsed="false">
      <c r="A12" s="0" t="n">
        <v>11</v>
      </c>
      <c r="B12" s="0" t="n">
        <v>1.05</v>
      </c>
    </row>
    <row r="13" customFormat="false" ht="15" hidden="false" customHeight="false" outlineLevel="0" collapsed="false">
      <c r="A13" s="0" t="n">
        <v>12</v>
      </c>
      <c r="B13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1016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2023-07-01T11:14:25Z</dcterms:created>
  <dc:creator/>
  <dc:description/>
  <dc:language>en-IN</dc:language>
  <cp:lastModifiedBy/>
  <dcterms:modified xsi:type="dcterms:W3CDTF">2023-07-04T18:11:41Z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ActionId">
    <vt:lpwstr>2028d9cf-afc1-4357-ba35-7d4e7417ae88</vt:lpwstr>
  </property>
  <property fmtid="{D5CDD505-2E9C-101B-9397-08002B2CF9AE}" pid="3" name="MSIP_Label_defa4170-0d19-0005-0004-bc88714345d2_ContentBits">
    <vt:lpwstr>0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etDate">
    <vt:lpwstr>2023-07-04T12:36:29Z</vt:lpwstr>
  </property>
  <property fmtid="{D5CDD505-2E9C-101B-9397-08002B2CF9AE}" pid="8" name="MSIP_Label_defa4170-0d19-0005-0004-bc88714345d2_SiteId">
    <vt:lpwstr>c0ccdaa1-8e9c-420d-a599-4195f82df8f2</vt:lpwstr>
  </property>
</Properties>
</file>