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0" windowWidth="15480" windowHeight="7890" firstSheet="6" activeTab="8"/>
  </bookViews>
  <sheets>
    <sheet name="R1_file" sheetId="1" r:id="rId1"/>
    <sheet name="R2_file" sheetId="6" r:id="rId2"/>
    <sheet name="R3_file" sheetId="14" r:id="rId3"/>
    <sheet name="Banner accts" sheetId="11" r:id="rId4"/>
    <sheet name="09-10_R1 YTD" sheetId="3" r:id="rId5"/>
    <sheet name="09-10 R2 approved" sheetId="7" r:id="rId6"/>
    <sheet name="10-11_R3 approved" sheetId="15" r:id="rId7"/>
    <sheet name="Projection" sheetId="10" r:id="rId8"/>
    <sheet name="Banner YTD" sheetId="5" r:id="rId9"/>
    <sheet name="Master_approved projects" sheetId="9" r:id="rId10"/>
  </sheets>
  <definedNames>
    <definedName name="_xlnm._FilterDatabase" localSheetId="3" hidden="1">'Banner accts'!$A$3:$Q$3</definedName>
    <definedName name="_xlnm._FilterDatabase" localSheetId="9" hidden="1">'Master_approved projects'!$AI$1:$AI$158</definedName>
    <definedName name="_xlnm._FilterDatabase" localSheetId="0" hidden="1">'R1_file'!$A$2:$N$45</definedName>
    <definedName name="_xlnm._FilterDatabase" localSheetId="1" hidden="1">'R2_file'!$M$1:$M$71</definedName>
    <definedName name="_xlnm.Print_Area" localSheetId="5">'09-10 R2 approved'!$A$1:$R$26</definedName>
    <definedName name="_xlnm.Print_Area" localSheetId="4">'09-10_R1 YTD'!$A$33:$L$58</definedName>
    <definedName name="_xlnm.Print_Area" localSheetId="3">'Banner accts'!$A$1:$P$78</definedName>
    <definedName name="_xlnm.Print_Area" localSheetId="8">'Banner YTD'!$A$1:$M$38</definedName>
    <definedName name="_xlnm.Print_Area" localSheetId="9">'Master_approved projects'!$A$5:$AI$124</definedName>
    <definedName name="_xlnm.Print_Area" localSheetId="7">Projection!$A$1:$H$25</definedName>
    <definedName name="_xlnm.Print_Area" localSheetId="1">'R2_file'!$A$1:$N$72</definedName>
    <definedName name="_xlnm.Print_Titles" localSheetId="9">'Master_approved projects'!$A:$R,'Master_approved projects'!$1:$4</definedName>
  </definedNames>
  <calcPr calcId="145621"/>
</workbook>
</file>

<file path=xl/calcChain.xml><?xml version="1.0" encoding="utf-8"?>
<calcChain xmlns="http://schemas.openxmlformats.org/spreadsheetml/2006/main">
  <c r="L26" i="5" l="1"/>
  <c r="L25" i="5"/>
  <c r="L24" i="5"/>
  <c r="AF33" i="9" l="1"/>
  <c r="AF66" i="9" s="1"/>
  <c r="AF103" i="9" s="1"/>
  <c r="AC8" i="9"/>
  <c r="AC28" i="9"/>
  <c r="AC25" i="9"/>
  <c r="AC106" i="9"/>
  <c r="AC105" i="9"/>
  <c r="AC104" i="9"/>
  <c r="AC102" i="9"/>
  <c r="AC101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1" i="9"/>
  <c r="AC70" i="9"/>
  <c r="AC69" i="9"/>
  <c r="AC68" i="9"/>
  <c r="AC67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6" i="9"/>
  <c r="AC45" i="9"/>
  <c r="AC44" i="9"/>
  <c r="AC42" i="9"/>
  <c r="AC41" i="9"/>
  <c r="AC40" i="9"/>
  <c r="AC39" i="9"/>
  <c r="AC38" i="9"/>
  <c r="AC37" i="9"/>
  <c r="AC36" i="9"/>
  <c r="AC35" i="9"/>
  <c r="AC34" i="9"/>
  <c r="AC7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6" i="9"/>
  <c r="AC27" i="9"/>
  <c r="AC29" i="9"/>
  <c r="AC30" i="9"/>
  <c r="AC31" i="9"/>
  <c r="AC32" i="9"/>
  <c r="AC6" i="9"/>
  <c r="AC5" i="9"/>
  <c r="Z110" i="9"/>
  <c r="AF107" i="9" l="1"/>
  <c r="K33" i="9"/>
  <c r="K66" i="9" s="1"/>
  <c r="Y33" i="9"/>
  <c r="Y66" i="9" s="1"/>
  <c r="Y103" i="9" s="1"/>
  <c r="Z109" i="9"/>
  <c r="Y107" i="9" l="1"/>
  <c r="L30" i="5"/>
  <c r="K30" i="5"/>
  <c r="L19" i="5"/>
  <c r="L35" i="5" s="1"/>
  <c r="K19" i="5"/>
  <c r="L31" i="5" l="1"/>
  <c r="M19" i="5"/>
  <c r="G20" i="10" l="1"/>
  <c r="G13" i="10"/>
  <c r="G14" i="10"/>
  <c r="G17" i="10"/>
  <c r="G18" i="10"/>
  <c r="G19" i="10"/>
  <c r="AA33" i="9"/>
  <c r="U106" i="9"/>
  <c r="U105" i="9"/>
  <c r="U104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AA66" i="9" l="1"/>
  <c r="AA103" i="9" s="1"/>
  <c r="AD106" i="9"/>
  <c r="AH106" i="9" s="1"/>
  <c r="AD105" i="9"/>
  <c r="AD104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9" i="9"/>
  <c r="N106" i="9"/>
  <c r="O106" i="9" s="1"/>
  <c r="Q106" i="9" s="1"/>
  <c r="N105" i="9"/>
  <c r="O105" i="9" s="1"/>
  <c r="Q105" i="9" s="1"/>
  <c r="N104" i="9"/>
  <c r="O104" i="9" s="1"/>
  <c r="N102" i="9"/>
  <c r="O102" i="9" s="1"/>
  <c r="Q102" i="9" s="1"/>
  <c r="N101" i="9"/>
  <c r="O101" i="9" s="1"/>
  <c r="Q101" i="9" s="1"/>
  <c r="N100" i="9"/>
  <c r="O100" i="9" s="1"/>
  <c r="Q100" i="9" s="1"/>
  <c r="N99" i="9"/>
  <c r="O99" i="9" s="1"/>
  <c r="Q99" i="9" s="1"/>
  <c r="N98" i="9"/>
  <c r="O98" i="9" s="1"/>
  <c r="Q98" i="9" s="1"/>
  <c r="N97" i="9"/>
  <c r="O97" i="9" s="1"/>
  <c r="Q97" i="9" s="1"/>
  <c r="N96" i="9"/>
  <c r="O96" i="9" s="1"/>
  <c r="Q96" i="9" s="1"/>
  <c r="N95" i="9"/>
  <c r="O95" i="9" s="1"/>
  <c r="Q95" i="9" s="1"/>
  <c r="N94" i="9"/>
  <c r="O94" i="9" s="1"/>
  <c r="Q94" i="9" s="1"/>
  <c r="N93" i="9"/>
  <c r="O93" i="9" s="1"/>
  <c r="Q93" i="9" s="1"/>
  <c r="N92" i="9"/>
  <c r="O92" i="9" s="1"/>
  <c r="Q92" i="9" s="1"/>
  <c r="N91" i="9"/>
  <c r="O91" i="9" s="1"/>
  <c r="Q91" i="9" s="1"/>
  <c r="N90" i="9"/>
  <c r="O90" i="9" s="1"/>
  <c r="Q90" i="9" s="1"/>
  <c r="N89" i="9"/>
  <c r="O89" i="9" s="1"/>
  <c r="Q89" i="9" s="1"/>
  <c r="N88" i="9"/>
  <c r="O88" i="9" s="1"/>
  <c r="Q88" i="9" s="1"/>
  <c r="N87" i="9"/>
  <c r="O87" i="9" s="1"/>
  <c r="Q87" i="9" s="1"/>
  <c r="N86" i="9"/>
  <c r="O86" i="9" s="1"/>
  <c r="Q86" i="9" s="1"/>
  <c r="N85" i="9"/>
  <c r="O85" i="9" s="1"/>
  <c r="Q85" i="9" s="1"/>
  <c r="N84" i="9"/>
  <c r="O84" i="9" s="1"/>
  <c r="Q84" i="9" s="1"/>
  <c r="N83" i="9"/>
  <c r="O83" i="9" s="1"/>
  <c r="Q83" i="9" s="1"/>
  <c r="N82" i="9"/>
  <c r="O82" i="9" s="1"/>
  <c r="Q82" i="9" s="1"/>
  <c r="N81" i="9"/>
  <c r="O81" i="9" s="1"/>
  <c r="Q81" i="9" s="1"/>
  <c r="N80" i="9"/>
  <c r="O80" i="9" s="1"/>
  <c r="Q80" i="9" s="1"/>
  <c r="N79" i="9"/>
  <c r="O79" i="9" s="1"/>
  <c r="Q79" i="9" s="1"/>
  <c r="N78" i="9"/>
  <c r="O78" i="9" s="1"/>
  <c r="Q78" i="9" s="1"/>
  <c r="N77" i="9"/>
  <c r="O77" i="9" s="1"/>
  <c r="Q77" i="9" s="1"/>
  <c r="N76" i="9"/>
  <c r="O76" i="9" s="1"/>
  <c r="Q76" i="9" s="1"/>
  <c r="N75" i="9"/>
  <c r="O75" i="9" s="1"/>
  <c r="Q75" i="9" s="1"/>
  <c r="N74" i="9"/>
  <c r="O74" i="9" s="1"/>
  <c r="Q74" i="9" s="1"/>
  <c r="N73" i="9"/>
  <c r="O73" i="9" s="1"/>
  <c r="Q73" i="9" s="1"/>
  <c r="N72" i="9"/>
  <c r="O72" i="9" s="1"/>
  <c r="Q72" i="9" s="1"/>
  <c r="N71" i="9"/>
  <c r="O71" i="9" s="1"/>
  <c r="Q71" i="9" s="1"/>
  <c r="N70" i="9"/>
  <c r="O70" i="9" s="1"/>
  <c r="Q70" i="9" s="1"/>
  <c r="N69" i="9"/>
  <c r="O69" i="9" s="1"/>
  <c r="Q69" i="9" s="1"/>
  <c r="N68" i="9"/>
  <c r="O68" i="9" s="1"/>
  <c r="Q68" i="9" s="1"/>
  <c r="N67" i="9"/>
  <c r="O67" i="9" s="1"/>
  <c r="Q67" i="9" s="1"/>
  <c r="AA107" i="9" l="1"/>
  <c r="W106" i="9"/>
  <c r="X106" i="9" s="1"/>
  <c r="Z106" i="9" s="1"/>
  <c r="AB106" i="9" s="1"/>
  <c r="L106" i="9"/>
  <c r="W105" i="9"/>
  <c r="X105" i="9" s="1"/>
  <c r="Z105" i="9" s="1"/>
  <c r="AB105" i="9" s="1"/>
  <c r="W104" i="9"/>
  <c r="X104" i="9" s="1"/>
  <c r="Z104" i="9" s="1"/>
  <c r="AB104" i="9" s="1"/>
  <c r="AH105" i="9"/>
  <c r="AH104" i="9"/>
  <c r="L105" i="9"/>
  <c r="L104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7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6" i="9"/>
  <c r="L45" i="9"/>
  <c r="L44" i="9"/>
  <c r="L42" i="9"/>
  <c r="L41" i="9"/>
  <c r="L40" i="9"/>
  <c r="L39" i="9"/>
  <c r="L38" i="9"/>
  <c r="L37" i="9"/>
  <c r="L36" i="9"/>
  <c r="L35" i="9"/>
  <c r="L34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W102" i="9"/>
  <c r="X102" i="9" s="1"/>
  <c r="AH102" i="9"/>
  <c r="K103" i="9"/>
  <c r="K107" i="9" s="1"/>
  <c r="Z102" i="9" l="1"/>
  <c r="AB102" i="9" s="1"/>
  <c r="F16" i="10"/>
  <c r="AI102" i="9"/>
  <c r="AD51" i="9"/>
  <c r="H69" i="14" l="1"/>
  <c r="G64" i="14"/>
  <c r="F64" i="14"/>
  <c r="E64" i="14"/>
  <c r="G63" i="14"/>
  <c r="F63" i="14"/>
  <c r="E63" i="14"/>
  <c r="G62" i="14"/>
  <c r="G65" i="14" s="1"/>
  <c r="F62" i="14"/>
  <c r="E62" i="14"/>
  <c r="G61" i="14"/>
  <c r="F61" i="14"/>
  <c r="E61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E39" i="15"/>
  <c r="E41" i="15" s="1"/>
  <c r="G38" i="15"/>
  <c r="F38" i="15"/>
  <c r="E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63" i="14" l="1"/>
  <c r="H64" i="14"/>
  <c r="E65" i="14"/>
  <c r="H38" i="15"/>
  <c r="H62" i="14"/>
  <c r="E66" i="14"/>
  <c r="F65" i="14"/>
  <c r="F66" i="14" s="1"/>
  <c r="G66" i="14"/>
  <c r="H65" i="14"/>
  <c r="H61" i="14"/>
  <c r="H66" i="14" s="1"/>
  <c r="G23" i="5" l="1"/>
  <c r="G25" i="5"/>
  <c r="D16" i="10" l="1"/>
  <c r="G16" i="10" s="1"/>
  <c r="W72" i="9"/>
  <c r="I72" i="9"/>
  <c r="J72" i="9"/>
  <c r="AC72" i="9" l="1"/>
  <c r="L72" i="9"/>
  <c r="D37" i="5"/>
  <c r="H34" i="5" s="1"/>
  <c r="W99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W101" i="9" l="1"/>
  <c r="X101" i="9" s="1"/>
  <c r="Z101" i="9" s="1"/>
  <c r="W100" i="9"/>
  <c r="X100" i="9" s="1"/>
  <c r="Z100" i="9" s="1"/>
  <c r="X99" i="9"/>
  <c r="W98" i="9"/>
  <c r="X98" i="9" s="1"/>
  <c r="Z98" i="9" s="1"/>
  <c r="W97" i="9"/>
  <c r="X97" i="9" s="1"/>
  <c r="Z97" i="9" s="1"/>
  <c r="W96" i="9"/>
  <c r="X96" i="9" s="1"/>
  <c r="Z96" i="9" s="1"/>
  <c r="W95" i="9"/>
  <c r="X95" i="9" s="1"/>
  <c r="Z95" i="9" s="1"/>
  <c r="W94" i="9"/>
  <c r="X94" i="9" s="1"/>
  <c r="Z94" i="9" s="1"/>
  <c r="W93" i="9"/>
  <c r="X93" i="9" s="1"/>
  <c r="Z93" i="9" s="1"/>
  <c r="W92" i="9"/>
  <c r="X92" i="9" s="1"/>
  <c r="Z92" i="9" s="1"/>
  <c r="W91" i="9"/>
  <c r="X91" i="9" s="1"/>
  <c r="Z91" i="9" s="1"/>
  <c r="W90" i="9"/>
  <c r="X90" i="9" s="1"/>
  <c r="Z90" i="9" s="1"/>
  <c r="W89" i="9"/>
  <c r="X89" i="9" s="1"/>
  <c r="Z89" i="9" s="1"/>
  <c r="W88" i="9"/>
  <c r="X88" i="9" s="1"/>
  <c r="Z88" i="9" s="1"/>
  <c r="W87" i="9"/>
  <c r="X87" i="9" s="1"/>
  <c r="Z87" i="9" s="1"/>
  <c r="W86" i="9"/>
  <c r="X86" i="9" s="1"/>
  <c r="Z86" i="9" s="1"/>
  <c r="W85" i="9"/>
  <c r="X85" i="9" s="1"/>
  <c r="Z85" i="9" s="1"/>
  <c r="W84" i="9"/>
  <c r="X84" i="9" s="1"/>
  <c r="Z84" i="9" s="1"/>
  <c r="W83" i="9"/>
  <c r="X83" i="9" s="1"/>
  <c r="Z83" i="9" s="1"/>
  <c r="W82" i="9"/>
  <c r="W81" i="9"/>
  <c r="X81" i="9" s="1"/>
  <c r="Z81" i="9" s="1"/>
  <c r="W80" i="9"/>
  <c r="X80" i="9" s="1"/>
  <c r="Z80" i="9" s="1"/>
  <c r="W79" i="9"/>
  <c r="X79" i="9" s="1"/>
  <c r="Z79" i="9" s="1"/>
  <c r="W78" i="9"/>
  <c r="X78" i="9" s="1"/>
  <c r="W77" i="9"/>
  <c r="X77" i="9" s="1"/>
  <c r="Z77" i="9" s="1"/>
  <c r="W76" i="9"/>
  <c r="X76" i="9" s="1"/>
  <c r="Z76" i="9" s="1"/>
  <c r="W75" i="9"/>
  <c r="X75" i="9" s="1"/>
  <c r="W74" i="9"/>
  <c r="X74" i="9" s="1"/>
  <c r="Z74" i="9" s="1"/>
  <c r="W73" i="9"/>
  <c r="X73" i="9" s="1"/>
  <c r="Z73" i="9" s="1"/>
  <c r="X72" i="9"/>
  <c r="Z72" i="9" s="1"/>
  <c r="W71" i="9"/>
  <c r="X71" i="9" s="1"/>
  <c r="Z71" i="9" s="1"/>
  <c r="W70" i="9"/>
  <c r="X70" i="9" s="1"/>
  <c r="Z70" i="9" s="1"/>
  <c r="W69" i="9"/>
  <c r="X69" i="9" s="1"/>
  <c r="Z69" i="9" s="1"/>
  <c r="W68" i="9"/>
  <c r="X68" i="9" s="1"/>
  <c r="Z68" i="9" s="1"/>
  <c r="W67" i="9"/>
  <c r="Z99" i="9" l="1"/>
  <c r="AB99" i="9" s="1"/>
  <c r="AI70" i="9"/>
  <c r="AB70" i="9"/>
  <c r="AI74" i="9"/>
  <c r="AB74" i="9"/>
  <c r="AI78" i="9"/>
  <c r="AI86" i="9"/>
  <c r="AB86" i="9"/>
  <c r="AI90" i="9"/>
  <c r="AB90" i="9"/>
  <c r="AI94" i="9"/>
  <c r="AB94" i="9"/>
  <c r="AI98" i="9"/>
  <c r="AB98" i="9"/>
  <c r="AI71" i="9"/>
  <c r="AB71" i="9"/>
  <c r="AI75" i="9"/>
  <c r="AI79" i="9"/>
  <c r="AB79" i="9"/>
  <c r="AI83" i="9"/>
  <c r="AB83" i="9"/>
  <c r="AI87" i="9"/>
  <c r="AB87" i="9"/>
  <c r="AI91" i="9"/>
  <c r="AB91" i="9"/>
  <c r="AI95" i="9"/>
  <c r="AB95" i="9"/>
  <c r="AI68" i="9"/>
  <c r="AB68" i="9"/>
  <c r="AI72" i="9"/>
  <c r="AB72" i="9"/>
  <c r="AI76" i="9"/>
  <c r="AB76" i="9"/>
  <c r="AI80" i="9"/>
  <c r="AB80" i="9"/>
  <c r="AI84" i="9"/>
  <c r="AB84" i="9"/>
  <c r="AI88" i="9"/>
  <c r="AB88" i="9"/>
  <c r="AI92" i="9"/>
  <c r="AB92" i="9"/>
  <c r="AI96" i="9"/>
  <c r="AB96" i="9"/>
  <c r="AI100" i="9"/>
  <c r="AB100" i="9"/>
  <c r="AI69" i="9"/>
  <c r="AB69" i="9"/>
  <c r="AI73" i="9"/>
  <c r="AB73" i="9"/>
  <c r="AI77" i="9"/>
  <c r="AB77" i="9"/>
  <c r="AI81" i="9"/>
  <c r="AB81" i="9"/>
  <c r="AI85" i="9"/>
  <c r="AB85" i="9"/>
  <c r="AI89" i="9"/>
  <c r="AB89" i="9"/>
  <c r="AI93" i="9"/>
  <c r="AB93" i="9"/>
  <c r="AI97" i="9"/>
  <c r="AB97" i="9"/>
  <c r="AI101" i="9"/>
  <c r="AB101" i="9"/>
  <c r="X82" i="9"/>
  <c r="Z82" i="9" s="1"/>
  <c r="W66" i="9"/>
  <c r="W103" i="9" s="1"/>
  <c r="X67" i="9"/>
  <c r="Z67" i="9" s="1"/>
  <c r="AB67" i="9" l="1"/>
  <c r="AI82" i="9"/>
  <c r="AB82" i="9"/>
  <c r="W107" i="9"/>
  <c r="Q122" i="9" s="1"/>
  <c r="AD65" i="9"/>
  <c r="AH65" i="9" s="1"/>
  <c r="AD64" i="9"/>
  <c r="AH64" i="9" s="1"/>
  <c r="AD63" i="9"/>
  <c r="AH63" i="9" s="1"/>
  <c r="AD62" i="9"/>
  <c r="AH62" i="9" s="1"/>
  <c r="AD61" i="9"/>
  <c r="AH61" i="9" s="1"/>
  <c r="AD60" i="9"/>
  <c r="AH60" i="9" s="1"/>
  <c r="AD59" i="9"/>
  <c r="AH59" i="9" s="1"/>
  <c r="AD58" i="9"/>
  <c r="AH58" i="9" s="1"/>
  <c r="AD57" i="9"/>
  <c r="AH57" i="9" s="1"/>
  <c r="AD56" i="9"/>
  <c r="AH56" i="9" s="1"/>
  <c r="AD55" i="9"/>
  <c r="AH55" i="9" s="1"/>
  <c r="AD54" i="9"/>
  <c r="AD53" i="9"/>
  <c r="AH53" i="9" s="1"/>
  <c r="AD52" i="9"/>
  <c r="AH52" i="9" s="1"/>
  <c r="AH51" i="9"/>
  <c r="AD50" i="9"/>
  <c r="AH50" i="9" s="1"/>
  <c r="AD49" i="9"/>
  <c r="AH49" i="9" s="1"/>
  <c r="AD48" i="9"/>
  <c r="AH48" i="9" s="1"/>
  <c r="AD47" i="9"/>
  <c r="AH47" i="9" s="1"/>
  <c r="AD46" i="9"/>
  <c r="AH46" i="9" s="1"/>
  <c r="AD45" i="9"/>
  <c r="AH45" i="9" s="1"/>
  <c r="AD44" i="9"/>
  <c r="AH44" i="9" s="1"/>
  <c r="AD43" i="9"/>
  <c r="AH43" i="9" s="1"/>
  <c r="AD42" i="9"/>
  <c r="AH42" i="9" s="1"/>
  <c r="AD41" i="9"/>
  <c r="AH41" i="9" s="1"/>
  <c r="AD40" i="9"/>
  <c r="AH40" i="9" s="1"/>
  <c r="AD39" i="9"/>
  <c r="AH39" i="9" s="1"/>
  <c r="AD38" i="9"/>
  <c r="AH38" i="9" s="1"/>
  <c r="AD37" i="9"/>
  <c r="AH37" i="9" s="1"/>
  <c r="AD36" i="9"/>
  <c r="AH36" i="9" s="1"/>
  <c r="AD35" i="9"/>
  <c r="AH35" i="9" s="1"/>
  <c r="AD34" i="9"/>
  <c r="AH34" i="9" s="1"/>
  <c r="AD6" i="9"/>
  <c r="AH6" i="9" s="1"/>
  <c r="AD7" i="9"/>
  <c r="AH7" i="9" s="1"/>
  <c r="AD8" i="9"/>
  <c r="AH8" i="9" s="1"/>
  <c r="AH9" i="9"/>
  <c r="AD10" i="9"/>
  <c r="AH10" i="9" s="1"/>
  <c r="AD11" i="9"/>
  <c r="AH11" i="9" s="1"/>
  <c r="AD12" i="9"/>
  <c r="AH12" i="9" s="1"/>
  <c r="AD13" i="9"/>
  <c r="AH13" i="9" s="1"/>
  <c r="AD14" i="9"/>
  <c r="AH14" i="9" s="1"/>
  <c r="AD15" i="9"/>
  <c r="AH15" i="9" s="1"/>
  <c r="AD16" i="9"/>
  <c r="AH16" i="9" s="1"/>
  <c r="AD17" i="9"/>
  <c r="AH17" i="9" s="1"/>
  <c r="AD18" i="9"/>
  <c r="AD19" i="9"/>
  <c r="AH19" i="9" s="1"/>
  <c r="AD20" i="9"/>
  <c r="AH20" i="9" s="1"/>
  <c r="AD21" i="9"/>
  <c r="AH21" i="9" s="1"/>
  <c r="AD22" i="9"/>
  <c r="AH22" i="9" s="1"/>
  <c r="AD23" i="9"/>
  <c r="AH23" i="9" s="1"/>
  <c r="AD24" i="9"/>
  <c r="AH24" i="9" s="1"/>
  <c r="AD25" i="9"/>
  <c r="AH25" i="9" s="1"/>
  <c r="AD26" i="9"/>
  <c r="AH26" i="9" s="1"/>
  <c r="AD27" i="9"/>
  <c r="AH27" i="9" s="1"/>
  <c r="AD28" i="9"/>
  <c r="AH28" i="9" s="1"/>
  <c r="AD29" i="9"/>
  <c r="AH29" i="9" s="1"/>
  <c r="AD30" i="9"/>
  <c r="AH30" i="9" s="1"/>
  <c r="AD31" i="9"/>
  <c r="AH31" i="9" s="1"/>
  <c r="AD32" i="9"/>
  <c r="AH32" i="9" s="1"/>
  <c r="AD5" i="9"/>
  <c r="AH5" i="9" s="1"/>
  <c r="AI28" i="9" l="1"/>
  <c r="AH54" i="9"/>
  <c r="AI54" i="9" s="1"/>
  <c r="AI67" i="9"/>
  <c r="AH18" i="9"/>
  <c r="AI22" i="9"/>
  <c r="AI10" i="9"/>
  <c r="AI6" i="9"/>
  <c r="AI32" i="9"/>
  <c r="AI24" i="9"/>
  <c r="AI20" i="9"/>
  <c r="AI16" i="9"/>
  <c r="AI12" i="9"/>
  <c r="AI27" i="9"/>
  <c r="AI23" i="9"/>
  <c r="AI19" i="9"/>
  <c r="AI15" i="9"/>
  <c r="AI11" i="9"/>
  <c r="AI30" i="9"/>
  <c r="AI14" i="9"/>
  <c r="AI35" i="9"/>
  <c r="AI39" i="9"/>
  <c r="AI51" i="9"/>
  <c r="AI55" i="9"/>
  <c r="AI59" i="9"/>
  <c r="AI63" i="9"/>
  <c r="AI26" i="9"/>
  <c r="AI31" i="9"/>
  <c r="AI7" i="9"/>
  <c r="AI37" i="9"/>
  <c r="AI41" i="9"/>
  <c r="AI45" i="9"/>
  <c r="AI49" i="9"/>
  <c r="AI53" i="9"/>
  <c r="AI57" i="9"/>
  <c r="AI61" i="9"/>
  <c r="AI65" i="9"/>
  <c r="AI5" i="9"/>
  <c r="AI29" i="9"/>
  <c r="AI25" i="9"/>
  <c r="AI21" i="9"/>
  <c r="AI17" i="9"/>
  <c r="AI13" i="9"/>
  <c r="AI9" i="9"/>
  <c r="AI36" i="9"/>
  <c r="AI40" i="9"/>
  <c r="AI44" i="9"/>
  <c r="AI52" i="9"/>
  <c r="AI56" i="9"/>
  <c r="AI60" i="9"/>
  <c r="AI64" i="9"/>
  <c r="AI34" i="9"/>
  <c r="AI42" i="9"/>
  <c r="AI50" i="9"/>
  <c r="AI58" i="9"/>
  <c r="AI8" i="9"/>
  <c r="AD33" i="9"/>
  <c r="AD66" i="9" s="1"/>
  <c r="AI38" i="9"/>
  <c r="AI46" i="9"/>
  <c r="AI62" i="9"/>
  <c r="AG33" i="9"/>
  <c r="AE33" i="9"/>
  <c r="O75" i="11"/>
  <c r="N75" i="11"/>
  <c r="M75" i="11"/>
  <c r="O73" i="11"/>
  <c r="N73" i="11"/>
  <c r="M73" i="11"/>
  <c r="O70" i="11"/>
  <c r="N70" i="11"/>
  <c r="M70" i="11"/>
  <c r="O59" i="11"/>
  <c r="N59" i="11"/>
  <c r="M59" i="11"/>
  <c r="O54" i="11"/>
  <c r="N54" i="11"/>
  <c r="M54" i="11"/>
  <c r="O52" i="11"/>
  <c r="N52" i="11"/>
  <c r="M52" i="11"/>
  <c r="O50" i="11"/>
  <c r="N50" i="11"/>
  <c r="M50" i="11"/>
  <c r="O40" i="11"/>
  <c r="N40" i="11"/>
  <c r="M40" i="11"/>
  <c r="O38" i="11"/>
  <c r="N38" i="11"/>
  <c r="M38" i="11"/>
  <c r="O33" i="11"/>
  <c r="N33" i="11"/>
  <c r="M33" i="11"/>
  <c r="O21" i="11"/>
  <c r="N21" i="11"/>
  <c r="M21" i="11"/>
  <c r="O15" i="11"/>
  <c r="N15" i="11"/>
  <c r="M15" i="11"/>
  <c r="P69" i="11"/>
  <c r="P74" i="11"/>
  <c r="P75" i="11" s="1"/>
  <c r="P53" i="11"/>
  <c r="P54" i="11" s="1"/>
  <c r="P14" i="11"/>
  <c r="P13" i="11"/>
  <c r="P12" i="11"/>
  <c r="P11" i="11"/>
  <c r="P10" i="11"/>
  <c r="P9" i="11"/>
  <c r="P8" i="11"/>
  <c r="P7" i="11"/>
  <c r="P6" i="11"/>
  <c r="P5" i="11"/>
  <c r="P4" i="11"/>
  <c r="P20" i="11"/>
  <c r="P19" i="11"/>
  <c r="P18" i="11"/>
  <c r="P17" i="11"/>
  <c r="P16" i="11"/>
  <c r="P39" i="11"/>
  <c r="P40" i="11" s="1"/>
  <c r="P37" i="11"/>
  <c r="P76" i="11"/>
  <c r="P36" i="11"/>
  <c r="P35" i="11"/>
  <c r="P34" i="11"/>
  <c r="P32" i="11"/>
  <c r="P31" i="11"/>
  <c r="P30" i="11"/>
  <c r="P29" i="11"/>
  <c r="P28" i="11"/>
  <c r="P27" i="11"/>
  <c r="P26" i="11"/>
  <c r="P25" i="11"/>
  <c r="P24" i="11"/>
  <c r="P23" i="11"/>
  <c r="P22" i="11"/>
  <c r="P51" i="11"/>
  <c r="P52" i="11" s="1"/>
  <c r="P49" i="11"/>
  <c r="P48" i="11"/>
  <c r="P45" i="11"/>
  <c r="P47" i="11"/>
  <c r="P46" i="11"/>
  <c r="P44" i="11"/>
  <c r="P43" i="11"/>
  <c r="P42" i="11"/>
  <c r="P41" i="11"/>
  <c r="P68" i="11"/>
  <c r="P67" i="11"/>
  <c r="P66" i="11"/>
  <c r="P58" i="11"/>
  <c r="P65" i="11"/>
  <c r="P64" i="11"/>
  <c r="P63" i="11"/>
  <c r="P62" i="11"/>
  <c r="P61" i="11"/>
  <c r="P60" i="11"/>
  <c r="P72" i="11"/>
  <c r="P71" i="11"/>
  <c r="P57" i="11"/>
  <c r="P56" i="11"/>
  <c r="P55" i="11"/>
  <c r="F21" i="10"/>
  <c r="F23" i="10" s="1"/>
  <c r="AI18" i="9" l="1"/>
  <c r="AD103" i="9"/>
  <c r="AD107" i="9" s="1"/>
  <c r="AG66" i="9"/>
  <c r="AE66" i="9"/>
  <c r="P73" i="11"/>
  <c r="P50" i="11"/>
  <c r="P33" i="11"/>
  <c r="P15" i="11"/>
  <c r="P70" i="11"/>
  <c r="P21" i="11"/>
  <c r="M77" i="11"/>
  <c r="N77" i="11"/>
  <c r="P59" i="11"/>
  <c r="P38" i="11"/>
  <c r="AH33" i="9"/>
  <c r="O77" i="11"/>
  <c r="V6" i="9"/>
  <c r="V7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6" i="9"/>
  <c r="V27" i="9"/>
  <c r="V29" i="9"/>
  <c r="V30" i="9"/>
  <c r="V31" i="9"/>
  <c r="V32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5" i="9"/>
  <c r="AE103" i="9" l="1"/>
  <c r="AE107" i="9" s="1"/>
  <c r="AG103" i="9"/>
  <c r="AG107" i="9" s="1"/>
  <c r="AH66" i="9"/>
  <c r="AH103" i="9" s="1"/>
  <c r="P77" i="11"/>
  <c r="H19" i="5"/>
  <c r="G19" i="5"/>
  <c r="G30" i="5"/>
  <c r="S65" i="9"/>
  <c r="U65" i="9" s="1"/>
  <c r="X65" i="9" s="1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R33" i="9"/>
  <c r="R66" i="9" s="1"/>
  <c r="P33" i="9"/>
  <c r="N65" i="9"/>
  <c r="O65" i="9" s="1"/>
  <c r="Q65" i="9" s="1"/>
  <c r="N64" i="9"/>
  <c r="O64" i="9" s="1"/>
  <c r="Q64" i="9" s="1"/>
  <c r="N63" i="9"/>
  <c r="O63" i="9" s="1"/>
  <c r="Q63" i="9" s="1"/>
  <c r="N62" i="9"/>
  <c r="O62" i="9" s="1"/>
  <c r="Q62" i="9" s="1"/>
  <c r="N61" i="9"/>
  <c r="O61" i="9" s="1"/>
  <c r="Q61" i="9" s="1"/>
  <c r="N60" i="9"/>
  <c r="O60" i="9" s="1"/>
  <c r="Q60" i="9" s="1"/>
  <c r="N59" i="9"/>
  <c r="O59" i="9" s="1"/>
  <c r="Q59" i="9" s="1"/>
  <c r="N58" i="9"/>
  <c r="O58" i="9" s="1"/>
  <c r="Q58" i="9" s="1"/>
  <c r="N57" i="9"/>
  <c r="O57" i="9" s="1"/>
  <c r="Q57" i="9" s="1"/>
  <c r="N56" i="9"/>
  <c r="O56" i="9" s="1"/>
  <c r="Q56" i="9" s="1"/>
  <c r="N55" i="9"/>
  <c r="O55" i="9" s="1"/>
  <c r="Q55" i="9" s="1"/>
  <c r="N54" i="9"/>
  <c r="N53" i="9"/>
  <c r="O53" i="9" s="1"/>
  <c r="Q53" i="9" s="1"/>
  <c r="N52" i="9"/>
  <c r="O52" i="9" s="1"/>
  <c r="Q52" i="9" s="1"/>
  <c r="N51" i="9"/>
  <c r="O51" i="9" s="1"/>
  <c r="Q51" i="9" s="1"/>
  <c r="N50" i="9"/>
  <c r="O50" i="9" s="1"/>
  <c r="Q50" i="9" s="1"/>
  <c r="N49" i="9"/>
  <c r="O49" i="9" s="1"/>
  <c r="Q49" i="9" s="1"/>
  <c r="N48" i="9"/>
  <c r="O48" i="9" s="1"/>
  <c r="Q48" i="9" s="1"/>
  <c r="N46" i="9"/>
  <c r="O46" i="9" s="1"/>
  <c r="Q46" i="9" s="1"/>
  <c r="N45" i="9"/>
  <c r="O45" i="9" s="1"/>
  <c r="N44" i="9"/>
  <c r="O44" i="9" s="1"/>
  <c r="Q44" i="9" s="1"/>
  <c r="N42" i="9"/>
  <c r="O42" i="9" s="1"/>
  <c r="Q42" i="9" s="1"/>
  <c r="N41" i="9"/>
  <c r="O41" i="9" s="1"/>
  <c r="Q41" i="9" s="1"/>
  <c r="N40" i="9"/>
  <c r="O40" i="9" s="1"/>
  <c r="Q40" i="9" s="1"/>
  <c r="N39" i="9"/>
  <c r="O39" i="9" s="1"/>
  <c r="Q39" i="9" s="1"/>
  <c r="N38" i="9"/>
  <c r="O38" i="9" s="1"/>
  <c r="Q38" i="9" s="1"/>
  <c r="N37" i="9"/>
  <c r="O37" i="9" s="1"/>
  <c r="Q37" i="9" s="1"/>
  <c r="N36" i="9"/>
  <c r="O36" i="9" s="1"/>
  <c r="N35" i="9"/>
  <c r="O35" i="9" s="1"/>
  <c r="Q35" i="9" s="1"/>
  <c r="N34" i="9"/>
  <c r="O34" i="9" s="1"/>
  <c r="N6" i="9"/>
  <c r="O6" i="9" s="1"/>
  <c r="T6" i="9" s="1"/>
  <c r="U6" i="9" s="1"/>
  <c r="Z6" i="9" s="1"/>
  <c r="N7" i="9"/>
  <c r="O7" i="9" s="1"/>
  <c r="Q7" i="9" s="1"/>
  <c r="N8" i="9"/>
  <c r="O8" i="9" s="1"/>
  <c r="Q8" i="9" s="1"/>
  <c r="N9" i="9"/>
  <c r="O9" i="9" s="1"/>
  <c r="Q9" i="9" s="1"/>
  <c r="N10" i="9"/>
  <c r="O10" i="9" s="1"/>
  <c r="Q10" i="9" s="1"/>
  <c r="N11" i="9"/>
  <c r="O11" i="9" s="1"/>
  <c r="Q11" i="9" s="1"/>
  <c r="N12" i="9"/>
  <c r="O12" i="9" s="1"/>
  <c r="Q12" i="9" s="1"/>
  <c r="N13" i="9"/>
  <c r="O13" i="9" s="1"/>
  <c r="Q13" i="9" s="1"/>
  <c r="N14" i="9"/>
  <c r="O14" i="9" s="1"/>
  <c r="Q14" i="9" s="1"/>
  <c r="N15" i="9"/>
  <c r="O15" i="9" s="1"/>
  <c r="Q15" i="9" s="1"/>
  <c r="N16" i="9"/>
  <c r="O16" i="9" s="1"/>
  <c r="Q16" i="9" s="1"/>
  <c r="N17" i="9"/>
  <c r="O17" i="9" s="1"/>
  <c r="Q17" i="9" s="1"/>
  <c r="N18" i="9"/>
  <c r="N19" i="9"/>
  <c r="O19" i="9" s="1"/>
  <c r="Q19" i="9" s="1"/>
  <c r="N20" i="9"/>
  <c r="O20" i="9" s="1"/>
  <c r="Q20" i="9" s="1"/>
  <c r="N21" i="9"/>
  <c r="O21" i="9" s="1"/>
  <c r="Q21" i="9" s="1"/>
  <c r="N22" i="9"/>
  <c r="O22" i="9" s="1"/>
  <c r="Q22" i="9" s="1"/>
  <c r="N23" i="9"/>
  <c r="O23" i="9" s="1"/>
  <c r="Q23" i="9" s="1"/>
  <c r="N24" i="9"/>
  <c r="O24" i="9" s="1"/>
  <c r="Q24" i="9" s="1"/>
  <c r="N25" i="9"/>
  <c r="O25" i="9" s="1"/>
  <c r="Q25" i="9" s="1"/>
  <c r="N26" i="9"/>
  <c r="O26" i="9" s="1"/>
  <c r="Q26" i="9" s="1"/>
  <c r="N27" i="9"/>
  <c r="O27" i="9" s="1"/>
  <c r="Q27" i="9" s="1"/>
  <c r="N28" i="9"/>
  <c r="O28" i="9" s="1"/>
  <c r="Q28" i="9" s="1"/>
  <c r="N29" i="9"/>
  <c r="O29" i="9" s="1"/>
  <c r="Q29" i="9" s="1"/>
  <c r="N30" i="9"/>
  <c r="O30" i="9" s="1"/>
  <c r="Q30" i="9" s="1"/>
  <c r="N31" i="9"/>
  <c r="O31" i="9" s="1"/>
  <c r="Q31" i="9" s="1"/>
  <c r="N32" i="9"/>
  <c r="O32" i="9" s="1"/>
  <c r="Q32" i="9" s="1"/>
  <c r="N5" i="9"/>
  <c r="O5" i="9" s="1"/>
  <c r="Q5" i="9" s="1"/>
  <c r="M33" i="9"/>
  <c r="H33" i="9"/>
  <c r="H43" i="9"/>
  <c r="M66" i="9" l="1"/>
  <c r="M103" i="9" s="1"/>
  <c r="L43" i="9"/>
  <c r="AC43" i="9"/>
  <c r="Z65" i="9"/>
  <c r="AB6" i="9"/>
  <c r="D8" i="10"/>
  <c r="H35" i="5"/>
  <c r="AH107" i="9"/>
  <c r="T36" i="9"/>
  <c r="U36" i="9" s="1"/>
  <c r="X36" i="9" s="1"/>
  <c r="T34" i="9"/>
  <c r="U34" i="9" s="1"/>
  <c r="O54" i="9"/>
  <c r="T54" i="9" s="1"/>
  <c r="U54" i="9" s="1"/>
  <c r="X54" i="9" s="1"/>
  <c r="R103" i="9"/>
  <c r="R107" i="9" s="1"/>
  <c r="P66" i="9"/>
  <c r="O18" i="9"/>
  <c r="C12" i="10"/>
  <c r="N43" i="9"/>
  <c r="O43" i="9" s="1"/>
  <c r="Q43" i="9" s="1"/>
  <c r="T45" i="9"/>
  <c r="U45" i="9" s="1"/>
  <c r="X45" i="9" s="1"/>
  <c r="S33" i="9"/>
  <c r="S66" i="9" s="1"/>
  <c r="I19" i="5"/>
  <c r="T25" i="9"/>
  <c r="U25" i="9" s="1"/>
  <c r="X25" i="9" s="1"/>
  <c r="T23" i="9"/>
  <c r="U23" i="9" s="1"/>
  <c r="X23" i="9" s="1"/>
  <c r="T21" i="9"/>
  <c r="U21" i="9" s="1"/>
  <c r="X21" i="9" s="1"/>
  <c r="T19" i="9"/>
  <c r="U19" i="9" s="1"/>
  <c r="X19" i="9" s="1"/>
  <c r="T17" i="9"/>
  <c r="U17" i="9" s="1"/>
  <c r="X17" i="9" s="1"/>
  <c r="T15" i="9"/>
  <c r="U15" i="9" s="1"/>
  <c r="X15" i="9" s="1"/>
  <c r="T13" i="9"/>
  <c r="U13" i="9" s="1"/>
  <c r="X13" i="9" s="1"/>
  <c r="T11" i="9"/>
  <c r="U11" i="9" s="1"/>
  <c r="X11" i="9" s="1"/>
  <c r="T9" i="9"/>
  <c r="U9" i="9" s="1"/>
  <c r="X9" i="9" s="1"/>
  <c r="Z9" i="9" s="1"/>
  <c r="T7" i="9"/>
  <c r="U7" i="9" s="1"/>
  <c r="X7" i="9" s="1"/>
  <c r="Z7" i="9" s="1"/>
  <c r="T32" i="9"/>
  <c r="U32" i="9" s="1"/>
  <c r="X32" i="9" s="1"/>
  <c r="T30" i="9"/>
  <c r="U30" i="9" s="1"/>
  <c r="X30" i="9" s="1"/>
  <c r="T28" i="9"/>
  <c r="U28" i="9" s="1"/>
  <c r="X28" i="9" s="1"/>
  <c r="T38" i="9"/>
  <c r="U38" i="9" s="1"/>
  <c r="X38" i="9" s="1"/>
  <c r="T40" i="9"/>
  <c r="U40" i="9" s="1"/>
  <c r="X40" i="9" s="1"/>
  <c r="T42" i="9"/>
  <c r="U42" i="9" s="1"/>
  <c r="X42" i="9" s="1"/>
  <c r="T44" i="9"/>
  <c r="U44" i="9" s="1"/>
  <c r="X44" i="9" s="1"/>
  <c r="T46" i="9"/>
  <c r="U46" i="9" s="1"/>
  <c r="X46" i="9" s="1"/>
  <c r="T48" i="9"/>
  <c r="U48" i="9" s="1"/>
  <c r="T50" i="9"/>
  <c r="U50" i="9" s="1"/>
  <c r="X50" i="9" s="1"/>
  <c r="T52" i="9"/>
  <c r="U52" i="9" s="1"/>
  <c r="X52" i="9" s="1"/>
  <c r="T56" i="9"/>
  <c r="U56" i="9" s="1"/>
  <c r="X56" i="9" s="1"/>
  <c r="T58" i="9"/>
  <c r="U58" i="9" s="1"/>
  <c r="X58" i="9" s="1"/>
  <c r="T60" i="9"/>
  <c r="U60" i="9" s="1"/>
  <c r="X60" i="9" s="1"/>
  <c r="T62" i="9"/>
  <c r="U62" i="9" s="1"/>
  <c r="X62" i="9" s="1"/>
  <c r="Z62" i="9" s="1"/>
  <c r="T64" i="9"/>
  <c r="U64" i="9" s="1"/>
  <c r="X64" i="9" s="1"/>
  <c r="T26" i="9"/>
  <c r="U26" i="9" s="1"/>
  <c r="X26" i="9" s="1"/>
  <c r="T24" i="9"/>
  <c r="U24" i="9" s="1"/>
  <c r="X24" i="9" s="1"/>
  <c r="T22" i="9"/>
  <c r="U22" i="9" s="1"/>
  <c r="X22" i="9" s="1"/>
  <c r="T20" i="9"/>
  <c r="U20" i="9" s="1"/>
  <c r="X20" i="9" s="1"/>
  <c r="T16" i="9"/>
  <c r="U16" i="9" s="1"/>
  <c r="X16" i="9" s="1"/>
  <c r="T14" i="9"/>
  <c r="U14" i="9" s="1"/>
  <c r="X14" i="9" s="1"/>
  <c r="T12" i="9"/>
  <c r="U12" i="9" s="1"/>
  <c r="X12" i="9" s="1"/>
  <c r="T10" i="9"/>
  <c r="U10" i="9" s="1"/>
  <c r="X10" i="9" s="1"/>
  <c r="T8" i="9"/>
  <c r="U8" i="9" s="1"/>
  <c r="X8" i="9" s="1"/>
  <c r="T31" i="9"/>
  <c r="U31" i="9" s="1"/>
  <c r="X31" i="9" s="1"/>
  <c r="T29" i="9"/>
  <c r="U29" i="9" s="1"/>
  <c r="X29" i="9" s="1"/>
  <c r="T27" i="9"/>
  <c r="U27" i="9" s="1"/>
  <c r="X27" i="9" s="1"/>
  <c r="Z27" i="9" s="1"/>
  <c r="T35" i="9"/>
  <c r="U35" i="9" s="1"/>
  <c r="X35" i="9" s="1"/>
  <c r="T37" i="9"/>
  <c r="U37" i="9" s="1"/>
  <c r="X37" i="9" s="1"/>
  <c r="T39" i="9"/>
  <c r="U39" i="9" s="1"/>
  <c r="T41" i="9"/>
  <c r="U41" i="9" s="1"/>
  <c r="X41" i="9" s="1"/>
  <c r="T49" i="9"/>
  <c r="U49" i="9" s="1"/>
  <c r="X49" i="9" s="1"/>
  <c r="T51" i="9"/>
  <c r="U51" i="9" s="1"/>
  <c r="X51" i="9" s="1"/>
  <c r="T53" i="9"/>
  <c r="U53" i="9" s="1"/>
  <c r="X53" i="9" s="1"/>
  <c r="T55" i="9"/>
  <c r="U55" i="9" s="1"/>
  <c r="X55" i="9" s="1"/>
  <c r="T57" i="9"/>
  <c r="U57" i="9" s="1"/>
  <c r="X57" i="9" s="1"/>
  <c r="T59" i="9"/>
  <c r="U59" i="9" s="1"/>
  <c r="X59" i="9" s="1"/>
  <c r="T61" i="9"/>
  <c r="U61" i="9" s="1"/>
  <c r="X61" i="9" s="1"/>
  <c r="Z61" i="9" s="1"/>
  <c r="T63" i="9"/>
  <c r="U63" i="9" s="1"/>
  <c r="X63" i="9" s="1"/>
  <c r="T5" i="9"/>
  <c r="U5" i="9" s="1"/>
  <c r="Q45" i="9"/>
  <c r="Q36" i="9"/>
  <c r="Q34" i="9"/>
  <c r="Q6" i="9"/>
  <c r="J33" i="9"/>
  <c r="I33" i="9"/>
  <c r="J48" i="9"/>
  <c r="I48" i="9"/>
  <c r="AC48" i="9" s="1"/>
  <c r="I47" i="9"/>
  <c r="H47" i="9"/>
  <c r="AC47" i="9" s="1"/>
  <c r="AC33" i="9" s="1"/>
  <c r="AI33" i="9" s="1"/>
  <c r="X39" i="9" l="1"/>
  <c r="Z39" i="9" s="1"/>
  <c r="AB39" i="9" s="1"/>
  <c r="J66" i="9"/>
  <c r="J103" i="9" s="1"/>
  <c r="J107" i="9" s="1"/>
  <c r="M107" i="9"/>
  <c r="AD108" i="9" s="1"/>
  <c r="Z57" i="9"/>
  <c r="AB57" i="9" s="1"/>
  <c r="Z35" i="9"/>
  <c r="AB35" i="9" s="1"/>
  <c r="Z16" i="9"/>
  <c r="AB16" i="9" s="1"/>
  <c r="Z58" i="9"/>
  <c r="AB58" i="9" s="1"/>
  <c r="Z40" i="9"/>
  <c r="Z13" i="9"/>
  <c r="Z21" i="9"/>
  <c r="AB21" i="9" s="1"/>
  <c r="Z55" i="9"/>
  <c r="AB55" i="9" s="1"/>
  <c r="AB27" i="9"/>
  <c r="Z20" i="9"/>
  <c r="Z56" i="9"/>
  <c r="AB56" i="9" s="1"/>
  <c r="Z38" i="9"/>
  <c r="AB38" i="9" s="1"/>
  <c r="Z15" i="9"/>
  <c r="AB15" i="9" s="1"/>
  <c r="Z45" i="9"/>
  <c r="AB45" i="9" s="1"/>
  <c r="AB61" i="9"/>
  <c r="Z53" i="9"/>
  <c r="AB53" i="9" s="1"/>
  <c r="Z29" i="9"/>
  <c r="AB29" i="9" s="1"/>
  <c r="Z12" i="9"/>
  <c r="Z22" i="9"/>
  <c r="AB22" i="9" s="1"/>
  <c r="AB62" i="9"/>
  <c r="Z52" i="9"/>
  <c r="AB52" i="9" s="1"/>
  <c r="Z44" i="9"/>
  <c r="AB44" i="9" s="1"/>
  <c r="Z28" i="9"/>
  <c r="AB28" i="9" s="1"/>
  <c r="AB9" i="9"/>
  <c r="Z17" i="9"/>
  <c r="AB17" i="9" s="1"/>
  <c r="Z25" i="9"/>
  <c r="AB25" i="9" s="1"/>
  <c r="Z49" i="9"/>
  <c r="AB49" i="9" s="1"/>
  <c r="Z8" i="9"/>
  <c r="AB8" i="9" s="1"/>
  <c r="Z26" i="9"/>
  <c r="AB26" i="9" s="1"/>
  <c r="Z32" i="9"/>
  <c r="AB32" i="9" s="1"/>
  <c r="Z63" i="9"/>
  <c r="AB63" i="9" s="1"/>
  <c r="Z41" i="9"/>
  <c r="AB41" i="9" s="1"/>
  <c r="Z10" i="9"/>
  <c r="AB10" i="9" s="1"/>
  <c r="Z64" i="9"/>
  <c r="AB64" i="9" s="1"/>
  <c r="Z46" i="9"/>
  <c r="Z23" i="9"/>
  <c r="AB23" i="9" s="1"/>
  <c r="Z54" i="9"/>
  <c r="AB54" i="9" s="1"/>
  <c r="Z59" i="9"/>
  <c r="AB59" i="9" s="1"/>
  <c r="Z51" i="9"/>
  <c r="Z37" i="9"/>
  <c r="AB37" i="9" s="1"/>
  <c r="Z31" i="9"/>
  <c r="AB31" i="9" s="1"/>
  <c r="Z14" i="9"/>
  <c r="AB14" i="9" s="1"/>
  <c r="Z24" i="9"/>
  <c r="AB24" i="9" s="1"/>
  <c r="Z60" i="9"/>
  <c r="AB60" i="9" s="1"/>
  <c r="Z50" i="9"/>
  <c r="AB50" i="9" s="1"/>
  <c r="Z42" i="9"/>
  <c r="AB42" i="9" s="1"/>
  <c r="Z30" i="9"/>
  <c r="AB30" i="9" s="1"/>
  <c r="Z11" i="9"/>
  <c r="AB11" i="9" s="1"/>
  <c r="Z19" i="9"/>
  <c r="AB19" i="9" s="1"/>
  <c r="Z36" i="9"/>
  <c r="AB36" i="9" s="1"/>
  <c r="AB7" i="9"/>
  <c r="X5" i="9"/>
  <c r="X34" i="9"/>
  <c r="Z34" i="9" s="1"/>
  <c r="L47" i="9"/>
  <c r="L33" i="9" s="1"/>
  <c r="P103" i="9"/>
  <c r="P107" i="9" s="1"/>
  <c r="Q115" i="9" s="1"/>
  <c r="L48" i="9"/>
  <c r="Q116" i="9"/>
  <c r="T18" i="9"/>
  <c r="S103" i="9"/>
  <c r="S107" i="9" s="1"/>
  <c r="Q18" i="9"/>
  <c r="D12" i="10"/>
  <c r="E12" i="10"/>
  <c r="Q54" i="9"/>
  <c r="V48" i="9"/>
  <c r="X48" i="9" s="1"/>
  <c r="AI48" i="9"/>
  <c r="AI43" i="9"/>
  <c r="T43" i="9"/>
  <c r="U43" i="9" s="1"/>
  <c r="X43" i="9" s="1"/>
  <c r="AI47" i="9"/>
  <c r="I66" i="9"/>
  <c r="I103" i="9" s="1"/>
  <c r="W108" i="9" s="1"/>
  <c r="V47" i="9"/>
  <c r="V33" i="9" s="1"/>
  <c r="H66" i="9"/>
  <c r="N47" i="9"/>
  <c r="N33" i="9" s="1"/>
  <c r="E15" i="10" l="1"/>
  <c r="E21" i="10" s="1"/>
  <c r="E23" i="10" s="1"/>
  <c r="AB46" i="9"/>
  <c r="J109" i="9"/>
  <c r="Z48" i="9"/>
  <c r="AB48" i="9" s="1"/>
  <c r="Z5" i="9"/>
  <c r="AB5" i="9" s="1"/>
  <c r="Z43" i="9"/>
  <c r="G12" i="10"/>
  <c r="AB34" i="9"/>
  <c r="I107" i="9"/>
  <c r="V108" i="9"/>
  <c r="U18" i="9"/>
  <c r="S108" i="9"/>
  <c r="Q111" i="9"/>
  <c r="C15" i="10"/>
  <c r="H103" i="9"/>
  <c r="H107" i="9" s="1"/>
  <c r="U108" i="9" s="1"/>
  <c r="AC66" i="9"/>
  <c r="AC103" i="9" s="1"/>
  <c r="D15" i="10"/>
  <c r="D21" i="10" s="1"/>
  <c r="D23" i="10" s="1"/>
  <c r="V66" i="9"/>
  <c r="N66" i="9"/>
  <c r="O47" i="9"/>
  <c r="L66" i="9"/>
  <c r="T47" i="9" l="1"/>
  <c r="T33" i="9" s="1"/>
  <c r="O33" i="9"/>
  <c r="N103" i="9"/>
  <c r="N107" i="9" s="1"/>
  <c r="L103" i="9"/>
  <c r="L107" i="9" s="1"/>
  <c r="C21" i="10"/>
  <c r="L108" i="9" s="1"/>
  <c r="G15" i="10"/>
  <c r="G21" i="10" s="1"/>
  <c r="X18" i="9"/>
  <c r="N108" i="9"/>
  <c r="J108" i="9"/>
  <c r="I108" i="9"/>
  <c r="AC107" i="9"/>
  <c r="V103" i="9"/>
  <c r="V107" i="9" s="1"/>
  <c r="T103" i="9"/>
  <c r="H25" i="5"/>
  <c r="AI66" i="9"/>
  <c r="U123" i="9"/>
  <c r="X122" i="9" s="1"/>
  <c r="Q110" i="9"/>
  <c r="Q112" i="9" s="1"/>
  <c r="Q114" i="9" s="1"/>
  <c r="Q47" i="9"/>
  <c r="Q33" i="9" s="1"/>
  <c r="O66" i="9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O32" i="3"/>
  <c r="O58" i="3" s="1"/>
  <c r="N32" i="3"/>
  <c r="N58" i="3" s="1"/>
  <c r="L25" i="7"/>
  <c r="L24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T66" i="9" l="1"/>
  <c r="T107" i="9" s="1"/>
  <c r="Q117" i="9" s="1"/>
  <c r="Q118" i="9" s="1"/>
  <c r="U47" i="9"/>
  <c r="U33" i="9" s="1"/>
  <c r="U103" i="9" s="1"/>
  <c r="Z18" i="9"/>
  <c r="K108" i="9"/>
  <c r="AC108" i="9"/>
  <c r="Q120" i="9"/>
  <c r="V109" i="9"/>
  <c r="AI103" i="9"/>
  <c r="O103" i="9"/>
  <c r="O107" i="9" s="1"/>
  <c r="H30" i="5"/>
  <c r="H31" i="5" s="1"/>
  <c r="Q66" i="9"/>
  <c r="P4" i="3"/>
  <c r="J25" i="7"/>
  <c r="J24" i="7"/>
  <c r="H23" i="7"/>
  <c r="G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I9" i="7"/>
  <c r="H9" i="7"/>
  <c r="J8" i="7"/>
  <c r="J7" i="7"/>
  <c r="J6" i="7"/>
  <c r="J5" i="7"/>
  <c r="J4" i="7"/>
  <c r="J3" i="7"/>
  <c r="X47" i="9" l="1"/>
  <c r="Z47" i="9" s="1"/>
  <c r="U66" i="9"/>
  <c r="U107" i="9" s="1"/>
  <c r="X108" i="9" s="1"/>
  <c r="X110" i="9" s="1"/>
  <c r="X112" i="9" s="1"/>
  <c r="X33" i="9"/>
  <c r="AB18" i="9"/>
  <c r="Z33" i="9"/>
  <c r="Q124" i="9"/>
  <c r="Q103" i="9"/>
  <c r="Q107" i="9" s="1"/>
  <c r="Q108" i="9" s="1"/>
  <c r="H37" i="5"/>
  <c r="L34" i="5" s="1"/>
  <c r="L37" i="5" s="1"/>
  <c r="L23" i="7"/>
  <c r="L26" i="7" s="1"/>
  <c r="G26" i="7"/>
  <c r="J9" i="7"/>
  <c r="J23" i="7"/>
  <c r="X66" i="9" l="1"/>
  <c r="U109" i="9"/>
  <c r="AB33" i="9"/>
  <c r="X103" i="9"/>
  <c r="AC109" i="9"/>
  <c r="AB47" i="9"/>
  <c r="Z66" i="9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F42" i="6"/>
  <c r="F68" i="6" s="1"/>
  <c r="F71" i="6" s="1"/>
  <c r="E42" i="6"/>
  <c r="G42" i="6" s="1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E16" i="6"/>
  <c r="D16" i="6"/>
  <c r="D72" i="6" s="1"/>
  <c r="G15" i="6"/>
  <c r="G14" i="6"/>
  <c r="G13" i="6"/>
  <c r="G12" i="6"/>
  <c r="G11" i="6"/>
  <c r="G10" i="6"/>
  <c r="G9" i="6"/>
  <c r="G8" i="6"/>
  <c r="G7" i="6"/>
  <c r="G6" i="6"/>
  <c r="G5" i="6"/>
  <c r="G4" i="6"/>
  <c r="G3" i="6"/>
  <c r="X107" i="9" l="1"/>
  <c r="X121" i="9" s="1"/>
  <c r="X123" i="9" s="1"/>
  <c r="Z103" i="9"/>
  <c r="Z107" i="9" s="1"/>
  <c r="AB66" i="9"/>
  <c r="AB103" i="9" s="1"/>
  <c r="E68" i="6"/>
  <c r="E71" i="6" s="1"/>
  <c r="E72" i="6"/>
  <c r="G16" i="6"/>
  <c r="D64" i="6"/>
  <c r="D67" i="6" s="1"/>
  <c r="G68" i="6"/>
  <c r="F67" i="6"/>
  <c r="D68" i="6"/>
  <c r="D71" i="6" s="1"/>
  <c r="E67" i="6"/>
  <c r="G67" i="6"/>
  <c r="AB107" i="9" l="1"/>
  <c r="L57" i="3"/>
  <c r="L33" i="3"/>
  <c r="D33" i="3"/>
  <c r="K32" i="3"/>
  <c r="K58" i="3" s="1"/>
  <c r="K61" i="3" s="1"/>
  <c r="J32" i="3"/>
  <c r="J58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4" i="3"/>
  <c r="D32" i="3"/>
  <c r="D30" i="5"/>
  <c r="C30" i="5"/>
  <c r="D19" i="5"/>
  <c r="C19" i="5"/>
  <c r="AB108" i="9" l="1"/>
  <c r="AB110" i="9" s="1"/>
  <c r="E19" i="5"/>
  <c r="D58" i="3"/>
  <c r="D31" i="5"/>
  <c r="C8" i="10"/>
  <c r="G8" i="10" s="1"/>
  <c r="G23" i="10" s="1"/>
  <c r="K62" i="3"/>
  <c r="L32" i="3"/>
  <c r="L58" i="3" s="1"/>
  <c r="E49" i="1"/>
  <c r="E52" i="1" s="1"/>
  <c r="F49" i="1"/>
  <c r="D49" i="1"/>
  <c r="D5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"/>
  <c r="G5" i="1"/>
  <c r="G6" i="1"/>
  <c r="G7" i="1"/>
  <c r="G8" i="1"/>
  <c r="G9" i="1"/>
  <c r="G10" i="1"/>
  <c r="G3" i="1"/>
  <c r="H32" i="5" l="1"/>
  <c r="H33" i="5" s="1"/>
  <c r="L32" i="5" s="1"/>
  <c r="L33" i="5" s="1"/>
  <c r="D32" i="5"/>
  <c r="C23" i="10"/>
  <c r="D24" i="10" s="1"/>
  <c r="E24" i="10" s="1"/>
  <c r="G49" i="1"/>
  <c r="E48" i="1"/>
  <c r="F48" i="1"/>
  <c r="G48" i="1"/>
  <c r="D48" i="1"/>
  <c r="E95" i="9"/>
  <c r="E99" i="9"/>
  <c r="E101" i="9"/>
  <c r="E100" i="9"/>
  <c r="E87" i="9"/>
  <c r="E75" i="9"/>
  <c r="E76" i="9"/>
  <c r="E72" i="9"/>
  <c r="E78" i="9"/>
  <c r="E73" i="9"/>
  <c r="E71" i="9"/>
  <c r="E79" i="9"/>
  <c r="E74" i="9"/>
  <c r="E91" i="9"/>
  <c r="E82" i="9"/>
  <c r="E94" i="9"/>
  <c r="E77" i="9"/>
  <c r="E67" i="9"/>
  <c r="E96" i="9"/>
  <c r="E69" i="9"/>
  <c r="E92" i="9"/>
  <c r="E81" i="9"/>
  <c r="E89" i="9"/>
  <c r="E93" i="9"/>
  <c r="E68" i="9"/>
  <c r="E84" i="9"/>
  <c r="E83" i="9"/>
  <c r="E97" i="9"/>
  <c r="E98" i="9"/>
  <c r="E80" i="9"/>
  <c r="E70" i="9"/>
  <c r="E90" i="9"/>
  <c r="E88" i="9"/>
  <c r="E86" i="9"/>
  <c r="E85" i="9"/>
</calcChain>
</file>

<file path=xl/comments1.xml><?xml version="1.0" encoding="utf-8"?>
<comments xmlns="http://schemas.openxmlformats.org/spreadsheetml/2006/main">
  <authors>
    <author>Jie Shi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6,846, but 2,776 was approved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2,625, but 2,225 was approved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9,699, but 7,699 was approved</t>
        </r>
      </text>
    </comment>
  </commentList>
</comments>
</file>

<file path=xl/comments2.xml><?xml version="1.0" encoding="utf-8"?>
<comments xmlns="http://schemas.openxmlformats.org/spreadsheetml/2006/main">
  <authors>
    <author>Jie Shi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9,699, but 7,699 was approved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6,846, but 2,776 was approved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2,625, but 2,225 was approved
</t>
        </r>
      </text>
    </comment>
  </commentList>
</comments>
</file>

<file path=xl/comments3.xml><?xml version="1.0" encoding="utf-8"?>
<comments xmlns="http://schemas.openxmlformats.org/spreadsheetml/2006/main">
  <authors>
    <author>Jie Shi</author>
    <author>rhowell8</author>
  </authors>
  <commentList>
    <comment ref="J30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year3 fund was left out from the approved worksheet.</t>
        </r>
      </text>
    </comment>
    <comment ref="V65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$6800 was release by J0077481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Corrected the initial  $20,519 and added 21,230, to reflect the correct amount of 41,749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reduced 21,230 in yr 2 and added to yr1 as a correction</t>
        </r>
      </text>
    </comment>
    <comment ref="W72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added 21,230 April 1, 2011</t>
        </r>
      </text>
    </comment>
    <comment ref="Z74" authorId="1">
      <text>
        <r>
          <rPr>
            <b/>
            <sz val="9"/>
            <color indexed="81"/>
            <rFont val="Tahoma"/>
            <family val="2"/>
          </rPr>
          <t>rhowell8:</t>
        </r>
        <r>
          <rPr>
            <sz val="9"/>
            <color indexed="81"/>
            <rFont val="Tahoma"/>
            <family val="2"/>
          </rPr>
          <t xml:space="preserve">
combination of A50136 $68 and A50140 -$138
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9,699, but 7,699 was approved</t>
        </r>
      </text>
    </comment>
    <comment ref="I88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6,846, but 2,776 was approved</t>
        </r>
      </text>
    </comment>
    <comment ref="I92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it was 2,625, but 2,225 was approved
</t>
        </r>
      </text>
    </comment>
    <comment ref="I99" authorId="0">
      <text>
        <r>
          <rPr>
            <b/>
            <sz val="9"/>
            <color indexed="81"/>
            <rFont val="Tahoma"/>
            <family val="2"/>
          </rPr>
          <t>Jie Shi:</t>
        </r>
        <r>
          <rPr>
            <sz val="9"/>
            <color indexed="81"/>
            <rFont val="Tahoma"/>
            <family val="2"/>
          </rPr>
          <t xml:space="preserve">
$46,285 cancelled.</t>
        </r>
      </text>
    </comment>
  </commentList>
</comments>
</file>

<file path=xl/sharedStrings.xml><?xml version="1.0" encoding="utf-8"?>
<sst xmlns="http://schemas.openxmlformats.org/spreadsheetml/2006/main" count="3304" uniqueCount="842">
  <si>
    <t>Proposal Name</t>
  </si>
  <si>
    <t>Total Cost</t>
  </si>
  <si>
    <t>Score</t>
  </si>
  <si>
    <t>Proposal Status</t>
  </si>
  <si>
    <t>College / Department</t>
  </si>
  <si>
    <t>Biomedical Science Proposal</t>
  </si>
  <si>
    <t>Year 1 Cost</t>
  </si>
  <si>
    <t>Year 2 Cost</t>
  </si>
  <si>
    <t>Year 3 Cost</t>
  </si>
  <si>
    <t>Totals</t>
  </si>
  <si>
    <t>Livetext Implementation Plan</t>
  </si>
  <si>
    <t xml:space="preserve"> Education</t>
  </si>
  <si>
    <t xml:space="preserve"> </t>
  </si>
  <si>
    <t xml:space="preserve"> Biomedical Science</t>
  </si>
  <si>
    <t>Anthropology Student Facilities</t>
  </si>
  <si>
    <t xml:space="preserve"> Arts and Letters</t>
  </si>
  <si>
    <t>Four Is Greater than Six: A Plan for Enhancin</t>
  </si>
  <si>
    <t>Executive E-Classroom - College of Education</t>
  </si>
  <si>
    <t>e-classroom for VA 113</t>
  </si>
  <si>
    <t>Classroom Technology Upgrades</t>
  </si>
  <si>
    <t>CON Computers</t>
  </si>
  <si>
    <t xml:space="preserve"> Nursing</t>
  </si>
  <si>
    <t>VTC Seminar room</t>
  </si>
  <si>
    <t>Improving Online Teaching and Learning in the</t>
  </si>
  <si>
    <t>Keyboard Lab in AH 113</t>
  </si>
  <si>
    <t xml:space="preserve"> Engineering</t>
  </si>
  <si>
    <t>Supercomputing on a Desktop</t>
  </si>
  <si>
    <t xml:space="preserve"> Science</t>
  </si>
  <si>
    <t>VPT Classroom Upgrade</t>
  </si>
  <si>
    <t xml:space="preserve"> CAUPA</t>
  </si>
  <si>
    <t>Social Psychology Lab Equipment Expansion</t>
  </si>
  <si>
    <t>Netbook Cart Project</t>
  </si>
  <si>
    <t>Macbooks and iMacs</t>
  </si>
  <si>
    <t xml:space="preserve"> Library</t>
  </si>
  <si>
    <t>ZoomText service and EasyReader</t>
  </si>
  <si>
    <t>microform readers/scanners/copiers</t>
  </si>
  <si>
    <t>VPT Lab Video Project</t>
  </si>
  <si>
    <t>Tower Standard Desktop Image</t>
  </si>
  <si>
    <t>E-Classrooms - College of Education</t>
  </si>
  <si>
    <t>Internet and Mobile GIS Applications Project</t>
  </si>
  <si>
    <t>KIC System</t>
  </si>
  <si>
    <t>Library Computer Lab staffing</t>
  </si>
  <si>
    <t>Upgrade for the General Chemistry Laboratorie</t>
  </si>
  <si>
    <t>replacement of library public PCs</t>
  </si>
  <si>
    <t>Library Laptop replacement</t>
  </si>
  <si>
    <t>Distance learning facility at SeaTech</t>
  </si>
  <si>
    <t>Multimedia PCs and software</t>
  </si>
  <si>
    <t>Mathematica Software Network Installation</t>
  </si>
  <si>
    <t>Modernization of teaching labs in biotechnolo</t>
  </si>
  <si>
    <t>Boca Raton podcasting dedicated office</t>
  </si>
  <si>
    <t>Theatre Technology Replacement</t>
  </si>
  <si>
    <t>Business Analytics Lab</t>
  </si>
  <si>
    <t xml:space="preserve"> Business</t>
  </si>
  <si>
    <t>Chemical and Biological Animations</t>
  </si>
  <si>
    <t>APPOINTMENT REMINDER SYSTEM</t>
  </si>
  <si>
    <t>Upgrade Student Health Servers</t>
  </si>
  <si>
    <t>SOS (Study Online Successfully) Orientation C</t>
  </si>
  <si>
    <t>Assistive Technology for Students with Disabi</t>
  </si>
  <si>
    <t>Video Streaming Initiative to Enhance Undergr</t>
  </si>
  <si>
    <t>Total Approved</t>
  </si>
  <si>
    <t>Approved</t>
  </si>
  <si>
    <t>Pending</t>
  </si>
  <si>
    <t>Total</t>
  </si>
  <si>
    <t>Year 1</t>
  </si>
  <si>
    <t>Year 2</t>
  </si>
  <si>
    <t>Year 3</t>
  </si>
  <si>
    <t>Summary</t>
  </si>
  <si>
    <t>Cost</t>
  </si>
  <si>
    <t>Strategic</t>
  </si>
  <si>
    <t>Impact</t>
  </si>
  <si>
    <t>Weight</t>
  </si>
  <si>
    <t>Orientation Online Scheduling Checkin</t>
  </si>
  <si>
    <t>Student Life</t>
  </si>
  <si>
    <t>Denied</t>
  </si>
  <si>
    <t>Replaces Existing Funding (Y/N)</t>
  </si>
  <si>
    <t>Please Mark H=High  M=Medium   L=Low</t>
  </si>
  <si>
    <t>low</t>
  </si>
  <si>
    <t>Yes</t>
  </si>
  <si>
    <t>Overall Score</t>
  </si>
  <si>
    <t>high</t>
  </si>
  <si>
    <t>medium</t>
  </si>
  <si>
    <t>HOLD</t>
  </si>
  <si>
    <t>HOLD **</t>
  </si>
  <si>
    <t>Funded (Y/N)</t>
  </si>
  <si>
    <t>No</t>
  </si>
  <si>
    <t>Students would be double charged.  They would have to pay to create the materials, and then they would be charged to access the materials.</t>
  </si>
  <si>
    <t>Reason if not funded</t>
  </si>
  <si>
    <t>Separate funding source available for this project.  Students not subject to Tech Fee</t>
  </si>
  <si>
    <t>Committee felt that the impact was low based on the number of students that would benefit.</t>
  </si>
  <si>
    <t>Equipment not related to Information Technology projects was not considered an eligible expenditure against the technology fee.</t>
  </si>
  <si>
    <t>By slight majority the committee felt that the impact on students was not broad enough and that existing facilites could meet this need.</t>
  </si>
  <si>
    <t>Equipment not specifically related to Computing Technology projects was not considered an eligible expenditure against the technology fee.</t>
  </si>
  <si>
    <t>The committee did not think that Technology Fee funds should be used to provide permanent staffing.</t>
  </si>
  <si>
    <t>Projects that are equipment replacement only will be funded for 1 year to allow for innovative projects to be funded in future years.</t>
  </si>
  <si>
    <t>Removed</t>
  </si>
  <si>
    <t>Approved but should be OPS or Grad. Asst.  No line position should be funded.</t>
  </si>
  <si>
    <t>Banner Account Information</t>
  </si>
  <si>
    <t>Index#</t>
  </si>
  <si>
    <t xml:space="preserve">Fund </t>
  </si>
  <si>
    <t>Orgn.</t>
  </si>
  <si>
    <t xml:space="preserve">PCS </t>
  </si>
  <si>
    <t>Acct Title</t>
  </si>
  <si>
    <t>TECFEE</t>
  </si>
  <si>
    <t>TECFEE-Assist. /Disable Students</t>
  </si>
  <si>
    <t>TECFEE-SOS Orientation</t>
  </si>
  <si>
    <t>TECFEE-Anthropology Stu. Facility</t>
  </si>
  <si>
    <t>TECFEE-Music Lab AH-109</t>
  </si>
  <si>
    <t>TECFEE-e-classroom for VA113</t>
  </si>
  <si>
    <t>TECFEE-Enhancing Plan</t>
  </si>
  <si>
    <t>TECFEE-Tower Desktop Image</t>
  </si>
  <si>
    <t>TECFEE-VPT Classroom Upgrade</t>
  </si>
  <si>
    <t>TECFEE-VPT Lab Video Project</t>
  </si>
  <si>
    <t>TECFEE-Classroom TECFEEh.Upgrades</t>
  </si>
  <si>
    <t xml:space="preserve">TECFEE-e-classroom  </t>
  </si>
  <si>
    <t>TECFEE-Executive e-classroom</t>
  </si>
  <si>
    <t>TECFEE-Livetext implement. Plan</t>
  </si>
  <si>
    <t>TECFEE-Distance learn. Facility</t>
  </si>
  <si>
    <t>TECFEE-KIC System</t>
  </si>
  <si>
    <t>TECFEE-Library Loptop Replacement</t>
  </si>
  <si>
    <t>TECFEE-Macbooks and iMacs</t>
  </si>
  <si>
    <t>TECFEE-Multimedia PCs &amp; Softward</t>
  </si>
  <si>
    <t>TECFEE-Library Public PCs Replacement</t>
  </si>
  <si>
    <t>TECFEE-Supercomputing on a Desktop</t>
  </si>
  <si>
    <t>TECFEE-General Chemistry Lab Upgrade</t>
  </si>
  <si>
    <t>TOTAL</t>
  </si>
  <si>
    <t>B09320</t>
  </si>
  <si>
    <t>B09321</t>
  </si>
  <si>
    <t>B09322</t>
  </si>
  <si>
    <t>B09323</t>
  </si>
  <si>
    <t>B09324</t>
  </si>
  <si>
    <t>B08120</t>
  </si>
  <si>
    <t>B08121</t>
  </si>
  <si>
    <t>B01550</t>
  </si>
  <si>
    <t>B01551</t>
  </si>
  <si>
    <t>B01552</t>
  </si>
  <si>
    <t>B01553</t>
  </si>
  <si>
    <t>B01620</t>
  </si>
  <si>
    <t>B01621</t>
  </si>
  <si>
    <t>A50120</t>
  </si>
  <si>
    <t>A50121</t>
  </si>
  <si>
    <t>A50122</t>
  </si>
  <si>
    <t>A50123</t>
  </si>
  <si>
    <t>A50124</t>
  </si>
  <si>
    <t>A50125</t>
  </si>
  <si>
    <t>B01820</t>
  </si>
  <si>
    <t>B01120</t>
  </si>
  <si>
    <t>B01121</t>
  </si>
  <si>
    <t>B01122</t>
  </si>
  <si>
    <t>B01123</t>
  </si>
  <si>
    <t>TECFEE-Math Software Network Install</t>
  </si>
  <si>
    <t>TECFEE-Zoom Text Service &amp; EasyReader</t>
  </si>
  <si>
    <t>TECFEE-Online Teach &amp; Learn Improve</t>
  </si>
  <si>
    <t>TECFEE-Social Psycho Lab Equip Expansion</t>
  </si>
  <si>
    <t>TECFEE-Internet &amp; Mobile GIS Applica</t>
  </si>
  <si>
    <t>Office for Student  w diabilities</t>
  </si>
  <si>
    <t>Undergraduate studies</t>
  </si>
  <si>
    <t>A00210</t>
  </si>
  <si>
    <t>S27065</t>
  </si>
  <si>
    <t>Project Name</t>
  </si>
  <si>
    <r>
      <t xml:space="preserve">Computer Music Sequencing Lab AH-109 </t>
    </r>
    <r>
      <rPr>
        <sz val="10"/>
        <color indexed="10"/>
        <rFont val="Calibri"/>
        <family val="2"/>
      </rPr>
      <t>NOTES</t>
    </r>
  </si>
  <si>
    <t>IRM</t>
  </si>
  <si>
    <t>Teaching with Technology Program</t>
  </si>
  <si>
    <t>Enhance Wireless Network</t>
  </si>
  <si>
    <t>TECFEE-Teaching w Technology Prog.</t>
  </si>
  <si>
    <t>TECFEE-Enhance Wireless Network</t>
  </si>
  <si>
    <t>A01800</t>
  </si>
  <si>
    <t>A01801</t>
  </si>
  <si>
    <t>Expense</t>
  </si>
  <si>
    <t>Cash Bal</t>
  </si>
  <si>
    <t>YTD Actual</t>
  </si>
  <si>
    <t>Revenue</t>
  </si>
  <si>
    <t>Revenue Budget</t>
  </si>
  <si>
    <t>Total Revenue</t>
  </si>
  <si>
    <t>Expense Budget</t>
  </si>
  <si>
    <t>Fee Exemptions</t>
  </si>
  <si>
    <t>Transfer out - Software license</t>
  </si>
  <si>
    <t>Total Expenses</t>
  </si>
  <si>
    <t>Revenue vs. Expenses</t>
  </si>
  <si>
    <t>F20001</t>
  </si>
  <si>
    <t>T33200</t>
  </si>
  <si>
    <t>TECFEE-TECH Fee-Software License</t>
  </si>
  <si>
    <t>Budget transfer</t>
  </si>
  <si>
    <t>Total 1st round approved projects</t>
  </si>
  <si>
    <t xml:space="preserve">Add'l project approved </t>
  </si>
  <si>
    <t>Tech Fee - exemption</t>
  </si>
  <si>
    <t>YTD Activity</t>
  </si>
  <si>
    <t>Diff.</t>
  </si>
  <si>
    <t xml:space="preserve">Proposal </t>
  </si>
  <si>
    <t xml:space="preserve"> Status</t>
  </si>
  <si>
    <t>2009-10</t>
  </si>
  <si>
    <t>Funding</t>
  </si>
  <si>
    <r>
      <rPr>
        <b/>
        <sz val="10"/>
        <color rgb="FFFF0000"/>
        <rFont val="Calibri"/>
        <family val="2"/>
        <scheme val="minor"/>
      </rPr>
      <t xml:space="preserve">1.    </t>
    </r>
    <r>
      <rPr>
        <sz val="10"/>
        <color theme="1"/>
        <rFont val="Calibri"/>
        <family val="2"/>
        <scheme val="minor"/>
      </rPr>
      <t>Digital Video Production</t>
    </r>
  </si>
  <si>
    <t>Communication and Multimedia Studies</t>
  </si>
  <si>
    <t>H</t>
  </si>
  <si>
    <t>Y</t>
  </si>
  <si>
    <r>
      <rPr>
        <b/>
        <sz val="10"/>
        <color rgb="FFFF0000"/>
        <rFont val="Calibri"/>
        <family val="2"/>
        <scheme val="minor"/>
      </rPr>
      <t>2.</t>
    </r>
    <r>
      <rPr>
        <sz val="10"/>
        <color rgb="FFFF0000"/>
        <rFont val="Calibri"/>
        <family val="2"/>
        <scheme val="minor"/>
      </rPr>
      <t xml:space="preserve">    </t>
    </r>
    <r>
      <rPr>
        <sz val="10"/>
        <color theme="1"/>
        <rFont val="Calibri"/>
        <family val="2"/>
        <scheme val="minor"/>
      </rPr>
      <t>Student Computer Lab - Computer Replacements</t>
    </r>
  </si>
  <si>
    <t>Education</t>
  </si>
  <si>
    <t>M</t>
  </si>
  <si>
    <t>EQUIP REPL</t>
  </si>
  <si>
    <r>
      <rPr>
        <b/>
        <sz val="10"/>
        <color rgb="FFFF000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   Camera Equipment to Support Psychotherapy Research</t>
    </r>
  </si>
  <si>
    <t>Counselor Education</t>
  </si>
  <si>
    <t>L</t>
  </si>
  <si>
    <t>N</t>
  </si>
  <si>
    <t>Too specialized with low impact</t>
  </si>
  <si>
    <r>
      <rPr>
        <b/>
        <sz val="10"/>
        <color rgb="FFFF0000"/>
        <rFont val="Calibri"/>
        <family val="2"/>
        <scheme val="minor"/>
      </rPr>
      <t xml:space="preserve">4. </t>
    </r>
    <r>
      <rPr>
        <sz val="10"/>
        <color theme="1"/>
        <rFont val="Calibri"/>
        <family val="2"/>
        <scheme val="minor"/>
      </rPr>
      <t xml:space="preserve">   Technology Fee Proposal for Extended Media Lab and Print Studio</t>
    </r>
  </si>
  <si>
    <t>Visual Arts and Art History</t>
  </si>
  <si>
    <t>?????</t>
  </si>
  <si>
    <r>
      <rPr>
        <b/>
        <sz val="10"/>
        <color rgb="FFFF0000"/>
        <rFont val="Calibri"/>
        <family val="2"/>
        <scheme val="minor"/>
      </rPr>
      <t>5.</t>
    </r>
    <r>
      <rPr>
        <sz val="10"/>
        <color theme="1"/>
        <rFont val="Calibri"/>
        <family val="2"/>
        <scheme val="minor"/>
      </rPr>
      <t xml:space="preserve">    Visual Arts Studio &amp; Lecture Series E-classroom, VA 105</t>
    </r>
  </si>
  <si>
    <t>Visual Arts &amp; Art History</t>
  </si>
  <si>
    <r>
      <rPr>
        <b/>
        <sz val="10"/>
        <color rgb="FFFF0000"/>
        <rFont val="Calibri"/>
        <family val="2"/>
        <scheme val="minor"/>
      </rPr>
      <t>6.</t>
    </r>
    <r>
      <rPr>
        <sz val="10"/>
        <color theme="1"/>
        <rFont val="Calibri"/>
        <family val="2"/>
        <scheme val="minor"/>
      </rPr>
      <t xml:space="preserve">    Upgrading Virtualization and Application Streaming Software</t>
    </r>
  </si>
  <si>
    <t>Department of Civil, Environmental and Geomat</t>
  </si>
  <si>
    <r>
      <rPr>
        <b/>
        <sz val="10"/>
        <color rgb="FFFF0000"/>
        <rFont val="Calibri"/>
        <family val="2"/>
        <scheme val="minor"/>
      </rPr>
      <t xml:space="preserve">7. </t>
    </r>
    <r>
      <rPr>
        <sz val="10"/>
        <color theme="1"/>
        <rFont val="Calibri"/>
        <family val="2"/>
        <scheme val="minor"/>
      </rPr>
      <t xml:space="preserve">   Molecular Drawing / Modeling Software and computerized Spectrometric Analysis Upgrade</t>
    </r>
  </si>
  <si>
    <t>Chemistry and Biochemistry</t>
  </si>
  <si>
    <t>HOLD FOR PRESENTATION</t>
  </si>
  <si>
    <t>FALL</t>
  </si>
  <si>
    <t>AGREED TO PRESENT</t>
  </si>
  <si>
    <r>
      <rPr>
        <b/>
        <sz val="10"/>
        <color rgb="FFFF0000"/>
        <rFont val="Calibri"/>
        <family val="2"/>
        <scheme val="minor"/>
      </rPr>
      <t xml:space="preserve">8. </t>
    </r>
    <r>
      <rPr>
        <sz val="10"/>
        <color theme="1"/>
        <rFont val="Calibri"/>
        <family val="2"/>
        <scheme val="minor"/>
      </rPr>
      <t xml:space="preserve">   Library computer lab student staffing</t>
    </r>
  </si>
  <si>
    <t>Libraries</t>
  </si>
  <si>
    <r>
      <rPr>
        <b/>
        <sz val="10"/>
        <color rgb="FFFF0000"/>
        <rFont val="Calibri"/>
        <family val="2"/>
        <scheme val="minor"/>
      </rPr>
      <t>9.</t>
    </r>
    <r>
      <rPr>
        <sz val="10"/>
        <color theme="1"/>
        <rFont val="Calibri"/>
        <family val="2"/>
        <scheme val="minor"/>
      </rPr>
      <t xml:space="preserve">    VA 115 Software Update</t>
    </r>
  </si>
  <si>
    <t>OF SOFTWARE</t>
  </si>
  <si>
    <t>EMAIL SENT TO ORGINATOR</t>
  </si>
  <si>
    <r>
      <rPr>
        <b/>
        <sz val="10"/>
        <color rgb="FFFF0000"/>
        <rFont val="Calibri"/>
        <family val="2"/>
        <scheme val="minor"/>
      </rPr>
      <t>10.</t>
    </r>
    <r>
      <rPr>
        <sz val="10"/>
        <color theme="1"/>
        <rFont val="Calibri"/>
        <family val="2"/>
        <scheme val="minor"/>
      </rPr>
      <t xml:space="preserve">  Michael Zager</t>
    </r>
  </si>
  <si>
    <t>Music-Commercial Music Program</t>
  </si>
  <si>
    <r>
      <rPr>
        <b/>
        <sz val="10"/>
        <color rgb="FFFF0000"/>
        <rFont val="Calibri"/>
        <family val="2"/>
        <scheme val="minor"/>
      </rPr>
      <t xml:space="preserve">11. </t>
    </r>
    <r>
      <rPr>
        <sz val="10"/>
        <color theme="1"/>
        <rFont val="Calibri"/>
        <family val="2"/>
        <scheme val="minor"/>
      </rPr>
      <t xml:space="preserve"> University Galleries' Student Office</t>
    </r>
  </si>
  <si>
    <t>University Galleries</t>
  </si>
  <si>
    <r>
      <rPr>
        <b/>
        <sz val="10"/>
        <color rgb="FFFF0000"/>
        <rFont val="Calibri"/>
        <family val="2"/>
        <scheme val="minor"/>
      </rPr>
      <t>12.</t>
    </r>
    <r>
      <rPr>
        <sz val="10"/>
        <color theme="1"/>
        <rFont val="Calibri"/>
        <family val="2"/>
        <scheme val="minor"/>
      </rPr>
      <t xml:space="preserve">  iClickers for Reading &amp; Content Area Methodology Courses</t>
    </r>
  </si>
  <si>
    <t>Teachng and Learning</t>
  </si>
  <si>
    <r>
      <rPr>
        <b/>
        <sz val="10"/>
        <color rgb="FFFF0000"/>
        <rFont val="Calibri"/>
        <family val="2"/>
        <scheme val="minor"/>
      </rPr>
      <t>13.</t>
    </r>
    <r>
      <rPr>
        <sz val="10"/>
        <color theme="1"/>
        <rFont val="Calibri"/>
        <family val="2"/>
        <scheme val="minor"/>
      </rPr>
      <t xml:space="preserve">  VA 115 e-classroom</t>
    </r>
  </si>
  <si>
    <r>
      <rPr>
        <b/>
        <sz val="10"/>
        <color rgb="FFFF0000"/>
        <rFont val="Calibri"/>
        <family val="2"/>
        <scheme val="minor"/>
      </rPr>
      <t>14.</t>
    </r>
    <r>
      <rPr>
        <sz val="10"/>
        <color theme="1"/>
        <rFont val="Calibri"/>
        <family val="2"/>
        <scheme val="minor"/>
      </rPr>
      <t xml:space="preserve">  Social Psychology Research Lab Expansion II</t>
    </r>
  </si>
  <si>
    <t>psychology</t>
  </si>
  <si>
    <t>REMOVED SALARY +EQUIP REPLACEMENT</t>
  </si>
  <si>
    <t>Removed Salary OK'd + EQUIP  REPL</t>
  </si>
  <si>
    <r>
      <rPr>
        <b/>
        <sz val="10"/>
        <color rgb="FFFF0000"/>
        <rFont val="Calibri"/>
        <family val="2"/>
        <scheme val="minor"/>
      </rPr>
      <t xml:space="preserve">15. </t>
    </r>
    <r>
      <rPr>
        <sz val="10"/>
        <color theme="1"/>
        <rFont val="Calibri"/>
        <family val="2"/>
        <scheme val="minor"/>
      </rPr>
      <t xml:space="preserve"> Counseling Recording Lab DVD Upgrade</t>
    </r>
  </si>
  <si>
    <r>
      <rPr>
        <b/>
        <sz val="10"/>
        <color rgb="FFFF0000"/>
        <rFont val="Calibri"/>
        <family val="2"/>
        <scheme val="minor"/>
      </rPr>
      <t xml:space="preserve">16. </t>
    </r>
    <r>
      <rPr>
        <sz val="10"/>
        <color theme="1"/>
        <rFont val="Calibri"/>
        <family val="2"/>
        <scheme val="minor"/>
      </rPr>
      <t xml:space="preserve"> Education Computer Lab - Network Upgrade</t>
    </r>
  </si>
  <si>
    <t>Education - Technology Services</t>
  </si>
  <si>
    <r>
      <rPr>
        <b/>
        <sz val="10"/>
        <color rgb="FFFF0000"/>
        <rFont val="Calibri"/>
        <family val="2"/>
        <scheme val="minor"/>
      </rPr>
      <t>17.</t>
    </r>
    <r>
      <rPr>
        <sz val="10"/>
        <color theme="1"/>
        <rFont val="Calibri"/>
        <family val="2"/>
        <scheme val="minor"/>
      </rPr>
      <t xml:space="preserve">  Upgrade for Exercise Science Laboratory, GY 152</t>
    </r>
  </si>
  <si>
    <t>Exercise Science and Health Promotion</t>
  </si>
  <si>
    <r>
      <rPr>
        <b/>
        <sz val="10"/>
        <color rgb="FFFF0000"/>
        <rFont val="Calibri"/>
        <family val="2"/>
        <scheme val="minor"/>
      </rPr>
      <t>18.</t>
    </r>
    <r>
      <rPr>
        <sz val="10"/>
        <color theme="1"/>
        <rFont val="Calibri"/>
        <family val="2"/>
        <scheme val="minor"/>
      </rPr>
      <t xml:space="preserve">  Laboratory upgrade/replacement of Body Composition Assessment in Exercise Science Lab</t>
    </r>
  </si>
  <si>
    <r>
      <rPr>
        <b/>
        <sz val="10"/>
        <color rgb="FFFF0000"/>
        <rFont val="Calibri"/>
        <family val="2"/>
        <scheme val="minor"/>
      </rPr>
      <t>19.</t>
    </r>
    <r>
      <rPr>
        <sz val="10"/>
        <color theme="1"/>
        <rFont val="Calibri"/>
        <family val="2"/>
        <scheme val="minor"/>
      </rPr>
      <t xml:space="preserve">  Upgrade for Exercise Science Laboratory--Field House 11A</t>
    </r>
  </si>
  <si>
    <r>
      <rPr>
        <b/>
        <sz val="10"/>
        <color rgb="FFFF0000"/>
        <rFont val="Calibri"/>
        <family val="2"/>
        <scheme val="minor"/>
      </rPr>
      <t>20.</t>
    </r>
    <r>
      <rPr>
        <sz val="10"/>
        <color theme="1"/>
        <rFont val="Calibri"/>
        <family val="2"/>
        <scheme val="minor"/>
      </rPr>
      <t xml:space="preserve">  Multimedia Suite hardware and software</t>
    </r>
  </si>
  <si>
    <t>ADJUSTED TOTAL</t>
  </si>
  <si>
    <r>
      <rPr>
        <b/>
        <sz val="10"/>
        <color rgb="FFFF0000"/>
        <rFont val="Calibri"/>
        <family val="2"/>
        <scheme val="minor"/>
      </rPr>
      <t>21.</t>
    </r>
    <r>
      <rPr>
        <sz val="10"/>
        <color theme="1"/>
        <rFont val="Calibri"/>
        <family val="2"/>
        <scheme val="minor"/>
      </rPr>
      <t xml:space="preserve">  e-book readers</t>
    </r>
  </si>
  <si>
    <t>STUDENTS NOT SOLD ON VALUE</t>
  </si>
  <si>
    <r>
      <rPr>
        <b/>
        <sz val="10"/>
        <color rgb="FFFF0000"/>
        <rFont val="Calibri"/>
        <family val="2"/>
        <scheme val="minor"/>
      </rPr>
      <t>22.</t>
    </r>
    <r>
      <rPr>
        <sz val="10"/>
        <color theme="1"/>
        <rFont val="Calibri"/>
        <family val="2"/>
        <scheme val="minor"/>
      </rPr>
      <t xml:space="preserve">  Mac Pro for Digitization</t>
    </r>
  </si>
  <si>
    <t>BEING CONSOLIDATED BY LIB</t>
  </si>
  <si>
    <r>
      <rPr>
        <b/>
        <sz val="10"/>
        <color rgb="FFFF0000"/>
        <rFont val="Calibri"/>
        <family val="2"/>
        <scheme val="minor"/>
      </rPr>
      <t>23.</t>
    </r>
    <r>
      <rPr>
        <sz val="10"/>
        <color theme="1"/>
        <rFont val="Calibri"/>
        <family val="2"/>
        <scheme val="minor"/>
      </rPr>
      <t xml:space="preserve">  additional power outlets</t>
    </r>
  </si>
  <si>
    <r>
      <rPr>
        <b/>
        <sz val="10"/>
        <color rgb="FFFF0000"/>
        <rFont val="Calibri"/>
        <family val="2"/>
        <scheme val="minor"/>
      </rPr>
      <t xml:space="preserve">24. </t>
    </r>
    <r>
      <rPr>
        <sz val="10"/>
        <color theme="1"/>
        <rFont val="Calibri"/>
        <family val="2"/>
        <scheme val="minor"/>
      </rPr>
      <t xml:space="preserve"> GIS Lab Upgrade AD 122</t>
    </r>
  </si>
  <si>
    <t>N/A</t>
  </si>
  <si>
    <r>
      <rPr>
        <b/>
        <sz val="10"/>
        <color rgb="FFFF0000"/>
        <rFont val="Calibri"/>
        <family val="2"/>
        <scheme val="minor"/>
      </rPr>
      <t xml:space="preserve">25.  </t>
    </r>
    <r>
      <rPr>
        <sz val="10"/>
        <color theme="1"/>
        <rFont val="Calibri"/>
        <family val="2"/>
        <scheme val="minor"/>
      </rPr>
      <t>Ports and PCs, room 215</t>
    </r>
  </si>
  <si>
    <r>
      <rPr>
        <b/>
        <sz val="10"/>
        <color rgb="FFFF0000"/>
        <rFont val="Calibri"/>
        <family val="2"/>
        <scheme val="minor"/>
      </rPr>
      <t xml:space="preserve">26. </t>
    </r>
    <r>
      <rPr>
        <sz val="10"/>
        <color theme="1"/>
        <rFont val="Calibri"/>
        <family val="2"/>
        <scheme val="minor"/>
      </rPr>
      <t xml:space="preserve"> Replacement and new public PCs</t>
    </r>
  </si>
  <si>
    <t>ADJUSTED TOTAL BUT EQUIP REPL</t>
  </si>
  <si>
    <r>
      <rPr>
        <b/>
        <sz val="10"/>
        <color rgb="FFFF0000"/>
        <rFont val="Calibri"/>
        <family val="2"/>
        <scheme val="minor"/>
      </rPr>
      <t xml:space="preserve">27. </t>
    </r>
    <r>
      <rPr>
        <sz val="10"/>
        <color theme="1"/>
        <rFont val="Calibri"/>
        <family val="2"/>
        <scheme val="minor"/>
      </rPr>
      <t xml:space="preserve"> Bookeye Scanner for ILL</t>
    </r>
  </si>
  <si>
    <r>
      <rPr>
        <b/>
        <sz val="10"/>
        <color rgb="FFFF0000"/>
        <rFont val="Calibri"/>
        <family val="2"/>
        <scheme val="minor"/>
      </rPr>
      <t>28.</t>
    </r>
    <r>
      <rPr>
        <sz val="10"/>
        <color theme="1"/>
        <rFont val="Calibri"/>
        <family val="2"/>
        <scheme val="minor"/>
      </rPr>
      <t xml:space="preserve">  e-Book Collection</t>
    </r>
  </si>
  <si>
    <r>
      <rPr>
        <b/>
        <sz val="10"/>
        <color rgb="FFFF0000"/>
        <rFont val="Calibri"/>
        <family val="2"/>
        <scheme val="minor"/>
      </rPr>
      <t>29.</t>
    </r>
    <r>
      <rPr>
        <sz val="10"/>
        <color theme="1"/>
        <rFont val="Calibri"/>
        <family val="2"/>
        <scheme val="minor"/>
      </rPr>
      <t xml:space="preserve">  DeGrove Library Tech</t>
    </r>
  </si>
  <si>
    <t>SURP</t>
  </si>
  <si>
    <t>RECEIVED REVISED BUDGET W/O Consumables</t>
  </si>
  <si>
    <r>
      <rPr>
        <b/>
        <sz val="10"/>
        <color rgb="FFFF0000"/>
        <rFont val="Calibri"/>
        <family val="2"/>
        <scheme val="minor"/>
      </rPr>
      <t>30.</t>
    </r>
    <r>
      <rPr>
        <sz val="10"/>
        <color theme="1"/>
        <rFont val="Calibri"/>
        <family val="2"/>
        <scheme val="minor"/>
      </rPr>
      <t xml:space="preserve">  3-D Geovisualization Project</t>
    </r>
  </si>
  <si>
    <t>Geosciences</t>
  </si>
  <si>
    <r>
      <rPr>
        <b/>
        <sz val="10"/>
        <color rgb="FFFF0000"/>
        <rFont val="Calibri"/>
        <family val="2"/>
        <scheme val="minor"/>
      </rPr>
      <t>31.</t>
    </r>
    <r>
      <rPr>
        <sz val="10"/>
        <color theme="1"/>
        <rFont val="Calibri"/>
        <family val="2"/>
        <scheme val="minor"/>
      </rPr>
      <t xml:space="preserve">  streaming video collection</t>
    </r>
  </si>
  <si>
    <r>
      <rPr>
        <b/>
        <sz val="10"/>
        <color rgb="FFFF0000"/>
        <rFont val="Calibri"/>
        <family val="2"/>
        <scheme val="minor"/>
      </rPr>
      <t xml:space="preserve">32. </t>
    </r>
    <r>
      <rPr>
        <sz val="10"/>
        <color theme="1"/>
        <rFont val="Calibri"/>
        <family val="2"/>
        <scheme val="minor"/>
      </rPr>
      <t xml:space="preserve"> Replacement and New Public PCs</t>
    </r>
  </si>
  <si>
    <r>
      <rPr>
        <b/>
        <sz val="10"/>
        <color rgb="FFFF0000"/>
        <rFont val="Calibri"/>
        <family val="2"/>
        <scheme val="minor"/>
      </rPr>
      <t xml:space="preserve">33. </t>
    </r>
    <r>
      <rPr>
        <sz val="10"/>
        <color theme="1"/>
        <rFont val="Calibri"/>
        <family val="2"/>
        <scheme val="minor"/>
      </rPr>
      <t xml:space="preserve"> Mathematical Sciences Teaching Lab</t>
    </r>
  </si>
  <si>
    <t>Mathematical Sciences</t>
  </si>
  <si>
    <r>
      <rPr>
        <b/>
        <sz val="10"/>
        <color rgb="FFFF0000"/>
        <rFont val="Calibri"/>
        <family val="2"/>
        <scheme val="minor"/>
      </rPr>
      <t>34.</t>
    </r>
    <r>
      <rPr>
        <sz val="10"/>
        <color theme="1"/>
        <rFont val="Calibri"/>
        <family val="2"/>
        <scheme val="minor"/>
      </rPr>
      <t xml:space="preserve">  Large Format Scanning</t>
    </r>
  </si>
  <si>
    <t>School of Architecture</t>
  </si>
  <si>
    <t>DIFFERENT TYPE OF SCANNER</t>
  </si>
  <si>
    <r>
      <rPr>
        <b/>
        <sz val="10"/>
        <color rgb="FFFF0000"/>
        <rFont val="Calibri"/>
        <family val="2"/>
        <scheme val="minor"/>
      </rPr>
      <t xml:space="preserve">35. </t>
    </r>
    <r>
      <rPr>
        <sz val="10"/>
        <color theme="1"/>
        <rFont val="Calibri"/>
        <family val="2"/>
        <scheme val="minor"/>
      </rPr>
      <t xml:space="preserve"> iPad youPad</t>
    </r>
  </si>
  <si>
    <r>
      <rPr>
        <b/>
        <sz val="10"/>
        <color rgb="FFFF0000"/>
        <rFont val="Calibri"/>
        <family val="2"/>
        <scheme val="minor"/>
      </rPr>
      <t>36.</t>
    </r>
    <r>
      <rPr>
        <sz val="10"/>
        <rFont val="Calibri"/>
        <family val="2"/>
        <scheme val="minor"/>
      </rPr>
      <t xml:space="preserve">  CES EduPack 2010 to Support Sustainability-Related Courses</t>
    </r>
  </si>
  <si>
    <t>Ocean and Mechanical Engineering Department</t>
  </si>
  <si>
    <r>
      <rPr>
        <b/>
        <sz val="10"/>
        <color rgb="FFFF0000"/>
        <rFont val="Calibri"/>
        <family val="2"/>
        <scheme val="minor"/>
      </rPr>
      <t>37.</t>
    </r>
    <r>
      <rPr>
        <sz val="10"/>
        <color theme="1"/>
        <rFont val="Calibri"/>
        <family val="2"/>
        <scheme val="minor"/>
      </rPr>
      <t xml:space="preserve">  Overhead projectors for 3 Psychology classrooms.</t>
    </r>
  </si>
  <si>
    <t>Psychology</t>
  </si>
  <si>
    <r>
      <rPr>
        <b/>
        <sz val="10"/>
        <color rgb="FFFF0000"/>
        <rFont val="Calibri"/>
        <family val="2"/>
        <scheme val="minor"/>
      </rPr>
      <t>38.</t>
    </r>
    <r>
      <rPr>
        <sz val="10"/>
        <color theme="1"/>
        <rFont val="Calibri"/>
        <family val="2"/>
        <scheme val="minor"/>
      </rPr>
      <t xml:space="preserve">  Classroom Upgrades</t>
    </r>
  </si>
  <si>
    <r>
      <rPr>
        <b/>
        <sz val="10"/>
        <color rgb="FFFF0000"/>
        <rFont val="Calibri"/>
        <family val="2"/>
        <scheme val="minor"/>
      </rPr>
      <t xml:space="preserve">39. </t>
    </r>
    <r>
      <rPr>
        <sz val="10"/>
        <color theme="1"/>
        <rFont val="Calibri"/>
        <family val="2"/>
        <scheme val="minor"/>
      </rPr>
      <t xml:space="preserve"> Computer Automated Classroom Astronomy</t>
    </r>
  </si>
  <si>
    <t>Physics</t>
  </si>
  <si>
    <r>
      <rPr>
        <b/>
        <sz val="10"/>
        <color rgb="FFFF0000"/>
        <rFont val="Calibri"/>
        <family val="2"/>
        <scheme val="minor"/>
      </rPr>
      <t>40.</t>
    </r>
    <r>
      <rPr>
        <sz val="10"/>
        <color theme="1"/>
        <rFont val="Calibri"/>
        <family val="2"/>
        <scheme val="minor"/>
      </rPr>
      <t xml:space="preserve">  Video Streaming Initiative to Enhance Undergraduate Course Delivery</t>
    </r>
  </si>
  <si>
    <t>College of Business</t>
  </si>
  <si>
    <t>ADJUSTED to suport Startup</t>
  </si>
  <si>
    <t>Visual Arts Studio &amp; Lecture Series E-classroom, VA 105</t>
  </si>
  <si>
    <t>Recording Lab Renovation</t>
  </si>
  <si>
    <t>Graduate College Web-Based Forms Project</t>
  </si>
  <si>
    <t>Graduate College</t>
  </si>
  <si>
    <t>library computer lab student staffing</t>
  </si>
  <si>
    <t>CES EduPack 2010 to Support Sustainability-Related Courses</t>
  </si>
  <si>
    <t>Classroom Upgrades</t>
  </si>
  <si>
    <t>Recording Lab Technical Update</t>
  </si>
  <si>
    <t>Michael Zager</t>
  </si>
  <si>
    <t>AdvisorTrac Advising Software</t>
  </si>
  <si>
    <t>College of Engineering</t>
  </si>
  <si>
    <t>streaming video collection</t>
  </si>
  <si>
    <t>Engineering Capstone Design with Android-based Robots</t>
  </si>
  <si>
    <t>Computer and Electrical Engineering and Compu</t>
  </si>
  <si>
    <t>VTC Classroom</t>
  </si>
  <si>
    <t>Ocean and Mechanical</t>
  </si>
  <si>
    <t>FAU  Cloud Computing Cluster</t>
  </si>
  <si>
    <t>Dean's Office FAU College of Engineering</t>
  </si>
  <si>
    <t>Faculty Peer Mentoring Training Program  in  Use of Teaching Technology</t>
  </si>
  <si>
    <t>School of Communication and Multimedia Studie</t>
  </si>
  <si>
    <t>Upgrade of SI Workroom</t>
  </si>
  <si>
    <t>Center for Learning And Student Success</t>
  </si>
  <si>
    <t>Engineering Capstone Design with Android-based Robots (New Version)</t>
  </si>
  <si>
    <t>Implementing Synchronous and Asynchronous Teaching</t>
  </si>
  <si>
    <t>Videoconference classroom for Sanson Science</t>
  </si>
  <si>
    <t>Biological Sciences</t>
  </si>
  <si>
    <t>Creative Computing for Smart Phone Applications.</t>
  </si>
  <si>
    <t>School of Communication &amp; Multimedia Studies</t>
  </si>
  <si>
    <t>Tchnology for Experiential Learning in Environmental Science</t>
  </si>
  <si>
    <t>Environmental Sciences</t>
  </si>
  <si>
    <t>FROM FALL</t>
  </si>
  <si>
    <t>2009-10 FY - 2nd Round Approved Projects</t>
  </si>
  <si>
    <t>VP/College</t>
  </si>
  <si>
    <t>Arts &amp; Letters</t>
  </si>
  <si>
    <t>B09325</t>
  </si>
  <si>
    <t>TECFEE-Digital Video Prod</t>
  </si>
  <si>
    <t>B09326</t>
  </si>
  <si>
    <t>TECFEE- Michael Zager</t>
  </si>
  <si>
    <t>B09327</t>
  </si>
  <si>
    <t>TECFEE-Univ Galleries Std Office</t>
  </si>
  <si>
    <t>B09328</t>
  </si>
  <si>
    <t>B09329</t>
  </si>
  <si>
    <t>TECFEE-VA 115 E-classroom</t>
  </si>
  <si>
    <t>B09331</t>
  </si>
  <si>
    <t>TECFEE-VA 115 Software Upgrade</t>
  </si>
  <si>
    <t>Business</t>
  </si>
  <si>
    <t>B01450</t>
  </si>
  <si>
    <t>CAUPA</t>
  </si>
  <si>
    <t>TECFEE-DeGrove Library Tech</t>
  </si>
  <si>
    <t>B01556</t>
  </si>
  <si>
    <t>B01557</t>
  </si>
  <si>
    <t>TECFEE-Classroom Upgrades</t>
  </si>
  <si>
    <t>Engineering</t>
  </si>
  <si>
    <t>B01622</t>
  </si>
  <si>
    <t>TECFEE-Upgrade Virtul and App stream</t>
  </si>
  <si>
    <t>TECFEE-3-D Geovisualization Project</t>
  </si>
  <si>
    <t>B01624</t>
  </si>
  <si>
    <t>Provost</t>
  </si>
  <si>
    <t>TECFEE Grad Coll Web Base Forms</t>
  </si>
  <si>
    <t>TECFEE-Bookeye Scanner for ILL</t>
  </si>
  <si>
    <t>Science</t>
  </si>
  <si>
    <t>B01125</t>
  </si>
  <si>
    <t>TECFEE-Math Science Teach Lab</t>
  </si>
  <si>
    <t>B01126</t>
  </si>
  <si>
    <t>TECFEE-Computer Auto Class Astronomy</t>
  </si>
  <si>
    <t>B01127</t>
  </si>
  <si>
    <t>B01128</t>
  </si>
  <si>
    <t>TECFEE-GIS Lab Upgrade AD 122</t>
  </si>
  <si>
    <r>
      <t xml:space="preserve">Computer Music Sequencing Lab AH-109 </t>
    </r>
    <r>
      <rPr>
        <sz val="9"/>
        <color indexed="10"/>
        <rFont val="Calibri"/>
        <family val="2"/>
      </rPr>
      <t>NOTES</t>
    </r>
  </si>
  <si>
    <t>2009-10 FY - 1st Round Approved Projects</t>
  </si>
  <si>
    <t>Year 1 Cost   2009-10</t>
  </si>
  <si>
    <t>Year 2 Cost   2010-11</t>
  </si>
  <si>
    <t>Year 3 Cost   2011-12</t>
  </si>
  <si>
    <t>2010-11</t>
  </si>
  <si>
    <t>Honors</t>
  </si>
  <si>
    <t>H45001</t>
  </si>
  <si>
    <t>B08122</t>
  </si>
  <si>
    <t>B01554</t>
  </si>
  <si>
    <t>B01555</t>
  </si>
  <si>
    <t>A00211</t>
  </si>
  <si>
    <t>A50126</t>
  </si>
  <si>
    <t>09-10</t>
  </si>
  <si>
    <t>unspent</t>
  </si>
  <si>
    <t>10-11</t>
  </si>
  <si>
    <t>Predecessor/Orgn</t>
  </si>
  <si>
    <t>B1300</t>
  </si>
  <si>
    <t>B3014</t>
  </si>
  <si>
    <t>B1500</t>
  </si>
  <si>
    <t>B1600</t>
  </si>
  <si>
    <t>A1000</t>
  </si>
  <si>
    <t>A2500</t>
  </si>
  <si>
    <t>B1100</t>
  </si>
  <si>
    <t>H4400</t>
  </si>
  <si>
    <t>TECFEE-Upgrade for Exercise Sci Lab-GY152</t>
  </si>
  <si>
    <t>TECFEE-Exercise Sci Lab Upgrade-Field House 11A</t>
  </si>
  <si>
    <t>TECFEE-Visual Arts E-classroom-VA 105</t>
  </si>
  <si>
    <t>TECFEE-Video Streaming/Enhance UG Course Delivery</t>
  </si>
  <si>
    <t>TECFEE-Std Computer Lab-Replace Computers</t>
  </si>
  <si>
    <t>TECFEE-CES EduPack 2010/Sustain. Related Courses</t>
  </si>
  <si>
    <t>TECFEE-Social Psych Research Lab Expan. II</t>
  </si>
  <si>
    <t>TECFEE-Overhead projectors/ 3 Psych rooms</t>
  </si>
  <si>
    <t>TECFEE-Educ Computer Lab Network Upgrade</t>
  </si>
  <si>
    <t>B01558</t>
  </si>
  <si>
    <t>09-10 Budget  Transfer</t>
  </si>
  <si>
    <t>Add'l 1st round projects</t>
  </si>
  <si>
    <t>001033 - Fall 09</t>
  </si>
  <si>
    <t>001037 - Spring 10</t>
  </si>
  <si>
    <t>001032 - Fall 10</t>
  </si>
  <si>
    <t>001170 - Summer 1/2 10</t>
  </si>
  <si>
    <t>001173 - Summer 3 10</t>
  </si>
  <si>
    <t>B01129</t>
  </si>
  <si>
    <t>B8100</t>
  </si>
  <si>
    <t>changed from B01623 6/2/10 due to incorrect college information</t>
  </si>
  <si>
    <t>carryover</t>
  </si>
  <si>
    <t>YTD - As of 5/31/10</t>
  </si>
  <si>
    <t>TECFEE-Computer Auto Class Astronom</t>
  </si>
  <si>
    <t>TECFEE-Social Psych Research Lab Ex</t>
  </si>
  <si>
    <t>TECFEE-Overhead Projectors/3 Pshcy r</t>
  </si>
  <si>
    <t>TECFEE-Digital Video Production</t>
  </si>
  <si>
    <t>TECFEE-Michael Zager</t>
  </si>
  <si>
    <t>TECFEE-Visual Arts E-Classrm-VA 105</t>
  </si>
  <si>
    <t>TECFEE-VA 115 E-Classroom</t>
  </si>
  <si>
    <t>TECFEE-Std Comp Lab-Replace Comp</t>
  </si>
  <si>
    <t>TECFEE-Ed Computer Lab Netwk Upgrad</t>
  </si>
  <si>
    <t>TECFEE-Upgrd Excer Sci  Lab GY152</t>
  </si>
  <si>
    <t>TECFEE-Exrcse Sci Lab Upgrad FH 11A</t>
  </si>
  <si>
    <t>TECFEE-Upgrade Virtual &amp; App Stream</t>
  </si>
  <si>
    <t>B01623</t>
  </si>
  <si>
    <t>TECFEE-3D Geovisualization Project</t>
  </si>
  <si>
    <t>TECFEE-CES EduPack 2010/Sustain.Rel</t>
  </si>
  <si>
    <t>TECFEE-Video Stram/Enhance UG Cours</t>
  </si>
  <si>
    <t>Reconciliation with Banner FGITBSR -</t>
  </si>
  <si>
    <t>Total Expenditure Control - 900021</t>
  </si>
  <si>
    <t>Banner</t>
  </si>
  <si>
    <t>2011-12</t>
  </si>
  <si>
    <t>College/VP area</t>
  </si>
  <si>
    <t>Computer Music Sequencing Lab AH-109 NOTES</t>
  </si>
  <si>
    <t>Yr 1</t>
  </si>
  <si>
    <t>Yr 2</t>
  </si>
  <si>
    <t>Yr 3</t>
  </si>
  <si>
    <t xml:space="preserve">Total  </t>
  </si>
  <si>
    <t>Total Approved and Funded (1st year)</t>
  </si>
  <si>
    <t>Funded</t>
  </si>
  <si>
    <t>y</t>
  </si>
  <si>
    <t>Provost  Library</t>
  </si>
  <si>
    <t>Student Affairs</t>
  </si>
  <si>
    <t>Provost IRM</t>
  </si>
  <si>
    <t>Department/Office</t>
  </si>
  <si>
    <r>
      <rPr>
        <b/>
        <sz val="8.5"/>
        <rFont val="Calibri"/>
        <family val="2"/>
      </rPr>
      <t xml:space="preserve">1.    </t>
    </r>
    <r>
      <rPr>
        <sz val="8.5"/>
        <rFont val="Calibri"/>
        <family val="2"/>
      </rPr>
      <t>Digital Video Production</t>
    </r>
  </si>
  <si>
    <r>
      <rPr>
        <b/>
        <sz val="8.5"/>
        <rFont val="Calibri"/>
        <family val="2"/>
      </rPr>
      <t>10.</t>
    </r>
    <r>
      <rPr>
        <sz val="8.5"/>
        <rFont val="Calibri"/>
        <family val="2"/>
      </rPr>
      <t xml:space="preserve">  Michael Zager</t>
    </r>
  </si>
  <si>
    <r>
      <rPr>
        <b/>
        <sz val="8.5"/>
        <rFont val="Calibri"/>
        <family val="2"/>
      </rPr>
      <t xml:space="preserve">11. </t>
    </r>
    <r>
      <rPr>
        <sz val="8.5"/>
        <rFont val="Calibri"/>
        <family val="2"/>
      </rPr>
      <t xml:space="preserve"> University Galleries' Student Office</t>
    </r>
  </si>
  <si>
    <r>
      <rPr>
        <b/>
        <sz val="8.5"/>
        <rFont val="Calibri"/>
        <family val="2"/>
      </rPr>
      <t>5.</t>
    </r>
    <r>
      <rPr>
        <sz val="8.5"/>
        <rFont val="Calibri"/>
        <family val="2"/>
      </rPr>
      <t xml:space="preserve">    Visual Arts Studio &amp; Lecture Series E-classroom, VA 105</t>
    </r>
  </si>
  <si>
    <r>
      <rPr>
        <b/>
        <sz val="8.5"/>
        <rFont val="Calibri"/>
        <family val="2"/>
      </rPr>
      <t>13.</t>
    </r>
    <r>
      <rPr>
        <sz val="8.5"/>
        <rFont val="Calibri"/>
        <family val="2"/>
      </rPr>
      <t xml:space="preserve">  VA 115 e-classroom</t>
    </r>
  </si>
  <si>
    <r>
      <rPr>
        <b/>
        <sz val="8.5"/>
        <rFont val="Calibri"/>
        <family val="2"/>
      </rPr>
      <t>9.</t>
    </r>
    <r>
      <rPr>
        <sz val="8.5"/>
        <rFont val="Calibri"/>
        <family val="2"/>
      </rPr>
      <t xml:space="preserve">    VA 115 Software Update</t>
    </r>
  </si>
  <si>
    <r>
      <rPr>
        <b/>
        <sz val="8.5"/>
        <rFont val="Calibri"/>
        <family val="2"/>
      </rPr>
      <t>2.</t>
    </r>
    <r>
      <rPr>
        <sz val="8.5"/>
        <rFont val="Calibri"/>
        <family val="2"/>
      </rPr>
      <t xml:space="preserve">    Student Computer Lab - Computer Replacements</t>
    </r>
  </si>
  <si>
    <r>
      <rPr>
        <b/>
        <sz val="8.5"/>
        <rFont val="Calibri"/>
        <family val="2"/>
      </rPr>
      <t xml:space="preserve">16. </t>
    </r>
    <r>
      <rPr>
        <sz val="8.5"/>
        <rFont val="Calibri"/>
        <family val="2"/>
      </rPr>
      <t xml:space="preserve"> Education Computer Lab - Network Upgrade</t>
    </r>
  </si>
  <si>
    <r>
      <rPr>
        <b/>
        <sz val="8.5"/>
        <rFont val="Calibri"/>
        <family val="2"/>
      </rPr>
      <t>38.</t>
    </r>
    <r>
      <rPr>
        <sz val="8.5"/>
        <rFont val="Calibri"/>
        <family val="2"/>
      </rPr>
      <t xml:space="preserve">  Classroom Upgrades</t>
    </r>
  </si>
  <si>
    <r>
      <rPr>
        <b/>
        <sz val="8.5"/>
        <rFont val="Calibri"/>
        <family val="2"/>
      </rPr>
      <t>17.</t>
    </r>
    <r>
      <rPr>
        <sz val="8.5"/>
        <rFont val="Calibri"/>
        <family val="2"/>
      </rPr>
      <t xml:space="preserve">  Upgrade for Exercise Science Laboratory, GY 152</t>
    </r>
  </si>
  <si>
    <r>
      <rPr>
        <b/>
        <sz val="8.5"/>
        <rFont val="Calibri"/>
        <family val="2"/>
      </rPr>
      <t>19.</t>
    </r>
    <r>
      <rPr>
        <sz val="8.5"/>
        <rFont val="Calibri"/>
        <family val="2"/>
      </rPr>
      <t xml:space="preserve">  Upgrade for Exercise Science Laboratory--Field House 11A</t>
    </r>
  </si>
  <si>
    <r>
      <rPr>
        <b/>
        <sz val="8.5"/>
        <rFont val="Calibri"/>
        <family val="2"/>
      </rPr>
      <t>6.</t>
    </r>
    <r>
      <rPr>
        <sz val="8.5"/>
        <rFont val="Calibri"/>
        <family val="2"/>
      </rPr>
      <t xml:space="preserve">    Upgrading Virtualization and Application Streaming Software</t>
    </r>
  </si>
  <si>
    <r>
      <rPr>
        <b/>
        <sz val="8.5"/>
        <rFont val="Calibri"/>
        <family val="2"/>
      </rPr>
      <t>36.</t>
    </r>
    <r>
      <rPr>
        <sz val="8.5"/>
        <rFont val="Calibri"/>
        <family val="2"/>
      </rPr>
      <t xml:space="preserve">  CES EduPack 2010 to Support Sustainability-Related Courses</t>
    </r>
  </si>
  <si>
    <r>
      <rPr>
        <b/>
        <sz val="8.5"/>
        <rFont val="Calibri"/>
        <family val="2"/>
      </rPr>
      <t>14.</t>
    </r>
    <r>
      <rPr>
        <sz val="8.5"/>
        <rFont val="Calibri"/>
        <family val="2"/>
      </rPr>
      <t xml:space="preserve">  Social Psychology Research Lab Expansion II</t>
    </r>
  </si>
  <si>
    <r>
      <rPr>
        <b/>
        <sz val="8.5"/>
        <rFont val="Calibri"/>
        <family val="2"/>
      </rPr>
      <t>40.</t>
    </r>
    <r>
      <rPr>
        <sz val="8.5"/>
        <rFont val="Calibri"/>
        <family val="2"/>
      </rPr>
      <t xml:space="preserve">  Video Streaming Initiative to Enhance Undergraduate Course Delivery</t>
    </r>
  </si>
  <si>
    <r>
      <rPr>
        <b/>
        <sz val="8.5"/>
        <rFont val="Calibri"/>
        <family val="2"/>
      </rPr>
      <t>29.</t>
    </r>
    <r>
      <rPr>
        <sz val="8.5"/>
        <rFont val="Calibri"/>
        <family val="2"/>
      </rPr>
      <t xml:space="preserve">  DeGrove Library Tech</t>
    </r>
  </si>
  <si>
    <r>
      <rPr>
        <b/>
        <sz val="8.5"/>
        <rFont val="Calibri"/>
        <family val="2"/>
      </rPr>
      <t xml:space="preserve">24. </t>
    </r>
    <r>
      <rPr>
        <sz val="8.5"/>
        <rFont val="Calibri"/>
        <family val="2"/>
      </rPr>
      <t xml:space="preserve"> GIS Lab Upgrade AD 122</t>
    </r>
  </si>
  <si>
    <r>
      <rPr>
        <b/>
        <sz val="8.5"/>
        <rFont val="Calibri"/>
        <family val="2"/>
      </rPr>
      <t xml:space="preserve">27. </t>
    </r>
    <r>
      <rPr>
        <sz val="8.5"/>
        <rFont val="Calibri"/>
        <family val="2"/>
      </rPr>
      <t xml:space="preserve"> Bookeye Scanner for ILL</t>
    </r>
  </si>
  <si>
    <r>
      <rPr>
        <b/>
        <sz val="8.5"/>
        <rFont val="Calibri"/>
        <family val="2"/>
      </rPr>
      <t xml:space="preserve">33. </t>
    </r>
    <r>
      <rPr>
        <sz val="8.5"/>
        <rFont val="Calibri"/>
        <family val="2"/>
      </rPr>
      <t xml:space="preserve"> Mathematical Sciences Teaching Lab</t>
    </r>
  </si>
  <si>
    <r>
      <rPr>
        <b/>
        <sz val="8.5"/>
        <rFont val="Calibri"/>
        <family val="2"/>
      </rPr>
      <t xml:space="preserve">39. </t>
    </r>
    <r>
      <rPr>
        <sz val="8.5"/>
        <rFont val="Calibri"/>
        <family val="2"/>
      </rPr>
      <t xml:space="preserve"> Computer Automated Classroom Astronomy</t>
    </r>
  </si>
  <si>
    <r>
      <rPr>
        <b/>
        <sz val="8.5"/>
        <rFont val="Calibri"/>
        <family val="2"/>
      </rPr>
      <t>37.</t>
    </r>
    <r>
      <rPr>
        <sz val="8.5"/>
        <rFont val="Calibri"/>
        <family val="2"/>
      </rPr>
      <t xml:space="preserve">  Overhead projectors for 3 Psychology classrooms.</t>
    </r>
  </si>
  <si>
    <r>
      <rPr>
        <b/>
        <sz val="8.5"/>
        <rFont val="Calibri"/>
        <family val="2"/>
      </rPr>
      <t>30.</t>
    </r>
    <r>
      <rPr>
        <sz val="8.5"/>
        <rFont val="Calibri"/>
        <family val="2"/>
      </rPr>
      <t xml:space="preserve">  3-D Geovisualization Project</t>
    </r>
  </si>
  <si>
    <r>
      <rPr>
        <b/>
        <sz val="8.5"/>
        <rFont val="Calibri"/>
        <family val="2"/>
      </rPr>
      <t>12.</t>
    </r>
    <r>
      <rPr>
        <sz val="8.5"/>
        <rFont val="Calibri"/>
        <family val="2"/>
      </rPr>
      <t xml:space="preserve">  iClickers for Reading &amp; Content Area Methodology Courses</t>
    </r>
  </si>
  <si>
    <r>
      <rPr>
        <b/>
        <sz val="8.5"/>
        <rFont val="Calibri"/>
        <family val="2"/>
      </rPr>
      <t xml:space="preserve">15. </t>
    </r>
    <r>
      <rPr>
        <sz val="8.5"/>
        <rFont val="Calibri"/>
        <family val="2"/>
      </rPr>
      <t xml:space="preserve"> Counseling Recording Lab DVD Upgrade</t>
    </r>
  </si>
  <si>
    <r>
      <rPr>
        <b/>
        <sz val="8.5"/>
        <rFont val="Calibri"/>
        <family val="2"/>
      </rPr>
      <t>20.</t>
    </r>
    <r>
      <rPr>
        <sz val="8.5"/>
        <rFont val="Calibri"/>
        <family val="2"/>
      </rPr>
      <t xml:space="preserve">  Multimedia Suite hardware and software</t>
    </r>
  </si>
  <si>
    <r>
      <rPr>
        <b/>
        <sz val="8.5"/>
        <rFont val="Calibri"/>
        <family val="2"/>
      </rPr>
      <t>22.</t>
    </r>
    <r>
      <rPr>
        <sz val="8.5"/>
        <rFont val="Calibri"/>
        <family val="2"/>
      </rPr>
      <t xml:space="preserve">  Mac Pro for Digitization</t>
    </r>
  </si>
  <si>
    <r>
      <rPr>
        <b/>
        <sz val="8.5"/>
        <rFont val="Calibri"/>
        <family val="2"/>
      </rPr>
      <t xml:space="preserve">25.  </t>
    </r>
    <r>
      <rPr>
        <sz val="8.5"/>
        <rFont val="Calibri"/>
        <family val="2"/>
      </rPr>
      <t>Ports and PCs, room 215</t>
    </r>
  </si>
  <si>
    <r>
      <rPr>
        <b/>
        <sz val="8.5"/>
        <rFont val="Calibri"/>
        <family val="2"/>
      </rPr>
      <t xml:space="preserve">26. </t>
    </r>
    <r>
      <rPr>
        <sz val="8.5"/>
        <rFont val="Calibri"/>
        <family val="2"/>
      </rPr>
      <t xml:space="preserve"> Replacement and new public PCs</t>
    </r>
  </si>
  <si>
    <r>
      <rPr>
        <b/>
        <sz val="8.5"/>
        <rFont val="Calibri"/>
        <family val="2"/>
      </rPr>
      <t>34.</t>
    </r>
    <r>
      <rPr>
        <sz val="8.5"/>
        <rFont val="Calibri"/>
        <family val="2"/>
      </rPr>
      <t xml:space="preserve">  Large Format Scanning</t>
    </r>
  </si>
  <si>
    <r>
      <rPr>
        <b/>
        <sz val="8.5"/>
        <rFont val="Calibri"/>
        <family val="2"/>
      </rPr>
      <t xml:space="preserve">35. </t>
    </r>
    <r>
      <rPr>
        <sz val="8.5"/>
        <rFont val="Calibri"/>
        <family val="2"/>
      </rPr>
      <t xml:space="preserve"> iPad youPad</t>
    </r>
  </si>
  <si>
    <t>Software License</t>
  </si>
  <si>
    <t>Misc. Expense</t>
  </si>
  <si>
    <t>Category</t>
  </si>
  <si>
    <t>Round#</t>
  </si>
  <si>
    <t>09-10 Bal.</t>
  </si>
  <si>
    <t xml:space="preserve">The List of Projects Funded by Technology Fee </t>
  </si>
  <si>
    <t xml:space="preserve">Summary of the Approved Projects Cost Funded By Technology Fee </t>
  </si>
  <si>
    <t>Actual</t>
  </si>
  <si>
    <t>Estimate</t>
  </si>
  <si>
    <t>Round 2</t>
  </si>
  <si>
    <t>Round 1</t>
  </si>
  <si>
    <t xml:space="preserve">Round 1 - Approved &amp; Funded </t>
  </si>
  <si>
    <t xml:space="preserve">Round 2 - Approved &amp; Funded </t>
  </si>
  <si>
    <t>Round 1 Cost</t>
  </si>
  <si>
    <t>Round 2 Cost</t>
  </si>
  <si>
    <t>Round 3 Cost</t>
  </si>
  <si>
    <t>Round 4 Cost</t>
  </si>
  <si>
    <t>10-11 Budget</t>
  </si>
  <si>
    <t>End Bal.</t>
  </si>
  <si>
    <t>Provost Library</t>
  </si>
  <si>
    <t>Library</t>
  </si>
  <si>
    <t>J0076077</t>
  </si>
  <si>
    <t>J0076076</t>
  </si>
  <si>
    <t>X20001</t>
  </si>
  <si>
    <t>Banner Budget</t>
  </si>
  <si>
    <t>A00212</t>
  </si>
  <si>
    <t>09-10 Exp</t>
  </si>
  <si>
    <t>09-10 Ending</t>
  </si>
  <si>
    <t>10-11 Beginning bal</t>
  </si>
  <si>
    <t>budget load</t>
  </si>
  <si>
    <t>10-11 Exp budget - 130000</t>
  </si>
  <si>
    <t>Control acct - X20001</t>
  </si>
  <si>
    <t>J0076084</t>
  </si>
  <si>
    <t>J0076086</t>
  </si>
  <si>
    <t>J0077481</t>
  </si>
  <si>
    <t>Budget for 09-10 balance</t>
  </si>
  <si>
    <t>Balance</t>
  </si>
  <si>
    <t>J0077717</t>
  </si>
  <si>
    <t>B01559</t>
  </si>
  <si>
    <t>B01560</t>
  </si>
  <si>
    <t>A50127</t>
  </si>
  <si>
    <t>A50128</t>
  </si>
  <si>
    <t>A50129</t>
  </si>
  <si>
    <t>A50130</t>
  </si>
  <si>
    <t>B08123</t>
  </si>
  <si>
    <t>B08124</t>
  </si>
  <si>
    <t>Budget</t>
  </si>
  <si>
    <t>J0078093</t>
  </si>
  <si>
    <t>VP/Area</t>
  </si>
  <si>
    <t>Pred Org Title</t>
  </si>
  <si>
    <t>Banner Title</t>
  </si>
  <si>
    <t>Fund</t>
  </si>
  <si>
    <t>Predecessor  Org</t>
  </si>
  <si>
    <t>Program</t>
  </si>
  <si>
    <t>A</t>
  </si>
  <si>
    <t>Provost &amp; CAO Levl 4</t>
  </si>
  <si>
    <t>440000</t>
  </si>
  <si>
    <t>TECFEE-Grad Coll Web Base Forms</t>
  </si>
  <si>
    <t>TECFEE SI Workroom Upgrade</t>
  </si>
  <si>
    <t>V</t>
  </si>
  <si>
    <t>Strategic Planning &amp; Tech</t>
  </si>
  <si>
    <t>Enterprise Computing Services Lvl 4</t>
  </si>
  <si>
    <t>TECFEE-Teaching w Technology Prog</t>
  </si>
  <si>
    <t>A1035</t>
  </si>
  <si>
    <t>Q</t>
  </si>
  <si>
    <t>Director University Libraries Lvl 4</t>
  </si>
  <si>
    <t>TECFEE-Macbooks &amp; iMacs</t>
  </si>
  <si>
    <t>TECFEE-Multimedia PCs &amp; Software</t>
  </si>
  <si>
    <t>TECFEE-Library Public PCs Replacmt</t>
  </si>
  <si>
    <t>TECFEE-Zoom Text Service EasyReader</t>
  </si>
  <si>
    <t>TECFEE Multimedia Ste Hard/software</t>
  </si>
  <si>
    <t>TECFEE Mac Pro for Digitization</t>
  </si>
  <si>
    <t>TECFEE Ports and Pcs room 215</t>
  </si>
  <si>
    <t>TECFEE Replace &amp; New Public PC/s</t>
  </si>
  <si>
    <t>B</t>
  </si>
  <si>
    <t>Dean Science L:vl 4</t>
  </si>
  <si>
    <t>TECFEE-Internet &amp; Mobile GIS Applic</t>
  </si>
  <si>
    <t>TECFEE-Social Psycho Lab Equip Expa</t>
  </si>
  <si>
    <t>TECFEE-General Chem Lab Upgrade</t>
  </si>
  <si>
    <t>TECFEE-Overhead Projectors/3Psych r</t>
  </si>
  <si>
    <t>3-D Geovisualization Project</t>
  </si>
  <si>
    <t>Business Distance Learning-Lvl 4</t>
  </si>
  <si>
    <t>Dean-Education Lvl 4</t>
  </si>
  <si>
    <t>TECFEE-Classroom TECFEEH Upgrades</t>
  </si>
  <si>
    <t>TECFEE-e-classroom</t>
  </si>
  <si>
    <t>TECFEE-Executive E-classroom</t>
  </si>
  <si>
    <t>TECFEE-Livetext Implement.Plan</t>
  </si>
  <si>
    <t>TECFEE-Upgrd Excer Sci. Lab GY152</t>
  </si>
  <si>
    <t>TECFEE-Exrcse Sci Lab Upgrd FH 11A</t>
  </si>
  <si>
    <t>Teaching and Learning</t>
  </si>
  <si>
    <t>TECFEE-Iclickers for Reading &amp; Content</t>
  </si>
  <si>
    <t>TECFEE-Counsel &amp; Record Lab DVD</t>
  </si>
  <si>
    <t>Dean Engineering Lvl 4</t>
  </si>
  <si>
    <t>TECFEE-Distance learn.Facility</t>
  </si>
  <si>
    <t>TECFEE-Math Software Netwk Install</t>
  </si>
  <si>
    <t>Inactive</t>
  </si>
  <si>
    <t>TECFEE-3 D Geovisualization Project</t>
  </si>
  <si>
    <t>Nursing</t>
  </si>
  <si>
    <t>Dean-Nursing Lvl 4</t>
  </si>
  <si>
    <t>B1800</t>
  </si>
  <si>
    <t>CAUPA-Boca Lvl 4</t>
  </si>
  <si>
    <t>TECFEE-Large Format Scanning</t>
  </si>
  <si>
    <t>TECFEE-Ipad you Pad</t>
  </si>
  <si>
    <t>Dean  Arts and Letters Lvl 4</t>
  </si>
  <si>
    <t>TECFEE-Anthropology Stu.Facility</t>
  </si>
  <si>
    <t>HonorsCollege-Auxiliary</t>
  </si>
  <si>
    <t>S</t>
  </si>
  <si>
    <t>TECFEE-Assist/Disable Students</t>
  </si>
  <si>
    <t>S0270</t>
  </si>
  <si>
    <t>J0078736</t>
  </si>
  <si>
    <t>2nd year - distribution</t>
  </si>
  <si>
    <t>Total budget</t>
  </si>
  <si>
    <t>J0078716</t>
  </si>
  <si>
    <t>Yr 4</t>
  </si>
  <si>
    <t xml:space="preserve"> Arts and Letters Total</t>
  </si>
  <si>
    <t xml:space="preserve"> CAUPA Total</t>
  </si>
  <si>
    <t xml:space="preserve"> Education Total</t>
  </si>
  <si>
    <t xml:space="preserve"> Engineering Total</t>
  </si>
  <si>
    <t xml:space="preserve"> Nursing Total</t>
  </si>
  <si>
    <t>Business Total</t>
  </si>
  <si>
    <t>Honors Total</t>
  </si>
  <si>
    <t>Provost Total</t>
  </si>
  <si>
    <t>Science Total</t>
  </si>
  <si>
    <t>Strategic Planning &amp; Tech Total</t>
  </si>
  <si>
    <t>Student Affairs Total</t>
  </si>
  <si>
    <t>Grand Total</t>
  </si>
  <si>
    <t>TECFEE-Video Stream/Enhance UG Course</t>
  </si>
  <si>
    <t>TECFEE-Library Laptop Replacement</t>
  </si>
  <si>
    <t>Assoc Dean-Student Affairs Lvl 4</t>
  </si>
  <si>
    <r>
      <rPr>
        <b/>
        <sz val="11"/>
        <rFont val="Arial"/>
        <family val="2"/>
      </rPr>
      <t xml:space="preserve">1.    </t>
    </r>
    <r>
      <rPr>
        <sz val="11"/>
        <rFont val="Arial"/>
        <family val="2"/>
      </rPr>
      <t>Digital Video Production</t>
    </r>
  </si>
  <si>
    <r>
      <rPr>
        <b/>
        <sz val="11"/>
        <rFont val="Arial"/>
        <family val="2"/>
      </rPr>
      <t>10.</t>
    </r>
    <r>
      <rPr>
        <sz val="11"/>
        <rFont val="Arial"/>
        <family val="2"/>
      </rPr>
      <t xml:space="preserve">  Michael Zager</t>
    </r>
  </si>
  <si>
    <r>
      <rPr>
        <b/>
        <sz val="11"/>
        <rFont val="Arial"/>
        <family val="2"/>
      </rPr>
      <t xml:space="preserve">11. </t>
    </r>
    <r>
      <rPr>
        <sz val="11"/>
        <rFont val="Arial"/>
        <family val="2"/>
      </rPr>
      <t xml:space="preserve"> University Galleries' Student Office</t>
    </r>
  </si>
  <si>
    <r>
      <rPr>
        <b/>
        <sz val="11"/>
        <rFont val="Arial"/>
        <family val="2"/>
      </rPr>
      <t>5.</t>
    </r>
    <r>
      <rPr>
        <sz val="11"/>
        <rFont val="Arial"/>
        <family val="2"/>
      </rPr>
      <t xml:space="preserve">    Visual Arts Studio &amp; Lecture Series E-classroom, VA 105</t>
    </r>
  </si>
  <si>
    <r>
      <rPr>
        <b/>
        <sz val="11"/>
        <rFont val="Arial"/>
        <family val="2"/>
      </rPr>
      <t>13.</t>
    </r>
    <r>
      <rPr>
        <sz val="11"/>
        <rFont val="Arial"/>
        <family val="2"/>
      </rPr>
      <t xml:space="preserve">  VA 115 e-classroom</t>
    </r>
  </si>
  <si>
    <r>
      <rPr>
        <b/>
        <sz val="11"/>
        <rFont val="Arial"/>
        <family val="2"/>
      </rPr>
      <t>9.</t>
    </r>
    <r>
      <rPr>
        <sz val="11"/>
        <rFont val="Arial"/>
        <family val="2"/>
      </rPr>
      <t xml:space="preserve">    VA 115 Software Update</t>
    </r>
  </si>
  <si>
    <r>
      <rPr>
        <b/>
        <sz val="11"/>
        <rFont val="Arial"/>
        <family val="2"/>
      </rPr>
      <t>2.</t>
    </r>
    <r>
      <rPr>
        <sz val="11"/>
        <rFont val="Arial"/>
        <family val="2"/>
      </rPr>
      <t xml:space="preserve">    Student Computer Lab - Computer Replacements</t>
    </r>
  </si>
  <si>
    <r>
      <rPr>
        <b/>
        <sz val="11"/>
        <rFont val="Arial"/>
        <family val="2"/>
      </rPr>
      <t xml:space="preserve">16. </t>
    </r>
    <r>
      <rPr>
        <sz val="11"/>
        <rFont val="Arial"/>
        <family val="2"/>
      </rPr>
      <t xml:space="preserve"> Education Computer Lab - Network Upgrade</t>
    </r>
  </si>
  <si>
    <r>
      <rPr>
        <b/>
        <sz val="11"/>
        <rFont val="Arial"/>
        <family val="2"/>
      </rPr>
      <t>38.</t>
    </r>
    <r>
      <rPr>
        <sz val="11"/>
        <rFont val="Arial"/>
        <family val="2"/>
      </rPr>
      <t xml:space="preserve">  Classroom Upgrades</t>
    </r>
  </si>
  <si>
    <r>
      <rPr>
        <b/>
        <sz val="11"/>
        <rFont val="Arial"/>
        <family val="2"/>
      </rPr>
      <t>17.</t>
    </r>
    <r>
      <rPr>
        <sz val="11"/>
        <rFont val="Arial"/>
        <family val="2"/>
      </rPr>
      <t xml:space="preserve">  Upgrade for Exercise Science Laboratory, GY 152</t>
    </r>
  </si>
  <si>
    <r>
      <rPr>
        <b/>
        <sz val="11"/>
        <rFont val="Arial"/>
        <family val="2"/>
      </rPr>
      <t>19.</t>
    </r>
    <r>
      <rPr>
        <sz val="11"/>
        <rFont val="Arial"/>
        <family val="2"/>
      </rPr>
      <t xml:space="preserve">  Upgrade for Exercise Science Laboratory--Field House 11A</t>
    </r>
  </si>
  <si>
    <r>
      <rPr>
        <b/>
        <sz val="11"/>
        <rFont val="Arial"/>
        <family val="2"/>
      </rPr>
      <t>6.</t>
    </r>
    <r>
      <rPr>
        <sz val="11"/>
        <rFont val="Arial"/>
        <family val="2"/>
      </rPr>
      <t xml:space="preserve">    Upgrading Virtualization and Application Streaming Software</t>
    </r>
  </si>
  <si>
    <r>
      <rPr>
        <b/>
        <sz val="11"/>
        <rFont val="Arial"/>
        <family val="2"/>
      </rPr>
      <t>36.</t>
    </r>
    <r>
      <rPr>
        <sz val="11"/>
        <rFont val="Arial"/>
        <family val="2"/>
      </rPr>
      <t xml:space="preserve">  CES EduPack 2010 to Support Sustainability-Related Courses</t>
    </r>
  </si>
  <si>
    <r>
      <rPr>
        <b/>
        <sz val="11"/>
        <rFont val="Arial"/>
        <family val="2"/>
      </rPr>
      <t>14.</t>
    </r>
    <r>
      <rPr>
        <sz val="11"/>
        <rFont val="Arial"/>
        <family val="2"/>
      </rPr>
      <t xml:space="preserve">  Social Psychology Research Lab Expansion II</t>
    </r>
  </si>
  <si>
    <r>
      <rPr>
        <b/>
        <sz val="11"/>
        <rFont val="Arial"/>
        <family val="2"/>
      </rPr>
      <t>40.</t>
    </r>
    <r>
      <rPr>
        <sz val="11"/>
        <rFont val="Arial"/>
        <family val="2"/>
      </rPr>
      <t xml:space="preserve">  Video Streaming Initiative to Enhance Undergraduate Course Delivery</t>
    </r>
  </si>
  <si>
    <r>
      <rPr>
        <b/>
        <sz val="11"/>
        <rFont val="Arial"/>
        <family val="2"/>
      </rPr>
      <t>29.</t>
    </r>
    <r>
      <rPr>
        <sz val="11"/>
        <rFont val="Arial"/>
        <family val="2"/>
      </rPr>
      <t xml:space="preserve">  DeGrove Library Tech</t>
    </r>
  </si>
  <si>
    <r>
      <rPr>
        <b/>
        <sz val="11"/>
        <rFont val="Arial"/>
        <family val="2"/>
      </rPr>
      <t>34.</t>
    </r>
    <r>
      <rPr>
        <sz val="11"/>
        <rFont val="Arial"/>
        <family val="2"/>
      </rPr>
      <t xml:space="preserve">  Large Format Scanning</t>
    </r>
  </si>
  <si>
    <r>
      <rPr>
        <b/>
        <sz val="11"/>
        <rFont val="Arial"/>
        <family val="2"/>
      </rPr>
      <t xml:space="preserve">35. </t>
    </r>
    <r>
      <rPr>
        <sz val="11"/>
        <rFont val="Arial"/>
        <family val="2"/>
      </rPr>
      <t xml:space="preserve"> iPad youPad</t>
    </r>
  </si>
  <si>
    <r>
      <rPr>
        <b/>
        <sz val="11"/>
        <rFont val="Arial"/>
        <family val="2"/>
      </rPr>
      <t>12.</t>
    </r>
    <r>
      <rPr>
        <sz val="11"/>
        <rFont val="Arial"/>
        <family val="2"/>
      </rPr>
      <t xml:space="preserve">  iClickers for Reading &amp; Content Area Methodology Courses</t>
    </r>
  </si>
  <si>
    <r>
      <rPr>
        <b/>
        <sz val="11"/>
        <rFont val="Arial"/>
        <family val="2"/>
      </rPr>
      <t xml:space="preserve">15. </t>
    </r>
    <r>
      <rPr>
        <sz val="11"/>
        <rFont val="Arial"/>
        <family val="2"/>
      </rPr>
      <t xml:space="preserve"> Counseling Recording Lab DVD Upgrade</t>
    </r>
  </si>
  <si>
    <r>
      <rPr>
        <b/>
        <sz val="11"/>
        <rFont val="Arial"/>
        <family val="2"/>
      </rPr>
      <t xml:space="preserve">24. </t>
    </r>
    <r>
      <rPr>
        <sz val="11"/>
        <rFont val="Arial"/>
        <family val="2"/>
      </rPr>
      <t xml:space="preserve"> GIS Lab Upgrade AD 122</t>
    </r>
  </si>
  <si>
    <r>
      <rPr>
        <b/>
        <sz val="11"/>
        <rFont val="Arial"/>
        <family val="2"/>
      </rPr>
      <t xml:space="preserve">27. </t>
    </r>
    <r>
      <rPr>
        <sz val="11"/>
        <rFont val="Arial"/>
        <family val="2"/>
      </rPr>
      <t xml:space="preserve"> Bookeye Scanner for ILL</t>
    </r>
  </si>
  <si>
    <r>
      <rPr>
        <b/>
        <sz val="11"/>
        <rFont val="Arial"/>
        <family val="2"/>
      </rPr>
      <t>20.</t>
    </r>
    <r>
      <rPr>
        <sz val="11"/>
        <rFont val="Arial"/>
        <family val="2"/>
      </rPr>
      <t xml:space="preserve">  Multimedia Suite hardware and software</t>
    </r>
  </si>
  <si>
    <r>
      <rPr>
        <b/>
        <sz val="11"/>
        <rFont val="Arial"/>
        <family val="2"/>
      </rPr>
      <t>22.</t>
    </r>
    <r>
      <rPr>
        <sz val="11"/>
        <rFont val="Arial"/>
        <family val="2"/>
      </rPr>
      <t xml:space="preserve">  Mac Pro for Digitization</t>
    </r>
  </si>
  <si>
    <r>
      <rPr>
        <b/>
        <sz val="11"/>
        <rFont val="Arial"/>
        <family val="2"/>
      </rPr>
      <t xml:space="preserve">25.  </t>
    </r>
    <r>
      <rPr>
        <sz val="11"/>
        <rFont val="Arial"/>
        <family val="2"/>
      </rPr>
      <t>Ports and PCs, room 215</t>
    </r>
  </si>
  <si>
    <r>
      <rPr>
        <b/>
        <sz val="11"/>
        <rFont val="Arial"/>
        <family val="2"/>
      </rPr>
      <t xml:space="preserve">26. </t>
    </r>
    <r>
      <rPr>
        <sz val="11"/>
        <rFont val="Arial"/>
        <family val="2"/>
      </rPr>
      <t xml:space="preserve"> Replacement and new public PCs</t>
    </r>
  </si>
  <si>
    <r>
      <rPr>
        <b/>
        <sz val="11"/>
        <rFont val="Arial"/>
        <family val="2"/>
      </rPr>
      <t xml:space="preserve">33. </t>
    </r>
    <r>
      <rPr>
        <sz val="11"/>
        <rFont val="Arial"/>
        <family val="2"/>
      </rPr>
      <t xml:space="preserve"> Mathematical Sciences Teaching Lab</t>
    </r>
  </si>
  <si>
    <r>
      <rPr>
        <b/>
        <sz val="11"/>
        <rFont val="Arial"/>
        <family val="2"/>
      </rPr>
      <t xml:space="preserve">39. </t>
    </r>
    <r>
      <rPr>
        <sz val="11"/>
        <rFont val="Arial"/>
        <family val="2"/>
      </rPr>
      <t xml:space="preserve"> Computer Automated Classroom Astronomy</t>
    </r>
  </si>
  <si>
    <r>
      <rPr>
        <b/>
        <sz val="11"/>
        <rFont val="Arial"/>
        <family val="2"/>
      </rPr>
      <t>37.</t>
    </r>
    <r>
      <rPr>
        <sz val="11"/>
        <rFont val="Arial"/>
        <family val="2"/>
      </rPr>
      <t xml:space="preserve">  Overhead projectors for 3 Psychology classrooms.</t>
    </r>
  </si>
  <si>
    <r>
      <rPr>
        <b/>
        <sz val="11"/>
        <rFont val="Arial"/>
        <family val="2"/>
      </rPr>
      <t>30.</t>
    </r>
    <r>
      <rPr>
        <sz val="11"/>
        <rFont val="Arial"/>
        <family val="2"/>
      </rPr>
      <t xml:space="preserve">  3-D Geovisualization Project</t>
    </r>
  </si>
  <si>
    <t xml:space="preserve"> Library Total</t>
  </si>
  <si>
    <t>Current Available Balance</t>
  </si>
  <si>
    <t>Technology Fee Report</t>
  </si>
  <si>
    <t>001037 - Spring 11</t>
  </si>
  <si>
    <t>% Spent</t>
  </si>
  <si>
    <t xml:space="preserve">Total </t>
  </si>
  <si>
    <t>Round 3</t>
  </si>
  <si>
    <t>Id</t>
  </si>
  <si>
    <t>Year 1 Cost   2010-11</t>
  </si>
  <si>
    <t>Year 2 Cost  2011-12</t>
  </si>
  <si>
    <t>Year 3 Cost  2012-13</t>
  </si>
  <si>
    <t>Education E-Classroom</t>
  </si>
  <si>
    <t>B01561</t>
  </si>
  <si>
    <t>College of Education - E-Classroom</t>
  </si>
  <si>
    <t>B01562</t>
  </si>
  <si>
    <t>Video Cameras for Counselor Training and Research</t>
  </si>
  <si>
    <t>B01563</t>
  </si>
  <si>
    <t>Digital Production Studio</t>
  </si>
  <si>
    <t>Arts and Letters</t>
  </si>
  <si>
    <t>B09332</t>
  </si>
  <si>
    <t>Molecular Drawing / Modeling Software and Computerized Spectromet</t>
  </si>
  <si>
    <t>B01131</t>
  </si>
  <si>
    <t>Implementing Synchronous and Asynchronous Teaching in Psychology</t>
  </si>
  <si>
    <t>B01132</t>
  </si>
  <si>
    <t>multi-user collaborative study spaces</t>
  </si>
  <si>
    <t>A50132</t>
  </si>
  <si>
    <t>student-use laptop for Special Collections</t>
  </si>
  <si>
    <t>A50135</t>
  </si>
  <si>
    <t>Flip Video Camcorders</t>
  </si>
  <si>
    <t>A50136</t>
  </si>
  <si>
    <t>online printing--Jupiter campus library</t>
  </si>
  <si>
    <t>A50137</t>
  </si>
  <si>
    <t>ELMO document reader--Treasure Coast Campus</t>
  </si>
  <si>
    <t>A50138</t>
  </si>
  <si>
    <t>calculators for student check out</t>
  </si>
  <si>
    <t>A50140</t>
  </si>
  <si>
    <t>AV Improvement BS #303</t>
  </si>
  <si>
    <t>B01134</t>
  </si>
  <si>
    <t>Laser Cutting and Digital Fabrication</t>
  </si>
  <si>
    <t>B08125</t>
  </si>
  <si>
    <t>Digital Photography lab</t>
  </si>
  <si>
    <t>B09333</t>
  </si>
  <si>
    <t>Phd Lab</t>
  </si>
  <si>
    <t>B01821</t>
  </si>
  <si>
    <t>Qualitative Data Analysis Software; Training</t>
  </si>
  <si>
    <t>B09334</t>
  </si>
  <si>
    <t>Digital Projectors: upgrade replacements for Graphic Design AT303</t>
  </si>
  <si>
    <t>B09336</t>
  </si>
  <si>
    <t>B01626</t>
  </si>
  <si>
    <t>SCATSIM - Software for Adaptive Traffic Control</t>
  </si>
  <si>
    <t>B01627</t>
  </si>
  <si>
    <t>Enhancing eLearning in the Sciences</t>
  </si>
  <si>
    <t>B01137</t>
  </si>
  <si>
    <t>Android Robotics</t>
  </si>
  <si>
    <t>B01628</t>
  </si>
  <si>
    <t>E-equip Social  Science 377</t>
  </si>
  <si>
    <t>B09337</t>
  </si>
  <si>
    <t>Music Classrooms E-Upgrade</t>
  </si>
  <si>
    <t>B09338</t>
  </si>
  <si>
    <t>Remote Education and Assessment of Critical Habitats (REACH)</t>
  </si>
  <si>
    <t>B01140</t>
  </si>
  <si>
    <t>Exercise Science Laboratory--Field House 11A</t>
  </si>
  <si>
    <t>B01564</t>
  </si>
  <si>
    <t>Equipment technology upgrade</t>
  </si>
  <si>
    <t>B01565</t>
  </si>
  <si>
    <t>Imaging and Genome Analysis Technology package</t>
  </si>
  <si>
    <t>B01141</t>
  </si>
  <si>
    <t>AcCESS-Title III</t>
  </si>
  <si>
    <t xml:space="preserve">Undergraduate Studies </t>
  </si>
  <si>
    <t>A00213</t>
  </si>
  <si>
    <t>FAU Galleries: 21st Century Exhibitions</t>
  </si>
  <si>
    <t>B09339</t>
  </si>
  <si>
    <t>Laptop replacement</t>
  </si>
  <si>
    <t>B01566</t>
  </si>
  <si>
    <t>VPT Lab Video Project II</t>
  </si>
  <si>
    <t>B08126</t>
  </si>
  <si>
    <t>OWL TV TRANSMISSION UPGRADE</t>
  </si>
  <si>
    <t xml:space="preserve">Y </t>
  </si>
  <si>
    <t>S27066</t>
  </si>
  <si>
    <t>Second Avenue Studio, Student Exhibition and Work Space</t>
  </si>
  <si>
    <t>S27067</t>
  </si>
  <si>
    <t>ISSS Multimedia Resource Room (MRR) and Reception Area</t>
  </si>
  <si>
    <t>S27069</t>
  </si>
  <si>
    <t>Banner account</t>
  </si>
  <si>
    <t>Digital Video Production</t>
  </si>
  <si>
    <t>University Galleries' Student Office</t>
  </si>
  <si>
    <t>VA 115 e-classroom</t>
  </si>
  <si>
    <t>VA 115 Software Update</t>
  </si>
  <si>
    <t>Video Streaming Initiative to Enhance Undergraduate Course Delivery</t>
  </si>
  <si>
    <t>DeGrove Library Tech</t>
  </si>
  <si>
    <t>Student Computer Lab - Computer Replacements</t>
  </si>
  <si>
    <t>Education Computer Lab - Network Upgrade</t>
  </si>
  <si>
    <t>Upgrade for Exercise Science Laboratory, GY 152</t>
  </si>
  <si>
    <t>Upgrade for Exercise Science Laboratory--Field House 11A</t>
  </si>
  <si>
    <t>Upgrading Virtualization and Application Streaming Software</t>
  </si>
  <si>
    <t>Bookeye Scanner for ILL</t>
  </si>
  <si>
    <t>Mathematical Sciences Teaching Lab</t>
  </si>
  <si>
    <t>Computer Automated Classroom Astronomy</t>
  </si>
  <si>
    <t>Social Psychology Research Lab Expansion II</t>
  </si>
  <si>
    <t>Overhead projectors for 3 Psychology classrooms.</t>
  </si>
  <si>
    <t>GIS Lab Upgrade AD 122</t>
  </si>
  <si>
    <t xml:space="preserve">Yr 4 </t>
  </si>
  <si>
    <t>2012-2013</t>
  </si>
  <si>
    <t xml:space="preserve">Round 3 - Approved &amp; Funded </t>
  </si>
  <si>
    <t xml:space="preserve">2010-11 </t>
  </si>
  <si>
    <t>Uploaded</t>
  </si>
  <si>
    <t xml:space="preserve">Budget    </t>
  </si>
  <si>
    <t>J0082748</t>
  </si>
  <si>
    <t>J0082765</t>
  </si>
  <si>
    <t>Trasfer 1</t>
  </si>
  <si>
    <t>Trasfer 2</t>
  </si>
  <si>
    <t xml:space="preserve">           yr 2  transfer</t>
  </si>
  <si>
    <t xml:space="preserve">09-10 R1 Transfer </t>
  </si>
  <si>
    <t>10-11 current budget</t>
  </si>
  <si>
    <t xml:space="preserve">           Total  budget</t>
  </si>
  <si>
    <t xml:space="preserve">           R3 - yr 1  transfer</t>
  </si>
  <si>
    <t>TYPE</t>
  </si>
  <si>
    <t xml:space="preserve"> Year 1 - 2009-10 (Index F21001)</t>
  </si>
  <si>
    <t>Year 2 - 2010-11 (Index X20001)</t>
  </si>
  <si>
    <t>Expenses</t>
  </si>
  <si>
    <t>Fund Bal.</t>
  </si>
  <si>
    <t>Beg. Bal</t>
  </si>
  <si>
    <t xml:space="preserve">Central Control Accounts </t>
  </si>
  <si>
    <t>J0084133</t>
  </si>
  <si>
    <t>All dept. accts</t>
  </si>
  <si>
    <t>add'l</t>
  </si>
  <si>
    <t>B01132 - added</t>
  </si>
  <si>
    <t>R3 - year1 distribution</t>
  </si>
  <si>
    <t>allocated</t>
  </si>
  <si>
    <t>Banner FGITBSR - Fund balance</t>
  </si>
  <si>
    <t>PCS</t>
  </si>
  <si>
    <t>Should this have a "J"</t>
  </si>
  <si>
    <t>Should this have a "K"</t>
  </si>
  <si>
    <t>Jupiter Student Government Tech Renovation</t>
  </si>
  <si>
    <t>S27068</t>
  </si>
  <si>
    <t>A New Mathematical Sciences Teaching Lab</t>
  </si>
  <si>
    <t>B01136</t>
  </si>
  <si>
    <t>Summon web-scale discovery service</t>
  </si>
  <si>
    <t>A50131</t>
  </si>
  <si>
    <t>Kindles for leisure reading and ILL</t>
  </si>
  <si>
    <t>A50139</t>
  </si>
  <si>
    <t>Patient Web Portal, PyraMed Health System</t>
  </si>
  <si>
    <t>S27070</t>
  </si>
  <si>
    <t>Science Student Services Enhancement</t>
  </si>
  <si>
    <t>B01130</t>
  </si>
  <si>
    <t>UPDATE AND UPGRADE THE X-RAYS DIFFRACTION SYSTEM</t>
  </si>
  <si>
    <t>B01133</t>
  </si>
  <si>
    <t>New Instruments for Modern Physics Lab (PHY4811L)</t>
  </si>
  <si>
    <t>B01135</t>
  </si>
  <si>
    <t>Sanson Science Videoconference Classroom</t>
  </si>
  <si>
    <t>B01138</t>
  </si>
  <si>
    <t>Multi-head Imaging Microscopy for Under- and Graduate ResearchTra</t>
  </si>
  <si>
    <t>B01139</t>
  </si>
  <si>
    <t>Preserving Stories Through Digital Storytelling</t>
  </si>
  <si>
    <t>B01822</t>
  </si>
  <si>
    <t>Digital Signage for Wimberly Library</t>
  </si>
  <si>
    <t>A50133</t>
  </si>
  <si>
    <t>Microsoft Surface table collaborative computer</t>
  </si>
  <si>
    <t>A50134</t>
  </si>
  <si>
    <t>Additional AutoCAD licenses</t>
  </si>
  <si>
    <t>B01625</t>
  </si>
  <si>
    <t>B01629</t>
  </si>
  <si>
    <t>Keyboard and bench replacement</t>
  </si>
  <si>
    <t>B09335</t>
  </si>
  <si>
    <t>Digital Video Upgrade for Teaching Lab Microscopy Procedures</t>
  </si>
  <si>
    <t>Not Approved</t>
  </si>
  <si>
    <t>Enhanced eLearning in the Sciences</t>
  </si>
  <si>
    <t>Computer Based Training for ITOM Students</t>
  </si>
  <si>
    <t>Website Development for Political Science</t>
  </si>
  <si>
    <t>College For Design &amp; Social Inquiry E-Vising Serives</t>
  </si>
  <si>
    <t>Administrative</t>
  </si>
  <si>
    <t>Total on hold</t>
  </si>
  <si>
    <t>Total not approved</t>
  </si>
  <si>
    <t>PULL OUT - Per Jason's email - 2/28/11</t>
  </si>
  <si>
    <t>S27066 - removed</t>
  </si>
  <si>
    <t>001033 - Fall 09,11,13</t>
  </si>
  <si>
    <t>001171 - Summer 1/2</t>
  </si>
  <si>
    <t>001172 - Summer 3</t>
  </si>
  <si>
    <t>ROB</t>
  </si>
  <si>
    <t>B01119</t>
  </si>
  <si>
    <t>Math Science Teaching Lab</t>
  </si>
  <si>
    <t>Others</t>
  </si>
  <si>
    <t>Sofeware License</t>
  </si>
  <si>
    <t>Fee exemption - F20001</t>
  </si>
  <si>
    <t>Center for eLearning</t>
  </si>
  <si>
    <t>A00800</t>
  </si>
  <si>
    <t>J0085434</t>
  </si>
  <si>
    <t>R1 &amp; R2</t>
  </si>
  <si>
    <t>Year 2 fund</t>
  </si>
  <si>
    <t xml:space="preserve">R3 </t>
  </si>
  <si>
    <t>Year 1  fund</t>
  </si>
  <si>
    <t>Year 1 Fund</t>
  </si>
  <si>
    <t>YTD</t>
  </si>
  <si>
    <t>ENC.</t>
  </si>
  <si>
    <t>10-11 bal</t>
  </si>
  <si>
    <t>2011-12 Funding</t>
  </si>
  <si>
    <t>As of August 2, 2010</t>
  </si>
  <si>
    <t>FY 09-10</t>
  </si>
  <si>
    <t>FY 10-11</t>
  </si>
  <si>
    <t>FY 11-12</t>
  </si>
  <si>
    <t>FY 12-13</t>
  </si>
  <si>
    <t>Math Teaching Lab</t>
  </si>
  <si>
    <t xml:space="preserve">Year-end balance </t>
  </si>
  <si>
    <t>Year 3 - 2011-12 (Index X20001)</t>
  </si>
  <si>
    <t>Items</t>
  </si>
  <si>
    <t>e-Learning</t>
  </si>
  <si>
    <t>001850 - MS 2011</t>
  </si>
  <si>
    <t>diff.</t>
  </si>
  <si>
    <t xml:space="preserve">Year 2 -  2010-11 </t>
  </si>
  <si>
    <t>Year 1 - 2009-10</t>
  </si>
  <si>
    <t>Year 3 -   2011-12</t>
  </si>
  <si>
    <t>1st Round projects</t>
  </si>
  <si>
    <t>2nd Round projects</t>
  </si>
  <si>
    <t>*</t>
  </si>
  <si>
    <t>A - Revenue - Actual /Estimate</t>
  </si>
  <si>
    <t>B - Fund Allocated to the Approved Projects</t>
  </si>
  <si>
    <t>Total Cost Committed  - B</t>
  </si>
  <si>
    <t>C - Projected Revenue vs. Committed Cost ( A - B)</t>
  </si>
  <si>
    <t>Actual and Projected Fund Balance</t>
  </si>
  <si>
    <t xml:space="preserve">Total YTD </t>
  </si>
  <si>
    <t xml:space="preserve">Summary of Project To Date  </t>
  </si>
  <si>
    <t>budget off 1 dollar</t>
  </si>
  <si>
    <t>Not allocated</t>
  </si>
  <si>
    <t xml:space="preserve">11-12 fund -1st Round </t>
  </si>
  <si>
    <t xml:space="preserve">11-12 fund -2nd Round </t>
  </si>
  <si>
    <t xml:space="preserve">11-12 fund -3rd Round </t>
  </si>
  <si>
    <t>2011-12 - 11/30/11</t>
  </si>
  <si>
    <t>As of Jan. 24, 2011</t>
  </si>
  <si>
    <t>741130 - MS 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</si>
</sst>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_);_(&quot;$&quot;* \(#,##0\);_(&quot;$&quot;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1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10"/>
      <name val="Calibri"/>
      <family val="2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</font>
    <font>
      <sz val="12"/>
      <color theme="1"/>
      <name val="Arial"/>
      <family val="2"/>
    </font>
    <font>
      <b/>
      <sz val="8.5"/>
      <name val="Calibri"/>
      <family val="2"/>
    </font>
    <font>
      <sz val="8.5"/>
      <name val="Calibri"/>
      <family val="2"/>
    </font>
    <font>
      <sz val="8.5"/>
      <color rgb="FFC00000"/>
      <name val="Calibri"/>
      <family val="2"/>
    </font>
    <font>
      <b/>
      <sz val="12"/>
      <color theme="1"/>
      <name val="Calibri"/>
      <family val="2"/>
      <scheme val="minor"/>
    </font>
    <font>
      <b/>
      <sz val="8.5"/>
      <color rgb="FFC00000"/>
      <name val="Calibri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</font>
    <font>
      <b/>
      <sz val="8.5"/>
      <color rgb="FFFF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8.5"/>
      <color rgb="FF00206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C0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8.5"/>
      <color rgb="FF002060"/>
      <name val="Calibri"/>
      <family val="2"/>
    </font>
    <font>
      <b/>
      <sz val="9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2060"/>
      <name val="Calibri"/>
      <family val="2"/>
    </font>
    <font>
      <b/>
      <sz val="8"/>
      <color rgb="FF002060"/>
      <name val="Calibri"/>
      <family val="2"/>
    </font>
    <font>
      <b/>
      <sz val="8"/>
      <color rgb="FFC00000"/>
      <name val="Calibri"/>
      <family val="2"/>
    </font>
    <font>
      <b/>
      <sz val="9"/>
      <color rgb="FFC00000"/>
      <name val="Calibri"/>
      <family val="2"/>
    </font>
    <font>
      <b/>
      <sz val="10"/>
      <color rgb="FFC0000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C00000"/>
      <name val="Calibri"/>
      <family val="2"/>
      <scheme val="minor"/>
    </font>
    <font>
      <sz val="8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60">
    <border>
      <left/>
      <right/>
      <top/>
      <bottom/>
      <diagonal/>
    </border>
    <border>
      <left style="medium">
        <color theme="4"/>
      </left>
      <right style="medium">
        <color theme="0"/>
      </right>
      <top style="medium">
        <color theme="4"/>
      </top>
      <bottom/>
      <diagonal/>
    </border>
    <border>
      <left style="medium">
        <color theme="0"/>
      </left>
      <right style="medium">
        <color theme="0"/>
      </right>
      <top style="medium">
        <color theme="4"/>
      </top>
      <bottom/>
      <diagonal/>
    </border>
    <border>
      <left style="medium">
        <color theme="4"/>
      </left>
      <right style="medium">
        <color theme="0"/>
      </right>
      <top/>
      <bottom style="thin">
        <color theme="4"/>
      </bottom>
      <diagonal/>
    </border>
    <border>
      <left style="medium">
        <color theme="0"/>
      </left>
      <right/>
      <top/>
      <bottom style="thin">
        <color theme="4"/>
      </bottom>
      <diagonal/>
    </border>
    <border>
      <left style="medium">
        <color theme="0"/>
      </left>
      <right style="medium">
        <color theme="0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4"/>
      </bottom>
      <diagonal/>
    </border>
    <border>
      <left style="medium">
        <color theme="0"/>
      </left>
      <right/>
      <top style="medium">
        <color theme="0"/>
      </top>
      <bottom style="thin">
        <color theme="4"/>
      </bottom>
      <diagonal/>
    </border>
    <border>
      <left style="medium">
        <color theme="0"/>
      </left>
      <right style="medium">
        <color theme="4"/>
      </right>
      <top style="medium">
        <color theme="4"/>
      </top>
      <bottom/>
      <diagonal/>
    </border>
    <border>
      <left style="medium">
        <color theme="0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3" tint="0.3999755851924192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3" tint="0.39997558519241921"/>
      </top>
      <bottom style="thin">
        <color theme="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thin">
        <color theme="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theme="0"/>
      </left>
      <right style="thin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auto="1"/>
      </right>
      <top style="thin">
        <color theme="4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theme="4"/>
      </bottom>
      <diagonal/>
    </border>
    <border>
      <left style="thin">
        <color theme="3" tint="0.39997558519241921"/>
      </left>
      <right style="thin">
        <color auto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0"/>
      </right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4506668294322"/>
      </bottom>
      <diagonal/>
    </border>
    <border>
      <left/>
      <right/>
      <top style="thin">
        <color theme="4"/>
      </top>
      <bottom style="thin">
        <color theme="3" tint="0.39994506668294322"/>
      </bottom>
      <diagonal/>
    </border>
    <border>
      <left style="thin">
        <color indexed="64"/>
      </left>
      <right style="thin">
        <color theme="3" tint="0.39997558519241921"/>
      </right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4506668294322"/>
      </top>
      <bottom style="medium">
        <color indexed="64"/>
      </bottom>
      <diagonal/>
    </border>
    <border>
      <left/>
      <right/>
      <top style="thin">
        <color theme="3" tint="0.39994506668294322"/>
      </top>
      <bottom style="medium">
        <color indexed="64"/>
      </bottom>
      <diagonal/>
    </border>
    <border>
      <left/>
      <right/>
      <top style="thin">
        <color theme="3" tint="0.39994506668294322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4506668294322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4506668294322"/>
      </top>
      <bottom style="thin">
        <color indexed="64"/>
      </bottom>
      <diagonal/>
    </border>
    <border>
      <left/>
      <right/>
      <top style="thin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45066682943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theme="4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4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4"/>
      </bottom>
      <diagonal/>
    </border>
    <border>
      <left/>
      <right/>
      <top style="hair">
        <color indexed="64"/>
      </top>
      <bottom style="thin">
        <color theme="4"/>
      </bottom>
      <diagonal/>
    </border>
    <border>
      <left style="thin">
        <color indexed="64"/>
      </left>
      <right/>
      <top style="hair">
        <color indexed="64"/>
      </top>
      <bottom style="thin">
        <color theme="4"/>
      </bottom>
      <diagonal/>
    </border>
    <border>
      <left/>
      <right style="thin">
        <color indexed="64"/>
      </right>
      <top style="hair">
        <color indexed="64"/>
      </top>
      <bottom style="thin">
        <color theme="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hair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 style="medium">
        <color indexed="64"/>
      </bottom>
      <diagonal/>
    </border>
  </borders>
  <cellStyleXfs count="42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44" fontId="1" fillId="0" borderId="0" applyFon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1" fillId="0" borderId="0" applyFont="0" applyFill="0" applyBorder="0" applyAlignment="0" applyProtection="0"/>
  </cellStyleXfs>
  <cellXfs count="933">
    <xf numFmtId="0" fontId="0" fillId="0" borderId="0" xfId="0"/>
    <xf numFmtId="0" fontId="2" fillId="2" borderId="2" xfId="0" applyFont="1" applyFill="1" applyBorder="1"/>
    <xf numFmtId="0" fontId="2" fillId="2" borderId="1" xfId="0" applyFont="1" applyFill="1" applyBorder="1"/>
    <xf numFmtId="0" fontId="4" fillId="0" borderId="0" xfId="0" applyFont="1"/>
    <xf numFmtId="0" fontId="2" fillId="2" borderId="5" xfId="0" applyFont="1" applyFill="1" applyBorder="1" applyAlignment="1">
      <alignment wrapText="1"/>
    </xf>
    <xf numFmtId="0" fontId="2" fillId="2" borderId="3" xfId="0" applyFont="1" applyFill="1" applyBorder="1"/>
    <xf numFmtId="49" fontId="4" fillId="4" borderId="16" xfId="0" applyNumberFormat="1" applyFont="1" applyFill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49" fontId="4" fillId="0" borderId="6" xfId="0" applyNumberFormat="1" applyFont="1" applyBorder="1"/>
    <xf numFmtId="0" fontId="4" fillId="0" borderId="22" xfId="0" applyFont="1" applyBorder="1"/>
    <xf numFmtId="49" fontId="4" fillId="4" borderId="6" xfId="0" applyNumberFormat="1" applyFont="1" applyFill="1" applyBorder="1" applyAlignment="1">
      <alignment horizontal="left"/>
    </xf>
    <xf numFmtId="49" fontId="4" fillId="0" borderId="14" xfId="0" applyNumberFormat="1" applyFont="1" applyBorder="1" applyAlignment="1">
      <alignment horizontal="left"/>
    </xf>
    <xf numFmtId="0" fontId="4" fillId="0" borderId="21" xfId="0" applyFont="1" applyBorder="1"/>
    <xf numFmtId="49" fontId="4" fillId="0" borderId="14" xfId="0" applyNumberFormat="1" applyFont="1" applyBorder="1"/>
    <xf numFmtId="0" fontId="5" fillId="0" borderId="0" xfId="0" applyFont="1"/>
    <xf numFmtId="49" fontId="4" fillId="0" borderId="12" xfId="0" applyNumberFormat="1" applyFont="1" applyBorder="1"/>
    <xf numFmtId="49" fontId="4" fillId="0" borderId="26" xfId="0" applyNumberFormat="1" applyFont="1" applyBorder="1"/>
    <xf numFmtId="49" fontId="4" fillId="0" borderId="27" xfId="0" applyNumberFormat="1" applyFont="1" applyBorder="1"/>
    <xf numFmtId="49" fontId="4" fillId="0" borderId="28" xfId="0" applyNumberFormat="1" applyFont="1" applyBorder="1"/>
    <xf numFmtId="49" fontId="4" fillId="0" borderId="32" xfId="0" applyNumberFormat="1" applyFont="1" applyBorder="1"/>
    <xf numFmtId="49" fontId="4" fillId="0" borderId="33" xfId="0" applyNumberFormat="1" applyFont="1" applyBorder="1"/>
    <xf numFmtId="49" fontId="4" fillId="0" borderId="34" xfId="0" applyNumberFormat="1" applyFont="1" applyBorder="1"/>
    <xf numFmtId="0" fontId="4" fillId="0" borderId="30" xfId="0" applyFont="1" applyBorder="1"/>
    <xf numFmtId="0" fontId="4" fillId="0" borderId="35" xfId="0" applyFont="1" applyBorder="1"/>
    <xf numFmtId="164" fontId="4" fillId="0" borderId="0" xfId="2" applyNumberFormat="1" applyFont="1"/>
    <xf numFmtId="0" fontId="4" fillId="0" borderId="20" xfId="0" applyFont="1" applyBorder="1"/>
    <xf numFmtId="0" fontId="5" fillId="6" borderId="0" xfId="0" applyFont="1" applyFill="1" applyBorder="1"/>
    <xf numFmtId="49" fontId="7" fillId="4" borderId="21" xfId="0" applyNumberFormat="1" applyFont="1" applyFill="1" applyBorder="1"/>
    <xf numFmtId="49" fontId="7" fillId="4" borderId="31" xfId="0" applyNumberFormat="1" applyFont="1" applyFill="1" applyBorder="1"/>
    <xf numFmtId="0" fontId="7" fillId="4" borderId="21" xfId="0" applyFont="1" applyFill="1" applyBorder="1"/>
    <xf numFmtId="49" fontId="7" fillId="4" borderId="30" xfId="0" applyNumberFormat="1" applyFont="1" applyFill="1" applyBorder="1"/>
    <xf numFmtId="49" fontId="7" fillId="4" borderId="29" xfId="0" applyNumberFormat="1" applyFont="1" applyFill="1" applyBorder="1"/>
    <xf numFmtId="0" fontId="7" fillId="4" borderId="30" xfId="0" applyFont="1" applyFill="1" applyBorder="1"/>
    <xf numFmtId="49" fontId="5" fillId="7" borderId="0" xfId="0" applyNumberFormat="1" applyFont="1" applyFill="1" applyBorder="1" applyAlignment="1">
      <alignment horizontal="left"/>
    </xf>
    <xf numFmtId="0" fontId="5" fillId="3" borderId="0" xfId="0" applyFont="1" applyFill="1"/>
    <xf numFmtId="49" fontId="4" fillId="0" borderId="37" xfId="0" applyNumberFormat="1" applyFont="1" applyBorder="1"/>
    <xf numFmtId="49" fontId="7" fillId="4" borderId="38" xfId="0" applyNumberFormat="1" applyFont="1" applyFill="1" applyBorder="1"/>
    <xf numFmtId="49" fontId="7" fillId="4" borderId="39" xfId="0" applyNumberFormat="1" applyFont="1" applyFill="1" applyBorder="1"/>
    <xf numFmtId="49" fontId="5" fillId="7" borderId="40" xfId="0" applyNumberFormat="1" applyFont="1" applyFill="1" applyBorder="1"/>
    <xf numFmtId="5" fontId="4" fillId="10" borderId="41" xfId="1" applyNumberFormat="1" applyFont="1" applyFill="1" applyBorder="1" applyAlignment="1">
      <alignment horizontal="right"/>
    </xf>
    <xf numFmtId="5" fontId="7" fillId="10" borderId="21" xfId="1" applyNumberFormat="1" applyFont="1" applyFill="1" applyBorder="1" applyAlignment="1">
      <alignment horizontal="right"/>
    </xf>
    <xf numFmtId="5" fontId="7" fillId="10" borderId="30" xfId="1" applyNumberFormat="1" applyFont="1" applyFill="1" applyBorder="1" applyAlignment="1">
      <alignment horizontal="right"/>
    </xf>
    <xf numFmtId="164" fontId="5" fillId="7" borderId="35" xfId="2" applyNumberFormat="1" applyFont="1" applyFill="1" applyBorder="1" applyAlignment="1">
      <alignment horizontal="right"/>
    </xf>
    <xf numFmtId="164" fontId="4" fillId="0" borderId="35" xfId="0" applyNumberFormat="1" applyFont="1" applyBorder="1"/>
    <xf numFmtId="0" fontId="5" fillId="3" borderId="35" xfId="0" applyFont="1" applyFill="1" applyBorder="1"/>
    <xf numFmtId="164" fontId="5" fillId="3" borderId="35" xfId="0" applyNumberFormat="1" applyFont="1" applyFill="1" applyBorder="1"/>
    <xf numFmtId="0" fontId="5" fillId="3" borderId="30" xfId="0" applyFont="1" applyFill="1" applyBorder="1"/>
    <xf numFmtId="0" fontId="5" fillId="6" borderId="30" xfId="0" applyFont="1" applyFill="1" applyBorder="1" applyAlignment="1">
      <alignment horizontal="right"/>
    </xf>
    <xf numFmtId="5" fontId="4" fillId="10" borderId="43" xfId="1" applyNumberFormat="1" applyFont="1" applyFill="1" applyBorder="1" applyAlignment="1">
      <alignment horizontal="right"/>
    </xf>
    <xf numFmtId="164" fontId="4" fillId="0" borderId="35" xfId="2" applyNumberFormat="1" applyFont="1" applyBorder="1"/>
    <xf numFmtId="5" fontId="4" fillId="10" borderId="44" xfId="1" applyNumberFormat="1" applyFont="1" applyFill="1" applyBorder="1" applyAlignment="1">
      <alignment horizontal="right"/>
    </xf>
    <xf numFmtId="5" fontId="4" fillId="10" borderId="45" xfId="1" applyNumberFormat="1" applyFont="1" applyFill="1" applyBorder="1" applyAlignment="1">
      <alignment horizontal="right"/>
    </xf>
    <xf numFmtId="164" fontId="4" fillId="0" borderId="30" xfId="2" applyNumberFormat="1" applyFont="1" applyBorder="1"/>
    <xf numFmtId="0" fontId="5" fillId="7" borderId="35" xfId="0" applyFont="1" applyFill="1" applyBorder="1"/>
    <xf numFmtId="0" fontId="5" fillId="6" borderId="46" xfId="0" applyFont="1" applyFill="1" applyBorder="1"/>
    <xf numFmtId="0" fontId="5" fillId="6" borderId="47" xfId="0" applyFont="1" applyFill="1" applyBorder="1"/>
    <xf numFmtId="164" fontId="5" fillId="6" borderId="47" xfId="2" applyNumberFormat="1" applyFont="1" applyFill="1" applyBorder="1"/>
    <xf numFmtId="164" fontId="5" fillId="6" borderId="48" xfId="2" applyNumberFormat="1" applyFont="1" applyFill="1" applyBorder="1"/>
    <xf numFmtId="0" fontId="5" fillId="6" borderId="24" xfId="0" applyFont="1" applyFill="1" applyBorder="1"/>
    <xf numFmtId="0" fontId="8" fillId="6" borderId="0" xfId="0" applyFont="1" applyFill="1" applyBorder="1"/>
    <xf numFmtId="164" fontId="8" fillId="6" borderId="0" xfId="2" applyNumberFormat="1" applyFont="1" applyFill="1" applyBorder="1"/>
    <xf numFmtId="0" fontId="5" fillId="6" borderId="49" xfId="0" applyFont="1" applyFill="1" applyBorder="1"/>
    <xf numFmtId="164" fontId="5" fillId="6" borderId="0" xfId="2" applyNumberFormat="1" applyFont="1" applyFill="1" applyBorder="1"/>
    <xf numFmtId="0" fontId="5" fillId="6" borderId="50" xfId="0" applyFont="1" applyFill="1" applyBorder="1"/>
    <xf numFmtId="0" fontId="5" fillId="6" borderId="51" xfId="0" applyFont="1" applyFill="1" applyBorder="1"/>
    <xf numFmtId="0" fontId="9" fillId="6" borderId="36" xfId="0" applyFont="1" applyFill="1" applyBorder="1"/>
    <xf numFmtId="164" fontId="9" fillId="6" borderId="36" xfId="2" applyNumberFormat="1" applyFont="1" applyFill="1" applyBorder="1"/>
    <xf numFmtId="164" fontId="4" fillId="0" borderId="52" xfId="2" applyNumberFormat="1" applyFont="1" applyBorder="1"/>
    <xf numFmtId="164" fontId="5" fillId="0" borderId="52" xfId="2" applyNumberFormat="1" applyFont="1" applyBorder="1"/>
    <xf numFmtId="164" fontId="4" fillId="0" borderId="21" xfId="2" applyNumberFormat="1" applyFont="1" applyBorder="1"/>
    <xf numFmtId="164" fontId="5" fillId="0" borderId="21" xfId="2" applyNumberFormat="1" applyFont="1" applyBorder="1"/>
    <xf numFmtId="164" fontId="4" fillId="0" borderId="53" xfId="2" applyNumberFormat="1" applyFont="1" applyBorder="1"/>
    <xf numFmtId="164" fontId="5" fillId="0" borderId="53" xfId="2" applyNumberFormat="1" applyFont="1" applyBorder="1"/>
    <xf numFmtId="16" fontId="2" fillId="5" borderId="23" xfId="0" quotePrefix="1" applyNumberFormat="1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7" xfId="0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>
      <alignment wrapText="1"/>
    </xf>
    <xf numFmtId="0" fontId="11" fillId="0" borderId="0" xfId="0" applyFont="1"/>
    <xf numFmtId="0" fontId="10" fillId="2" borderId="54" xfId="0" applyFont="1" applyFill="1" applyBorder="1"/>
    <xf numFmtId="0" fontId="10" fillId="2" borderId="55" xfId="0" applyFont="1" applyFill="1" applyBorder="1" applyAlignment="1">
      <alignment wrapText="1"/>
    </xf>
    <xf numFmtId="0" fontId="10" fillId="2" borderId="56" xfId="0" applyFont="1" applyFill="1" applyBorder="1"/>
    <xf numFmtId="0" fontId="10" fillId="2" borderId="4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10" fillId="2" borderId="8" xfId="0" applyFont="1" applyFill="1" applyBorder="1"/>
    <xf numFmtId="0" fontId="10" fillId="2" borderId="9" xfId="0" applyFont="1" applyFill="1" applyBorder="1"/>
    <xf numFmtId="0" fontId="10" fillId="2" borderId="11" xfId="0" applyFont="1" applyFill="1" applyBorder="1" applyAlignment="1">
      <alignment horizontal="center" wrapText="1"/>
    </xf>
    <xf numFmtId="0" fontId="11" fillId="0" borderId="19" xfId="0" applyFont="1" applyFill="1" applyBorder="1"/>
    <xf numFmtId="0" fontId="11" fillId="0" borderId="19" xfId="0" applyFont="1" applyBorder="1"/>
    <xf numFmtId="165" fontId="11" fillId="0" borderId="19" xfId="0" applyNumberFormat="1" applyFont="1" applyBorder="1"/>
    <xf numFmtId="5" fontId="11" fillId="0" borderId="57" xfId="1" applyNumberFormat="1" applyFont="1" applyBorder="1"/>
    <xf numFmtId="5" fontId="11" fillId="0" borderId="6" xfId="1" applyNumberFormat="1" applyFont="1" applyBorder="1"/>
    <xf numFmtId="5" fontId="11" fillId="0" borderId="6" xfId="1" applyNumberFormat="1" applyFont="1" applyBorder="1" applyAlignment="1">
      <alignment horizontal="left"/>
    </xf>
    <xf numFmtId="2" fontId="11" fillId="0" borderId="6" xfId="0" applyNumberFormat="1" applyFont="1" applyBorder="1"/>
    <xf numFmtId="2" fontId="11" fillId="0" borderId="58" xfId="0" applyNumberFormat="1" applyFont="1" applyBorder="1" applyAlignment="1">
      <alignment wrapText="1"/>
    </xf>
    <xf numFmtId="0" fontId="11" fillId="11" borderId="0" xfId="0" applyFont="1" applyFill="1"/>
    <xf numFmtId="0" fontId="14" fillId="0" borderId="19" xfId="0" applyFont="1" applyFill="1" applyBorder="1"/>
    <xf numFmtId="0" fontId="11" fillId="0" borderId="19" xfId="0" applyFont="1" applyFill="1" applyBorder="1" applyAlignment="1">
      <alignment horizontal="left"/>
    </xf>
    <xf numFmtId="0" fontId="11" fillId="9" borderId="0" xfId="0" applyFont="1" applyFill="1"/>
    <xf numFmtId="0" fontId="11" fillId="11" borderId="19" xfId="0" applyFont="1" applyFill="1" applyBorder="1"/>
    <xf numFmtId="0" fontId="11" fillId="0" borderId="0" xfId="0" applyFont="1" applyAlignment="1">
      <alignment wrapText="1"/>
    </xf>
    <xf numFmtId="44" fontId="11" fillId="0" borderId="0" xfId="0" applyNumberFormat="1" applyFont="1"/>
    <xf numFmtId="7" fontId="11" fillId="0" borderId="0" xfId="0" applyNumberFormat="1" applyFont="1"/>
    <xf numFmtId="5" fontId="11" fillId="0" borderId="0" xfId="0" applyNumberFormat="1" applyFont="1"/>
    <xf numFmtId="44" fontId="11" fillId="0" borderId="0" xfId="1" applyFont="1"/>
    <xf numFmtId="0" fontId="15" fillId="12" borderId="54" xfId="0" applyFont="1" applyFill="1" applyBorder="1"/>
    <xf numFmtId="0" fontId="14" fillId="4" borderId="0" xfId="0" applyFont="1" applyFill="1"/>
    <xf numFmtId="0" fontId="15" fillId="4" borderId="55" xfId="0" applyFont="1" applyFill="1" applyBorder="1"/>
    <xf numFmtId="0" fontId="15" fillId="4" borderId="56" xfId="0" applyFont="1" applyFill="1" applyBorder="1"/>
    <xf numFmtId="0" fontId="16" fillId="3" borderId="24" xfId="0" applyFont="1" applyFill="1" applyBorder="1" applyAlignment="1">
      <alignment horizontal="center"/>
    </xf>
    <xf numFmtId="0" fontId="15" fillId="4" borderId="55" xfId="0" applyFont="1" applyFill="1" applyBorder="1" applyAlignment="1">
      <alignment wrapText="1"/>
    </xf>
    <xf numFmtId="0" fontId="15" fillId="4" borderId="54" xfId="0" applyFont="1" applyFill="1" applyBorder="1"/>
    <xf numFmtId="164" fontId="15" fillId="4" borderId="55" xfId="2" applyNumberFormat="1" applyFont="1" applyFill="1" applyBorder="1" applyAlignment="1">
      <alignment horizontal="center" wrapText="1"/>
    </xf>
    <xf numFmtId="164" fontId="15" fillId="4" borderId="56" xfId="2" applyNumberFormat="1" applyFont="1" applyFill="1" applyBorder="1" applyAlignment="1">
      <alignment horizontal="center"/>
    </xf>
    <xf numFmtId="164" fontId="15" fillId="4" borderId="4" xfId="2" applyNumberFormat="1" applyFont="1" applyFill="1" applyBorder="1" applyAlignment="1">
      <alignment wrapText="1"/>
    </xf>
    <xf numFmtId="0" fontId="18" fillId="0" borderId="0" xfId="0" applyFont="1"/>
    <xf numFmtId="0" fontId="5" fillId="3" borderId="25" xfId="0" applyFont="1" applyFill="1" applyBorder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Border="1"/>
    <xf numFmtId="0" fontId="20" fillId="4" borderId="59" xfId="0" applyFont="1" applyFill="1" applyBorder="1" applyAlignment="1">
      <alignment wrapText="1"/>
    </xf>
    <xf numFmtId="0" fontId="21" fillId="4" borderId="0" xfId="0" applyFont="1" applyFill="1"/>
    <xf numFmtId="164" fontId="11" fillId="0" borderId="0" xfId="2" applyNumberFormat="1" applyFont="1"/>
    <xf numFmtId="164" fontId="10" fillId="2" borderId="2" xfId="2" applyNumberFormat="1" applyFont="1" applyFill="1" applyBorder="1"/>
    <xf numFmtId="164" fontId="10" fillId="2" borderId="55" xfId="2" applyNumberFormat="1" applyFont="1" applyFill="1" applyBorder="1" applyAlignment="1">
      <alignment wrapText="1"/>
    </xf>
    <xf numFmtId="164" fontId="11" fillId="0" borderId="19" xfId="2" applyNumberFormat="1" applyFont="1" applyBorder="1"/>
    <xf numFmtId="164" fontId="22" fillId="11" borderId="0" xfId="2" applyNumberFormat="1" applyFont="1" applyFill="1"/>
    <xf numFmtId="0" fontId="14" fillId="4" borderId="62" xfId="0" applyFont="1" applyFill="1" applyBorder="1"/>
    <xf numFmtId="0" fontId="21" fillId="4" borderId="62" xfId="0" applyFont="1" applyFill="1" applyBorder="1"/>
    <xf numFmtId="0" fontId="13" fillId="4" borderId="62" xfId="0" applyFont="1" applyFill="1" applyBorder="1"/>
    <xf numFmtId="164" fontId="14" fillId="4" borderId="62" xfId="2" applyNumberFormat="1" applyFont="1" applyFill="1" applyBorder="1"/>
    <xf numFmtId="164" fontId="14" fillId="4" borderId="63" xfId="2" applyNumberFormat="1" applyFont="1" applyFill="1" applyBorder="1"/>
    <xf numFmtId="164" fontId="14" fillId="13" borderId="64" xfId="2" applyNumberFormat="1" applyFont="1" applyFill="1" applyBorder="1"/>
    <xf numFmtId="165" fontId="14" fillId="6" borderId="62" xfId="0" applyNumberFormat="1" applyFont="1" applyFill="1" applyBorder="1" applyAlignment="1">
      <alignment horizontal="left"/>
    </xf>
    <xf numFmtId="0" fontId="14" fillId="6" borderId="62" xfId="0" applyNumberFormat="1" applyFont="1" applyFill="1" applyBorder="1" applyAlignment="1">
      <alignment horizontal="left"/>
    </xf>
    <xf numFmtId="0" fontId="14" fillId="4" borderId="65" xfId="0" applyFont="1" applyFill="1" applyBorder="1"/>
    <xf numFmtId="0" fontId="14" fillId="4" borderId="66" xfId="0" applyFont="1" applyFill="1" applyBorder="1"/>
    <xf numFmtId="0" fontId="21" fillId="4" borderId="66" xfId="0" applyFont="1" applyFill="1" applyBorder="1"/>
    <xf numFmtId="0" fontId="13" fillId="4" borderId="66" xfId="0" applyFont="1" applyFill="1" applyBorder="1"/>
    <xf numFmtId="164" fontId="14" fillId="4" borderId="66" xfId="2" applyNumberFormat="1" applyFont="1" applyFill="1" applyBorder="1"/>
    <xf numFmtId="164" fontId="14" fillId="4" borderId="67" xfId="2" applyNumberFormat="1" applyFont="1" applyFill="1" applyBorder="1"/>
    <xf numFmtId="165" fontId="14" fillId="6" borderId="66" xfId="0" applyNumberFormat="1" applyFont="1" applyFill="1" applyBorder="1" applyAlignment="1">
      <alignment horizontal="left"/>
    </xf>
    <xf numFmtId="0" fontId="14" fillId="6" borderId="66" xfId="0" applyNumberFormat="1" applyFont="1" applyFill="1" applyBorder="1" applyAlignment="1">
      <alignment horizontal="left"/>
    </xf>
    <xf numFmtId="0" fontId="14" fillId="4" borderId="67" xfId="0" applyFont="1" applyFill="1" applyBorder="1"/>
    <xf numFmtId="0" fontId="14" fillId="4" borderId="68" xfId="0" applyFont="1" applyFill="1" applyBorder="1"/>
    <xf numFmtId="0" fontId="21" fillId="4" borderId="68" xfId="0" applyFont="1" applyFill="1" applyBorder="1"/>
    <xf numFmtId="0" fontId="13" fillId="4" borderId="68" xfId="0" applyFont="1" applyFill="1" applyBorder="1"/>
    <xf numFmtId="164" fontId="14" fillId="4" borderId="68" xfId="2" applyNumberFormat="1" applyFont="1" applyFill="1" applyBorder="1"/>
    <xf numFmtId="164" fontId="14" fillId="4" borderId="69" xfId="2" applyNumberFormat="1" applyFont="1" applyFill="1" applyBorder="1"/>
    <xf numFmtId="165" fontId="14" fillId="6" borderId="68" xfId="0" applyNumberFormat="1" applyFont="1" applyFill="1" applyBorder="1" applyAlignment="1">
      <alignment horizontal="left"/>
    </xf>
    <xf numFmtId="0" fontId="14" fillId="6" borderId="68" xfId="0" applyNumberFormat="1" applyFont="1" applyFill="1" applyBorder="1" applyAlignment="1">
      <alignment horizontal="left"/>
    </xf>
    <xf numFmtId="0" fontId="14" fillId="4" borderId="70" xfId="0" applyFont="1" applyFill="1" applyBorder="1"/>
    <xf numFmtId="165" fontId="11" fillId="11" borderId="19" xfId="0" applyNumberFormat="1" applyFont="1" applyFill="1" applyBorder="1"/>
    <xf numFmtId="5" fontId="11" fillId="11" borderId="6" xfId="1" applyNumberFormat="1" applyFont="1" applyFill="1" applyBorder="1"/>
    <xf numFmtId="5" fontId="11" fillId="11" borderId="6" xfId="1" applyNumberFormat="1" applyFont="1" applyFill="1" applyBorder="1" applyAlignment="1">
      <alignment horizontal="left"/>
    </xf>
    <xf numFmtId="2" fontId="11" fillId="11" borderId="6" xfId="0" applyNumberFormat="1" applyFont="1" applyFill="1" applyBorder="1"/>
    <xf numFmtId="0" fontId="12" fillId="2" borderId="10" xfId="0" applyFont="1" applyFill="1" applyBorder="1"/>
    <xf numFmtId="0" fontId="12" fillId="2" borderId="11" xfId="0" applyFont="1" applyFill="1" applyBorder="1" applyAlignment="1">
      <alignment horizontal="center" wrapText="1"/>
    </xf>
    <xf numFmtId="2" fontId="13" fillId="0" borderId="6" xfId="0" applyNumberFormat="1" applyFont="1" applyBorder="1"/>
    <xf numFmtId="2" fontId="13" fillId="11" borderId="6" xfId="0" applyNumberFormat="1" applyFont="1" applyFill="1" applyBorder="1"/>
    <xf numFmtId="0" fontId="13" fillId="0" borderId="0" xfId="0" applyFont="1"/>
    <xf numFmtId="0" fontId="11" fillId="4" borderId="0" xfId="0" applyFont="1" applyFill="1"/>
    <xf numFmtId="0" fontId="11" fillId="4" borderId="19" xfId="0" applyFont="1" applyFill="1" applyBorder="1"/>
    <xf numFmtId="0" fontId="14" fillId="4" borderId="0" xfId="0" applyFont="1" applyFill="1" applyBorder="1"/>
    <xf numFmtId="0" fontId="15" fillId="9" borderId="60" xfId="0" applyFont="1" applyFill="1" applyBorder="1"/>
    <xf numFmtId="0" fontId="20" fillId="9" borderId="60" xfId="0" applyFont="1" applyFill="1" applyBorder="1"/>
    <xf numFmtId="0" fontId="12" fillId="9" borderId="60" xfId="0" applyFont="1" applyFill="1" applyBorder="1"/>
    <xf numFmtId="164" fontId="15" fillId="9" borderId="60" xfId="2" applyNumberFormat="1" applyFont="1" applyFill="1" applyBorder="1"/>
    <xf numFmtId="164" fontId="15" fillId="9" borderId="61" xfId="2" applyNumberFormat="1" applyFont="1" applyFill="1" applyBorder="1"/>
    <xf numFmtId="0" fontId="13" fillId="4" borderId="71" xfId="0" applyFont="1" applyFill="1" applyBorder="1"/>
    <xf numFmtId="0" fontId="14" fillId="4" borderId="71" xfId="0" applyFont="1" applyFill="1" applyBorder="1"/>
    <xf numFmtId="164" fontId="14" fillId="4" borderId="71" xfId="2" applyNumberFormat="1" applyFont="1" applyFill="1" applyBorder="1"/>
    <xf numFmtId="164" fontId="14" fillId="4" borderId="65" xfId="2" applyNumberFormat="1" applyFont="1" applyFill="1" applyBorder="1"/>
    <xf numFmtId="165" fontId="14" fillId="6" borderId="71" xfId="0" applyNumberFormat="1" applyFont="1" applyFill="1" applyBorder="1" applyAlignment="1">
      <alignment horizontal="left"/>
    </xf>
    <xf numFmtId="0" fontId="14" fillId="6" borderId="71" xfId="0" applyNumberFormat="1" applyFont="1" applyFill="1" applyBorder="1" applyAlignment="1">
      <alignment horizontal="left"/>
    </xf>
    <xf numFmtId="0" fontId="13" fillId="4" borderId="72" xfId="0" applyFont="1" applyFill="1" applyBorder="1"/>
    <xf numFmtId="0" fontId="14" fillId="4" borderId="72" xfId="0" applyFont="1" applyFill="1" applyBorder="1"/>
    <xf numFmtId="164" fontId="14" fillId="4" borderId="72" xfId="2" applyNumberFormat="1" applyFont="1" applyFill="1" applyBorder="1"/>
    <xf numFmtId="164" fontId="14" fillId="4" borderId="73" xfId="2" applyNumberFormat="1" applyFont="1" applyFill="1" applyBorder="1"/>
    <xf numFmtId="164" fontId="14" fillId="13" borderId="74" xfId="2" applyNumberFormat="1" applyFont="1" applyFill="1" applyBorder="1"/>
    <xf numFmtId="165" fontId="14" fillId="6" borderId="72" xfId="0" applyNumberFormat="1" applyFont="1" applyFill="1" applyBorder="1" applyAlignment="1">
      <alignment horizontal="left"/>
    </xf>
    <xf numFmtId="0" fontId="14" fillId="6" borderId="72" xfId="0" applyNumberFormat="1" applyFont="1" applyFill="1" applyBorder="1" applyAlignment="1">
      <alignment horizontal="left"/>
    </xf>
    <xf numFmtId="164" fontId="23" fillId="3" borderId="30" xfId="2" applyNumberFormat="1" applyFont="1" applyFill="1" applyBorder="1" applyAlignment="1">
      <alignment horizontal="center" wrapText="1"/>
    </xf>
    <xf numFmtId="0" fontId="13" fillId="11" borderId="66" xfId="0" applyFont="1" applyFill="1" applyBorder="1"/>
    <xf numFmtId="0" fontId="14" fillId="11" borderId="66" xfId="0" applyFont="1" applyFill="1" applyBorder="1"/>
    <xf numFmtId="164" fontId="14" fillId="11" borderId="66" xfId="2" applyNumberFormat="1" applyFont="1" applyFill="1" applyBorder="1"/>
    <xf numFmtId="164" fontId="14" fillId="11" borderId="67" xfId="2" applyNumberFormat="1" applyFont="1" applyFill="1" applyBorder="1"/>
    <xf numFmtId="164" fontId="14" fillId="11" borderId="64" xfId="2" applyNumberFormat="1" applyFont="1" applyFill="1" applyBorder="1"/>
    <xf numFmtId="165" fontId="14" fillId="11" borderId="66" xfId="0" applyNumberFormat="1" applyFont="1" applyFill="1" applyBorder="1" applyAlignment="1">
      <alignment horizontal="left"/>
    </xf>
    <xf numFmtId="0" fontId="21" fillId="11" borderId="66" xfId="0" applyFont="1" applyFill="1" applyBorder="1"/>
    <xf numFmtId="0" fontId="14" fillId="11" borderId="66" xfId="0" applyNumberFormat="1" applyFont="1" applyFill="1" applyBorder="1" applyAlignment="1">
      <alignment horizontal="left"/>
    </xf>
    <xf numFmtId="16" fontId="5" fillId="0" borderId="0" xfId="0" quotePrefix="1" applyNumberFormat="1" applyFont="1" applyAlignment="1">
      <alignment horizontal="center"/>
    </xf>
    <xf numFmtId="164" fontId="5" fillId="3" borderId="36" xfId="0" applyNumberFormat="1" applyFont="1" applyFill="1" applyBorder="1"/>
    <xf numFmtId="0" fontId="5" fillId="0" borderId="20" xfId="0" applyFont="1" applyBorder="1" applyAlignment="1">
      <alignment horizontal="center"/>
    </xf>
    <xf numFmtId="0" fontId="5" fillId="3" borderId="25" xfId="0" applyFont="1" applyFill="1" applyBorder="1" applyAlignment="1">
      <alignment horizontal="right"/>
    </xf>
    <xf numFmtId="0" fontId="4" fillId="0" borderId="50" xfId="0" applyFont="1" applyBorder="1"/>
    <xf numFmtId="0" fontId="4" fillId="0" borderId="76" xfId="0" applyFont="1" applyBorder="1"/>
    <xf numFmtId="0" fontId="7" fillId="4" borderId="76" xfId="0" applyFont="1" applyFill="1" applyBorder="1"/>
    <xf numFmtId="0" fontId="7" fillId="4" borderId="25" xfId="0" applyFont="1" applyFill="1" applyBorder="1"/>
    <xf numFmtId="0" fontId="5" fillId="7" borderId="24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5" fillId="3" borderId="24" xfId="0" applyFont="1" applyFill="1" applyBorder="1"/>
    <xf numFmtId="0" fontId="5" fillId="6" borderId="78" xfId="0" applyFont="1" applyFill="1" applyBorder="1" applyAlignment="1">
      <alignment horizontal="right"/>
    </xf>
    <xf numFmtId="164" fontId="4" fillId="0" borderId="79" xfId="2" applyNumberFormat="1" applyFont="1" applyBorder="1"/>
    <xf numFmtId="164" fontId="4" fillId="0" borderId="80" xfId="2" applyNumberFormat="1" applyFont="1" applyBorder="1"/>
    <xf numFmtId="164" fontId="4" fillId="0" borderId="81" xfId="2" applyNumberFormat="1" applyFont="1" applyBorder="1"/>
    <xf numFmtId="164" fontId="5" fillId="7" borderId="82" xfId="2" applyNumberFormat="1" applyFont="1" applyFill="1" applyBorder="1" applyAlignment="1">
      <alignment horizontal="right"/>
    </xf>
    <xf numFmtId="164" fontId="4" fillId="0" borderId="82" xfId="2" applyNumberFormat="1" applyFont="1" applyBorder="1"/>
    <xf numFmtId="164" fontId="4" fillId="0" borderId="78" xfId="2" applyNumberFormat="1" applyFont="1" applyBorder="1"/>
    <xf numFmtId="164" fontId="5" fillId="3" borderId="75" xfId="0" applyNumberFormat="1" applyFont="1" applyFill="1" applyBorder="1"/>
    <xf numFmtId="164" fontId="5" fillId="3" borderId="22" xfId="0" applyNumberFormat="1" applyFont="1" applyFill="1" applyBorder="1"/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164" fontId="25" fillId="9" borderId="35" xfId="2" applyNumberFormat="1" applyFont="1" applyFill="1" applyBorder="1" applyAlignment="1">
      <alignment horizontal="center"/>
    </xf>
    <xf numFmtId="0" fontId="25" fillId="16" borderId="20" xfId="0" applyFont="1" applyFill="1" applyBorder="1"/>
    <xf numFmtId="0" fontId="25" fillId="16" borderId="30" xfId="0" applyFont="1" applyFill="1" applyBorder="1" applyAlignment="1">
      <alignment wrapText="1"/>
    </xf>
    <xf numFmtId="0" fontId="25" fillId="16" borderId="30" xfId="0" applyFont="1" applyFill="1" applyBorder="1"/>
    <xf numFmtId="0" fontId="25" fillId="16" borderId="25" xfId="0" applyFont="1" applyFill="1" applyBorder="1" applyAlignment="1">
      <alignment horizontal="center" wrapText="1"/>
    </xf>
    <xf numFmtId="164" fontId="25" fillId="9" borderId="30" xfId="2" applyNumberFormat="1" applyFont="1" applyFill="1" applyBorder="1" applyAlignment="1">
      <alignment horizontal="center" wrapText="1"/>
    </xf>
    <xf numFmtId="164" fontId="25" fillId="9" borderId="30" xfId="2" applyNumberFormat="1" applyFont="1" applyFill="1" applyBorder="1" applyAlignment="1">
      <alignment horizontal="center"/>
    </xf>
    <xf numFmtId="0" fontId="26" fillId="0" borderId="91" xfId="0" applyFont="1" applyBorder="1"/>
    <xf numFmtId="49" fontId="26" fillId="0" borderId="92" xfId="0" applyNumberFormat="1" applyFont="1" applyBorder="1"/>
    <xf numFmtId="2" fontId="26" fillId="0" borderId="93" xfId="0" applyNumberFormat="1" applyFont="1" applyBorder="1" applyAlignment="1">
      <alignment horizontal="center"/>
    </xf>
    <xf numFmtId="164" fontId="26" fillId="0" borderId="92" xfId="2" applyNumberFormat="1" applyFont="1" applyBorder="1" applyAlignment="1">
      <alignment horizontal="right"/>
    </xf>
    <xf numFmtId="164" fontId="26" fillId="0" borderId="92" xfId="2" applyNumberFormat="1" applyFont="1" applyBorder="1"/>
    <xf numFmtId="0" fontId="26" fillId="0" borderId="85" xfId="0" applyFont="1" applyBorder="1"/>
    <xf numFmtId="49" fontId="26" fillId="0" borderId="86" xfId="0" applyNumberFormat="1" applyFont="1" applyBorder="1"/>
    <xf numFmtId="2" fontId="26" fillId="0" borderId="87" xfId="0" applyNumberFormat="1" applyFont="1" applyBorder="1" applyAlignment="1">
      <alignment horizontal="center"/>
    </xf>
    <xf numFmtId="164" fontId="26" fillId="0" borderId="86" xfId="2" applyNumberFormat="1" applyFont="1" applyBorder="1" applyAlignment="1">
      <alignment horizontal="right"/>
    </xf>
    <xf numFmtId="164" fontId="26" fillId="0" borderId="86" xfId="2" applyNumberFormat="1" applyFont="1" applyBorder="1"/>
    <xf numFmtId="49" fontId="26" fillId="0" borderId="86" xfId="0" applyNumberFormat="1" applyFont="1" applyBorder="1" applyAlignment="1">
      <alignment horizontal="left"/>
    </xf>
    <xf numFmtId="49" fontId="26" fillId="4" borderId="86" xfId="0" applyNumberFormat="1" applyFont="1" applyFill="1" applyBorder="1"/>
    <xf numFmtId="164" fontId="26" fillId="4" borderId="86" xfId="2" applyNumberFormat="1" applyFont="1" applyFill="1" applyBorder="1" applyAlignment="1">
      <alignment horizontal="right"/>
    </xf>
    <xf numFmtId="164" fontId="26" fillId="0" borderId="89" xfId="2" applyNumberFormat="1" applyFont="1" applyBorder="1"/>
    <xf numFmtId="0" fontId="26" fillId="4" borderId="86" xfId="0" applyFont="1" applyFill="1" applyBorder="1"/>
    <xf numFmtId="2" fontId="26" fillId="4" borderId="87" xfId="0" applyNumberFormat="1" applyFont="1" applyFill="1" applyBorder="1" applyAlignment="1">
      <alignment horizontal="center"/>
    </xf>
    <xf numFmtId="164" fontId="26" fillId="4" borderId="86" xfId="2" applyNumberFormat="1" applyFont="1" applyFill="1" applyBorder="1"/>
    <xf numFmtId="0" fontId="26" fillId="0" borderId="86" xfId="0" applyFont="1" applyFill="1" applyBorder="1"/>
    <xf numFmtId="0" fontId="26" fillId="4" borderId="86" xfId="0" applyFont="1" applyFill="1" applyBorder="1" applyAlignment="1">
      <alignment horizontal="left"/>
    </xf>
    <xf numFmtId="49" fontId="26" fillId="0" borderId="95" xfId="0" applyNumberFormat="1" applyFont="1" applyBorder="1"/>
    <xf numFmtId="164" fontId="26" fillId="0" borderId="0" xfId="2" applyNumberFormat="1" applyFont="1"/>
    <xf numFmtId="0" fontId="25" fillId="9" borderId="35" xfId="0" applyFont="1" applyFill="1" applyBorder="1" applyAlignment="1">
      <alignment horizontal="left"/>
    </xf>
    <xf numFmtId="0" fontId="25" fillId="9" borderId="30" xfId="0" applyFont="1" applyFill="1" applyBorder="1" applyAlignment="1">
      <alignment horizontal="left" wrapText="1"/>
    </xf>
    <xf numFmtId="164" fontId="11" fillId="0" borderId="0" xfId="0" applyNumberFormat="1" applyFont="1"/>
    <xf numFmtId="164" fontId="22" fillId="0" borderId="0" xfId="2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4" fontId="26" fillId="0" borderId="91" xfId="0" applyNumberFormat="1" applyFont="1" applyBorder="1"/>
    <xf numFmtId="164" fontId="26" fillId="0" borderId="85" xfId="0" applyNumberFormat="1" applyFont="1" applyBorder="1"/>
    <xf numFmtId="164" fontId="26" fillId="0" borderId="84" xfId="0" applyNumberFormat="1" applyFont="1" applyBorder="1"/>
    <xf numFmtId="0" fontId="16" fillId="0" borderId="0" xfId="0" applyFont="1"/>
    <xf numFmtId="0" fontId="11" fillId="0" borderId="0" xfId="0" applyFont="1" applyBorder="1"/>
    <xf numFmtId="0" fontId="22" fillId="0" borderId="20" xfId="0" applyFont="1" applyBorder="1"/>
    <xf numFmtId="0" fontId="22" fillId="0" borderId="20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16" borderId="97" xfId="0" applyFont="1" applyFill="1" applyBorder="1"/>
    <xf numFmtId="164" fontId="22" fillId="16" borderId="97" xfId="2" applyNumberFormat="1" applyFont="1" applyFill="1" applyBorder="1"/>
    <xf numFmtId="0" fontId="22" fillId="3" borderId="98" xfId="0" applyFont="1" applyFill="1" applyBorder="1"/>
    <xf numFmtId="0" fontId="11" fillId="3" borderId="98" xfId="0" applyFont="1" applyFill="1" applyBorder="1"/>
    <xf numFmtId="164" fontId="22" fillId="3" borderId="98" xfId="2" applyNumberFormat="1" applyFont="1" applyFill="1" applyBorder="1"/>
    <xf numFmtId="164" fontId="22" fillId="3" borderId="99" xfId="2" applyNumberFormat="1" applyFont="1" applyFill="1" applyBorder="1"/>
    <xf numFmtId="0" fontId="28" fillId="0" borderId="0" xfId="0" applyFont="1"/>
    <xf numFmtId="164" fontId="22" fillId="16" borderId="102" xfId="2" applyNumberFormat="1" applyFont="1" applyFill="1" applyBorder="1"/>
    <xf numFmtId="14" fontId="26" fillId="0" borderId="86" xfId="0" applyNumberFormat="1" applyFont="1" applyBorder="1"/>
    <xf numFmtId="0" fontId="26" fillId="0" borderId="86" xfId="0" applyFont="1" applyBorder="1"/>
    <xf numFmtId="0" fontId="22" fillId="0" borderId="0" xfId="0" applyFont="1"/>
    <xf numFmtId="0" fontId="11" fillId="0" borderId="24" xfId="0" applyFont="1" applyBorder="1"/>
    <xf numFmtId="164" fontId="11" fillId="0" borderId="24" xfId="2" applyNumberFormat="1" applyFont="1" applyBorder="1"/>
    <xf numFmtId="164" fontId="22" fillId="0" borderId="24" xfId="2" applyNumberFormat="1" applyFont="1" applyBorder="1"/>
    <xf numFmtId="0" fontId="22" fillId="0" borderId="24" xfId="0" applyFont="1" applyBorder="1" applyAlignment="1">
      <alignment horizontal="center"/>
    </xf>
    <xf numFmtId="0" fontId="31" fillId="0" borderId="0" xfId="0" applyFont="1"/>
    <xf numFmtId="164" fontId="18" fillId="0" borderId="0" xfId="2" applyNumberFormat="1" applyFont="1"/>
    <xf numFmtId="0" fontId="18" fillId="0" borderId="0" xfId="0" applyFont="1" applyBorder="1"/>
    <xf numFmtId="164" fontId="18" fillId="0" borderId="0" xfId="2" applyNumberFormat="1" applyFont="1" applyBorder="1"/>
    <xf numFmtId="164" fontId="18" fillId="0" borderId="0" xfId="0" applyNumberFormat="1" applyFont="1"/>
    <xf numFmtId="164" fontId="32" fillId="0" borderId="0" xfId="2" applyNumberFormat="1" applyFont="1"/>
    <xf numFmtId="164" fontId="32" fillId="0" borderId="0" xfId="2" applyNumberFormat="1" applyFont="1" applyBorder="1"/>
    <xf numFmtId="0" fontId="31" fillId="9" borderId="25" xfId="0" applyFont="1" applyFill="1" applyBorder="1"/>
    <xf numFmtId="164" fontId="31" fillId="9" borderId="20" xfId="0" applyNumberFormat="1" applyFont="1" applyFill="1" applyBorder="1"/>
    <xf numFmtId="0" fontId="31" fillId="16" borderId="20" xfId="0" applyFont="1" applyFill="1" applyBorder="1"/>
    <xf numFmtId="0" fontId="31" fillId="16" borderId="20" xfId="0" applyFont="1" applyFill="1" applyBorder="1" applyAlignment="1">
      <alignment horizontal="center"/>
    </xf>
    <xf numFmtId="0" fontId="31" fillId="16" borderId="0" xfId="0" applyFont="1" applyFill="1" applyBorder="1"/>
    <xf numFmtId="164" fontId="18" fillId="6" borderId="24" xfId="2" applyNumberFormat="1" applyFont="1" applyFill="1" applyBorder="1"/>
    <xf numFmtId="0" fontId="33" fillId="0" borderId="0" xfId="0" applyFont="1"/>
    <xf numFmtId="164" fontId="33" fillId="0" borderId="0" xfId="0" applyNumberFormat="1" applyFont="1"/>
    <xf numFmtId="164" fontId="30" fillId="0" borderId="0" xfId="2" applyNumberFormat="1" applyFont="1"/>
    <xf numFmtId="0" fontId="26" fillId="6" borderId="48" xfId="0" applyFont="1" applyFill="1" applyBorder="1"/>
    <xf numFmtId="37" fontId="34" fillId="6" borderId="49" xfId="0" applyNumberFormat="1" applyFont="1" applyFill="1" applyBorder="1"/>
    <xf numFmtId="0" fontId="25" fillId="18" borderId="46" xfId="0" applyFont="1" applyFill="1" applyBorder="1"/>
    <xf numFmtId="0" fontId="26" fillId="18" borderId="47" xfId="0" applyFont="1" applyFill="1" applyBorder="1"/>
    <xf numFmtId="0" fontId="25" fillId="18" borderId="24" xfId="0" applyFont="1" applyFill="1" applyBorder="1"/>
    <xf numFmtId="0" fontId="26" fillId="18" borderId="0" xfId="0" applyFont="1" applyFill="1" applyBorder="1"/>
    <xf numFmtId="16" fontId="25" fillId="18" borderId="24" xfId="0" applyNumberFormat="1" applyFont="1" applyFill="1" applyBorder="1"/>
    <xf numFmtId="164" fontId="30" fillId="0" borderId="0" xfId="0" applyNumberFormat="1" applyFont="1"/>
    <xf numFmtId="37" fontId="33" fillId="0" borderId="0" xfId="0" applyNumberFormat="1" applyFont="1"/>
    <xf numFmtId="164" fontId="33" fillId="0" borderId="0" xfId="2" applyNumberFormat="1" applyFont="1"/>
    <xf numFmtId="0" fontId="33" fillId="0" borderId="25" xfId="0" applyFont="1" applyBorder="1"/>
    <xf numFmtId="37" fontId="33" fillId="0" borderId="20" xfId="0" applyNumberFormat="1" applyFont="1" applyBorder="1"/>
    <xf numFmtId="0" fontId="37" fillId="6" borderId="24" xfId="0" applyFont="1" applyFill="1" applyBorder="1"/>
    <xf numFmtId="0" fontId="37" fillId="6" borderId="0" xfId="0" applyFont="1" applyFill="1" applyBorder="1"/>
    <xf numFmtId="164" fontId="11" fillId="0" borderId="0" xfId="2" applyNumberFormat="1" applyFont="1" applyFill="1"/>
    <xf numFmtId="0" fontId="38" fillId="0" borderId="21" xfId="0" applyFont="1" applyBorder="1" applyAlignment="1">
      <alignment vertical="center"/>
    </xf>
    <xf numFmtId="2" fontId="38" fillId="0" borderId="21" xfId="0" applyNumberFormat="1" applyFont="1" applyBorder="1" applyAlignment="1">
      <alignment horizontal="center" vertical="center"/>
    </xf>
    <xf numFmtId="49" fontId="38" fillId="0" borderId="21" xfId="0" applyNumberFormat="1" applyFont="1" applyBorder="1" applyAlignment="1">
      <alignment vertical="center"/>
    </xf>
    <xf numFmtId="49" fontId="38" fillId="0" borderId="21" xfId="0" applyNumberFormat="1" applyFont="1" applyBorder="1" applyAlignment="1">
      <alignment horizontal="center" vertical="center"/>
    </xf>
    <xf numFmtId="164" fontId="38" fillId="0" borderId="21" xfId="2" applyNumberFormat="1" applyFont="1" applyBorder="1" applyAlignment="1">
      <alignment horizontal="right" vertical="center"/>
    </xf>
    <xf numFmtId="164" fontId="38" fillId="0" borderId="21" xfId="2" applyNumberFormat="1" applyFont="1" applyBorder="1" applyAlignment="1">
      <alignment vertical="center"/>
    </xf>
    <xf numFmtId="2" fontId="38" fillId="4" borderId="21" xfId="0" applyNumberFormat="1" applyFont="1" applyFill="1" applyBorder="1" applyAlignment="1">
      <alignment horizontal="center" vertical="center"/>
    </xf>
    <xf numFmtId="0" fontId="38" fillId="4" borderId="21" xfId="0" applyFont="1" applyFill="1" applyBorder="1" applyAlignment="1">
      <alignment vertical="center"/>
    </xf>
    <xf numFmtId="0" fontId="38" fillId="4" borderId="21" xfId="0" applyFont="1" applyFill="1" applyBorder="1" applyAlignment="1">
      <alignment horizontal="center" vertical="center"/>
    </xf>
    <xf numFmtId="164" fontId="38" fillId="4" borderId="21" xfId="2" applyNumberFormat="1" applyFont="1" applyFill="1" applyBorder="1" applyAlignment="1">
      <alignment vertical="center"/>
    </xf>
    <xf numFmtId="0" fontId="38" fillId="3" borderId="21" xfId="0" applyFont="1" applyFill="1" applyBorder="1" applyAlignment="1">
      <alignment vertical="center"/>
    </xf>
    <xf numFmtId="2" fontId="38" fillId="3" borderId="21" xfId="0" applyNumberFormat="1" applyFont="1" applyFill="1" applyBorder="1" applyAlignment="1">
      <alignment horizontal="center" vertical="center"/>
    </xf>
    <xf numFmtId="0" fontId="40" fillId="3" borderId="0" xfId="0" applyFont="1" applyFill="1" applyAlignment="1">
      <alignment vertical="center"/>
    </xf>
    <xf numFmtId="49" fontId="38" fillId="3" borderId="21" xfId="0" applyNumberFormat="1" applyFont="1" applyFill="1" applyBorder="1" applyAlignment="1">
      <alignment vertical="center"/>
    </xf>
    <xf numFmtId="49" fontId="38" fillId="3" borderId="21" xfId="0" applyNumberFormat="1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center" vertical="center"/>
    </xf>
    <xf numFmtId="164" fontId="38" fillId="3" borderId="21" xfId="2" applyNumberFormat="1" applyFont="1" applyFill="1" applyBorder="1" applyAlignment="1">
      <alignment vertical="center"/>
    </xf>
    <xf numFmtId="164" fontId="39" fillId="3" borderId="21" xfId="2" applyNumberFormat="1" applyFont="1" applyFill="1" applyBorder="1" applyAlignment="1">
      <alignment vertical="center"/>
    </xf>
    <xf numFmtId="49" fontId="38" fillId="0" borderId="21" xfId="0" applyNumberFormat="1" applyFont="1" applyBorder="1" applyAlignment="1">
      <alignment horizontal="left" vertical="center"/>
    </xf>
    <xf numFmtId="0" fontId="38" fillId="0" borderId="21" xfId="0" applyFont="1" applyFill="1" applyBorder="1" applyAlignment="1">
      <alignment vertical="center"/>
    </xf>
    <xf numFmtId="0" fontId="38" fillId="0" borderId="21" xfId="0" applyFont="1" applyBorder="1" applyAlignment="1">
      <alignment horizontal="center" vertical="center"/>
    </xf>
    <xf numFmtId="49" fontId="38" fillId="3" borderId="21" xfId="0" applyNumberFormat="1" applyFont="1" applyFill="1" applyBorder="1" applyAlignment="1">
      <alignment horizontal="left" vertical="center"/>
    </xf>
    <xf numFmtId="0" fontId="40" fillId="0" borderId="21" xfId="0" applyFont="1" applyBorder="1" applyAlignment="1">
      <alignment vertical="center"/>
    </xf>
    <xf numFmtId="0" fontId="40" fillId="3" borderId="21" xfId="0" applyFont="1" applyFill="1" applyBorder="1" applyAlignment="1">
      <alignment vertical="center"/>
    </xf>
    <xf numFmtId="49" fontId="41" fillId="0" borderId="21" xfId="0" applyNumberFormat="1" applyFont="1" applyBorder="1" applyAlignment="1">
      <alignment horizontal="center" vertical="center"/>
    </xf>
    <xf numFmtId="49" fontId="41" fillId="0" borderId="21" xfId="0" applyNumberFormat="1" applyFont="1" applyBorder="1" applyAlignment="1">
      <alignment vertical="center"/>
    </xf>
    <xf numFmtId="49" fontId="41" fillId="3" borderId="21" xfId="0" applyNumberFormat="1" applyFont="1" applyFill="1" applyBorder="1" applyAlignment="1">
      <alignment horizontal="center" vertical="center"/>
    </xf>
    <xf numFmtId="0" fontId="38" fillId="4" borderId="21" xfId="0" applyFont="1" applyFill="1" applyBorder="1" applyAlignment="1">
      <alignment horizontal="left" vertical="center"/>
    </xf>
    <xf numFmtId="49" fontId="41" fillId="0" borderId="21" xfId="0" applyNumberFormat="1" applyFont="1" applyBorder="1" applyAlignment="1">
      <alignment horizontal="left" vertical="center"/>
    </xf>
    <xf numFmtId="49" fontId="41" fillId="3" borderId="21" xfId="0" applyNumberFormat="1" applyFont="1" applyFill="1" applyBorder="1" applyAlignment="1">
      <alignment horizontal="left" vertical="center"/>
    </xf>
    <xf numFmtId="49" fontId="38" fillId="4" borderId="21" xfId="0" applyNumberFormat="1" applyFont="1" applyFill="1" applyBorder="1" applyAlignment="1">
      <alignment horizontal="center" vertical="center"/>
    </xf>
    <xf numFmtId="49" fontId="41" fillId="4" borderId="21" xfId="0" applyNumberFormat="1" applyFont="1" applyFill="1" applyBorder="1" applyAlignment="1">
      <alignment horizontal="center" vertical="center"/>
    </xf>
    <xf numFmtId="14" fontId="38" fillId="0" borderId="21" xfId="0" applyNumberFormat="1" applyFont="1" applyBorder="1" applyAlignment="1">
      <alignment vertical="center"/>
    </xf>
    <xf numFmtId="49" fontId="38" fillId="4" borderId="21" xfId="0" applyNumberFormat="1" applyFont="1" applyFill="1" applyBorder="1" applyAlignment="1">
      <alignment vertical="center"/>
    </xf>
    <xf numFmtId="164" fontId="38" fillId="4" borderId="21" xfId="2" applyNumberFormat="1" applyFont="1" applyFill="1" applyBorder="1" applyAlignment="1">
      <alignment horizontal="right" vertical="center"/>
    </xf>
    <xf numFmtId="0" fontId="42" fillId="4" borderId="21" xfId="0" applyFont="1" applyFill="1" applyBorder="1" applyAlignment="1">
      <alignment vertical="center"/>
    </xf>
    <xf numFmtId="164" fontId="39" fillId="19" borderId="21" xfId="2" applyNumberFormat="1" applyFont="1" applyFill="1" applyBorder="1" applyAlignment="1">
      <alignment horizontal="right" vertical="center"/>
    </xf>
    <xf numFmtId="49" fontId="39" fillId="0" borderId="21" xfId="0" applyNumberFormat="1" applyFont="1" applyBorder="1" applyAlignment="1">
      <alignment horizontal="left" vertical="center"/>
    </xf>
    <xf numFmtId="0" fontId="40" fillId="0" borderId="0" xfId="0" applyFont="1"/>
    <xf numFmtId="0" fontId="39" fillId="9" borderId="35" xfId="0" applyFont="1" applyFill="1" applyBorder="1" applyAlignment="1">
      <alignment horizontal="center"/>
    </xf>
    <xf numFmtId="164" fontId="39" fillId="9" borderId="35" xfId="2" applyNumberFormat="1" applyFont="1" applyFill="1" applyBorder="1" applyAlignment="1">
      <alignment horizontal="center"/>
    </xf>
    <xf numFmtId="0" fontId="39" fillId="16" borderId="20" xfId="0" applyFont="1" applyFill="1" applyBorder="1"/>
    <xf numFmtId="0" fontId="39" fillId="16" borderId="0" xfId="0" applyFont="1" applyFill="1" applyBorder="1"/>
    <xf numFmtId="0" fontId="39" fillId="16" borderId="24" xfId="0" applyFont="1" applyFill="1" applyBorder="1" applyAlignment="1">
      <alignment horizontal="center" wrapText="1"/>
    </xf>
    <xf numFmtId="0" fontId="39" fillId="16" borderId="35" xfId="0" applyFont="1" applyFill="1" applyBorder="1" applyAlignment="1">
      <alignment wrapText="1"/>
    </xf>
    <xf numFmtId="0" fontId="40" fillId="16" borderId="0" xfId="0" applyFont="1" applyFill="1"/>
    <xf numFmtId="0" fontId="39" fillId="16" borderId="35" xfId="0" applyFont="1" applyFill="1" applyBorder="1"/>
    <xf numFmtId="0" fontId="39" fillId="16" borderId="35" xfId="0" applyFont="1" applyFill="1" applyBorder="1" applyAlignment="1">
      <alignment horizontal="center"/>
    </xf>
    <xf numFmtId="0" fontId="39" fillId="16" borderId="35" xfId="0" applyFont="1" applyFill="1" applyBorder="1" applyAlignment="1">
      <alignment horizontal="center" wrapText="1"/>
    </xf>
    <xf numFmtId="0" fontId="39" fillId="9" borderId="35" xfId="0" applyFont="1" applyFill="1" applyBorder="1" applyAlignment="1">
      <alignment horizontal="center" wrapText="1"/>
    </xf>
    <xf numFmtId="164" fontId="39" fillId="9" borderId="35" xfId="2" applyNumberFormat="1" applyFont="1" applyFill="1" applyBorder="1" applyAlignment="1">
      <alignment horizontal="center" wrapText="1"/>
    </xf>
    <xf numFmtId="0" fontId="39" fillId="0" borderId="0" xfId="0" applyFont="1"/>
    <xf numFmtId="0" fontId="39" fillId="3" borderId="21" xfId="0" applyNumberFormat="1" applyFont="1" applyFill="1" applyBorder="1"/>
    <xf numFmtId="49" fontId="39" fillId="3" borderId="21" xfId="0" applyNumberFormat="1" applyFont="1" applyFill="1" applyBorder="1"/>
    <xf numFmtId="0" fontId="39" fillId="3" borderId="21" xfId="0" applyFont="1" applyFill="1" applyBorder="1"/>
    <xf numFmtId="49" fontId="39" fillId="3" borderId="21" xfId="0" applyNumberFormat="1" applyFont="1" applyFill="1" applyBorder="1" applyAlignment="1">
      <alignment horizontal="left"/>
    </xf>
    <xf numFmtId="0" fontId="38" fillId="0" borderId="21" xfId="0" applyFont="1" applyBorder="1"/>
    <xf numFmtId="2" fontId="38" fillId="0" borderId="21" xfId="0" applyNumberFormat="1" applyFont="1" applyBorder="1" applyAlignment="1">
      <alignment horizontal="center"/>
    </xf>
    <xf numFmtId="49" fontId="38" fillId="0" borderId="21" xfId="0" applyNumberFormat="1" applyFont="1" applyBorder="1" applyAlignment="1">
      <alignment horizontal="left"/>
    </xf>
    <xf numFmtId="49" fontId="38" fillId="0" borderId="21" xfId="0" applyNumberFormat="1" applyFont="1" applyBorder="1" applyAlignment="1">
      <alignment horizontal="center"/>
    </xf>
    <xf numFmtId="0" fontId="38" fillId="4" borderId="21" xfId="0" applyFont="1" applyFill="1" applyBorder="1" applyAlignment="1">
      <alignment horizontal="center"/>
    </xf>
    <xf numFmtId="0" fontId="38" fillId="4" borderId="21" xfId="0" applyFont="1" applyFill="1" applyBorder="1"/>
    <xf numFmtId="164" fontId="38" fillId="0" borderId="21" xfId="2" applyNumberFormat="1" applyFont="1" applyBorder="1" applyAlignment="1">
      <alignment horizontal="right"/>
    </xf>
    <xf numFmtId="164" fontId="38" fillId="0" borderId="21" xfId="2" applyNumberFormat="1" applyFont="1" applyBorder="1"/>
    <xf numFmtId="49" fontId="38" fillId="0" borderId="21" xfId="0" applyNumberFormat="1" applyFont="1" applyBorder="1"/>
    <xf numFmtId="2" fontId="38" fillId="4" borderId="21" xfId="0" applyNumberFormat="1" applyFont="1" applyFill="1" applyBorder="1" applyAlignment="1">
      <alignment horizontal="center"/>
    </xf>
    <xf numFmtId="164" fontId="38" fillId="4" borderId="21" xfId="2" applyNumberFormat="1" applyFont="1" applyFill="1" applyBorder="1"/>
    <xf numFmtId="0" fontId="38" fillId="0" borderId="21" xfId="0" applyFont="1" applyBorder="1" applyAlignment="1">
      <alignment horizontal="center"/>
    </xf>
    <xf numFmtId="0" fontId="39" fillId="0" borderId="21" xfId="0" applyFont="1" applyBorder="1"/>
    <xf numFmtId="0" fontId="40" fillId="0" borderId="0" xfId="0" applyFont="1" applyAlignment="1">
      <alignment horizontal="center"/>
    </xf>
    <xf numFmtId="164" fontId="18" fillId="0" borderId="36" xfId="2" applyNumberFormat="1" applyFont="1" applyBorder="1"/>
    <xf numFmtId="0" fontId="18" fillId="0" borderId="36" xfId="0" applyFont="1" applyBorder="1"/>
    <xf numFmtId="0" fontId="46" fillId="16" borderId="0" xfId="0" applyFont="1" applyFill="1" applyBorder="1"/>
    <xf numFmtId="49" fontId="26" fillId="0" borderId="101" xfId="0" applyNumberFormat="1" applyFont="1" applyBorder="1"/>
    <xf numFmtId="37" fontId="33" fillId="0" borderId="0" xfId="0" applyNumberFormat="1" applyFont="1" applyBorder="1"/>
    <xf numFmtId="164" fontId="26" fillId="0" borderId="96" xfId="2" applyNumberFormat="1" applyFont="1" applyBorder="1"/>
    <xf numFmtId="164" fontId="30" fillId="0" borderId="84" xfId="0" applyNumberFormat="1" applyFont="1" applyBorder="1"/>
    <xf numFmtId="164" fontId="33" fillId="0" borderId="84" xfId="0" applyNumberFormat="1" applyFont="1" applyBorder="1"/>
    <xf numFmtId="164" fontId="33" fillId="0" borderId="96" xfId="0" applyNumberFormat="1" applyFont="1" applyBorder="1"/>
    <xf numFmtId="164" fontId="26" fillId="0" borderId="84" xfId="2" applyNumberFormat="1" applyFont="1" applyBorder="1"/>
    <xf numFmtId="164" fontId="26" fillId="0" borderId="87" xfId="2" applyNumberFormat="1" applyFont="1" applyBorder="1"/>
    <xf numFmtId="164" fontId="30" fillId="0" borderId="85" xfId="0" applyNumberFormat="1" applyFont="1" applyBorder="1"/>
    <xf numFmtId="164" fontId="33" fillId="0" borderId="87" xfId="0" applyNumberFormat="1" applyFont="1" applyBorder="1"/>
    <xf numFmtId="164" fontId="26" fillId="0" borderId="85" xfId="2" applyNumberFormat="1" applyFont="1" applyBorder="1"/>
    <xf numFmtId="0" fontId="0" fillId="0" borderId="85" xfId="0" applyBorder="1"/>
    <xf numFmtId="10" fontId="26" fillId="0" borderId="87" xfId="41" applyNumberFormat="1" applyFont="1" applyBorder="1"/>
    <xf numFmtId="49" fontId="25" fillId="4" borderId="0" xfId="0" applyNumberFormat="1" applyFont="1" applyFill="1" applyBorder="1"/>
    <xf numFmtId="164" fontId="25" fillId="4" borderId="0" xfId="2" applyNumberFormat="1" applyFont="1" applyFill="1" applyBorder="1" applyAlignment="1">
      <alignment horizontal="right"/>
    </xf>
    <xf numFmtId="0" fontId="26" fillId="4" borderId="0" xfId="0" applyFont="1" applyFill="1"/>
    <xf numFmtId="0" fontId="17" fillId="2" borderId="36" xfId="0" applyFont="1" applyFill="1" applyBorder="1" applyAlignment="1">
      <alignment horizontal="left"/>
    </xf>
    <xf numFmtId="0" fontId="17" fillId="2" borderId="111" xfId="0" applyFont="1" applyFill="1" applyBorder="1"/>
    <xf numFmtId="0" fontId="17" fillId="2" borderId="112" xfId="0" applyFont="1" applyFill="1" applyBorder="1" applyAlignment="1">
      <alignment wrapText="1"/>
    </xf>
    <xf numFmtId="164" fontId="43" fillId="2" borderId="112" xfId="2" applyNumberFormat="1" applyFont="1" applyFill="1" applyBorder="1" applyAlignment="1">
      <alignment horizontal="center" wrapText="1"/>
    </xf>
    <xf numFmtId="164" fontId="17" fillId="2" borderId="112" xfId="2" applyNumberFormat="1" applyFont="1" applyFill="1" applyBorder="1" applyAlignment="1">
      <alignment horizontal="center" wrapText="1"/>
    </xf>
    <xf numFmtId="164" fontId="17" fillId="2" borderId="113" xfId="2" applyNumberFormat="1" applyFont="1" applyFill="1" applyBorder="1" applyAlignment="1">
      <alignment horizontal="center"/>
    </xf>
    <xf numFmtId="0" fontId="12" fillId="2" borderId="114" xfId="0" applyFont="1" applyFill="1" applyBorder="1" applyAlignment="1">
      <alignment horizontal="center" wrapText="1"/>
    </xf>
    <xf numFmtId="0" fontId="47" fillId="16" borderId="22" xfId="0" applyFont="1" applyFill="1" applyBorder="1" applyAlignment="1">
      <alignment horizontal="center" wrapText="1"/>
    </xf>
    <xf numFmtId="0" fontId="48" fillId="16" borderId="50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2" fontId="13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3" fillId="0" borderId="115" xfId="0" applyNumberFormat="1" applyFont="1" applyFill="1" applyBorder="1" applyAlignment="1">
      <alignment horizontal="center"/>
    </xf>
    <xf numFmtId="0" fontId="18" fillId="0" borderId="115" xfId="0" applyFont="1" applyFill="1" applyBorder="1" applyAlignment="1">
      <alignment horizontal="center"/>
    </xf>
    <xf numFmtId="2" fontId="13" fillId="0" borderId="116" xfId="0" applyNumberFormat="1" applyFont="1" applyFill="1" applyBorder="1" applyAlignment="1">
      <alignment horizontal="center"/>
    </xf>
    <xf numFmtId="0" fontId="18" fillId="0" borderId="116" xfId="0" applyFont="1" applyFill="1" applyBorder="1" applyAlignment="1">
      <alignment horizontal="center"/>
    </xf>
    <xf numFmtId="0" fontId="18" fillId="0" borderId="0" xfId="0" applyFont="1" applyBorder="1" applyAlignment="1">
      <alignment horizontal="left"/>
    </xf>
    <xf numFmtId="164" fontId="32" fillId="11" borderId="0" xfId="2" applyNumberFormat="1" applyFont="1" applyFill="1" applyBorder="1"/>
    <xf numFmtId="164" fontId="32" fillId="11" borderId="0" xfId="2" applyNumberFormat="1" applyFont="1" applyFill="1"/>
    <xf numFmtId="2" fontId="13" fillId="0" borderId="117" xfId="0" applyNumberFormat="1" applyFont="1" applyFill="1" applyBorder="1" applyAlignment="1">
      <alignment horizontal="center"/>
    </xf>
    <xf numFmtId="0" fontId="18" fillId="0" borderId="117" xfId="0" applyFont="1" applyFill="1" applyBorder="1" applyAlignment="1">
      <alignment horizontal="center"/>
    </xf>
    <xf numFmtId="0" fontId="18" fillId="0" borderId="118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left"/>
    </xf>
    <xf numFmtId="0" fontId="18" fillId="16" borderId="0" xfId="0" applyFont="1" applyFill="1" applyBorder="1"/>
    <xf numFmtId="164" fontId="18" fillId="16" borderId="0" xfId="2" applyNumberFormat="1" applyFont="1" applyFill="1" applyBorder="1"/>
    <xf numFmtId="164" fontId="18" fillId="16" borderId="0" xfId="2" applyNumberFormat="1" applyFont="1" applyFill="1"/>
    <xf numFmtId="2" fontId="13" fillId="16" borderId="0" xfId="0" applyNumberFormat="1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18" fillId="0" borderId="36" xfId="0" applyFont="1" applyBorder="1" applyAlignment="1">
      <alignment horizontal="left"/>
    </xf>
    <xf numFmtId="164" fontId="32" fillId="0" borderId="36" xfId="2" applyNumberFormat="1" applyFont="1" applyBorder="1"/>
    <xf numFmtId="2" fontId="13" fillId="0" borderId="36" xfId="0" applyNumberFormat="1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/>
    </xf>
    <xf numFmtId="0" fontId="31" fillId="14" borderId="0" xfId="0" applyFont="1" applyFill="1"/>
    <xf numFmtId="0" fontId="15" fillId="4" borderId="59" xfId="0" applyFont="1" applyFill="1" applyBorder="1"/>
    <xf numFmtId="49" fontId="25" fillId="4" borderId="84" xfId="0" applyNumberFormat="1" applyFont="1" applyFill="1" applyBorder="1"/>
    <xf numFmtId="49" fontId="27" fillId="4" borderId="96" xfId="0" applyNumberFormat="1" applyFont="1" applyFill="1" applyBorder="1"/>
    <xf numFmtId="49" fontId="26" fillId="4" borderId="95" xfId="0" applyNumberFormat="1" applyFont="1" applyFill="1" applyBorder="1"/>
    <xf numFmtId="0" fontId="26" fillId="4" borderId="95" xfId="0" applyNumberFormat="1" applyFont="1" applyFill="1" applyBorder="1"/>
    <xf numFmtId="164" fontId="25" fillId="4" borderId="95" xfId="2" applyNumberFormat="1" applyFont="1" applyFill="1" applyBorder="1" applyAlignment="1">
      <alignment horizontal="right"/>
    </xf>
    <xf numFmtId="164" fontId="18" fillId="0" borderId="84" xfId="2" applyNumberFormat="1" applyFont="1" applyBorder="1"/>
    <xf numFmtId="164" fontId="25" fillId="4" borderId="84" xfId="2" applyNumberFormat="1" applyFont="1" applyFill="1" applyBorder="1" applyAlignment="1">
      <alignment horizontal="right"/>
    </xf>
    <xf numFmtId="164" fontId="25" fillId="4" borderId="96" xfId="2" applyNumberFormat="1" applyFont="1" applyFill="1" applyBorder="1" applyAlignment="1">
      <alignment horizontal="right"/>
    </xf>
    <xf numFmtId="49" fontId="25" fillId="4" borderId="85" xfId="0" applyNumberFormat="1" applyFont="1" applyFill="1" applyBorder="1"/>
    <xf numFmtId="49" fontId="27" fillId="4" borderId="87" xfId="0" applyNumberFormat="1" applyFont="1" applyFill="1" applyBorder="1"/>
    <xf numFmtId="0" fontId="26" fillId="4" borderId="86" xfId="0" applyNumberFormat="1" applyFont="1" applyFill="1" applyBorder="1"/>
    <xf numFmtId="164" fontId="25" fillId="4" borderId="86" xfId="2" applyNumberFormat="1" applyFont="1" applyFill="1" applyBorder="1" applyAlignment="1">
      <alignment horizontal="right"/>
    </xf>
    <xf numFmtId="164" fontId="49" fillId="0" borderId="85" xfId="2" applyNumberFormat="1" applyFont="1" applyBorder="1"/>
    <xf numFmtId="164" fontId="18" fillId="0" borderId="85" xfId="2" applyNumberFormat="1" applyFont="1" applyBorder="1"/>
    <xf numFmtId="164" fontId="25" fillId="4" borderId="85" xfId="2" applyNumberFormat="1" applyFont="1" applyFill="1" applyBorder="1" applyAlignment="1">
      <alignment horizontal="right"/>
    </xf>
    <xf numFmtId="164" fontId="25" fillId="4" borderId="87" xfId="2" applyNumberFormat="1" applyFont="1" applyFill="1" applyBorder="1" applyAlignment="1">
      <alignment horizontal="right"/>
    </xf>
    <xf numFmtId="164" fontId="49" fillId="11" borderId="85" xfId="2" applyNumberFormat="1" applyFont="1" applyFill="1" applyBorder="1"/>
    <xf numFmtId="0" fontId="33" fillId="0" borderId="20" xfId="0" applyFont="1" applyBorder="1"/>
    <xf numFmtId="164" fontId="26" fillId="0" borderId="119" xfId="2" applyNumberFormat="1" applyFont="1" applyBorder="1"/>
    <xf numFmtId="164" fontId="26" fillId="0" borderId="120" xfId="2" applyNumberFormat="1" applyFont="1" applyBorder="1"/>
    <xf numFmtId="164" fontId="26" fillId="0" borderId="121" xfId="2" applyNumberFormat="1" applyFont="1" applyBorder="1"/>
    <xf numFmtId="164" fontId="25" fillId="4" borderId="121" xfId="2" applyNumberFormat="1" applyFont="1" applyFill="1" applyBorder="1" applyAlignment="1">
      <alignment horizontal="right"/>
    </xf>
    <xf numFmtId="164" fontId="25" fillId="4" borderId="120" xfId="2" applyNumberFormat="1" applyFont="1" applyFill="1" applyBorder="1" applyAlignment="1">
      <alignment horizontal="right"/>
    </xf>
    <xf numFmtId="164" fontId="26" fillId="0" borderId="123" xfId="0" applyNumberFormat="1" applyFont="1" applyBorder="1"/>
    <xf numFmtId="164" fontId="26" fillId="0" borderId="109" xfId="0" applyNumberFormat="1" applyFont="1" applyBorder="1"/>
    <xf numFmtId="164" fontId="26" fillId="0" borderId="108" xfId="0" applyNumberFormat="1" applyFont="1" applyBorder="1"/>
    <xf numFmtId="164" fontId="26" fillId="0" borderId="124" xfId="2" applyNumberFormat="1" applyFont="1" applyBorder="1"/>
    <xf numFmtId="164" fontId="26" fillId="0" borderId="125" xfId="2" applyNumberFormat="1" applyFont="1" applyBorder="1"/>
    <xf numFmtId="164" fontId="25" fillId="4" borderId="124" xfId="2" applyNumberFormat="1" applyFont="1" applyFill="1" applyBorder="1" applyAlignment="1">
      <alignment horizontal="right"/>
    </xf>
    <xf numFmtId="164" fontId="25" fillId="4" borderId="125" xfId="2" applyNumberFormat="1" applyFont="1" applyFill="1" applyBorder="1" applyAlignment="1">
      <alignment horizontal="right"/>
    </xf>
    <xf numFmtId="10" fontId="26" fillId="0" borderId="96" xfId="41" applyNumberFormat="1" applyFont="1" applyBorder="1"/>
    <xf numFmtId="10" fontId="26" fillId="4" borderId="87" xfId="41" applyNumberFormat="1" applyFont="1" applyFill="1" applyBorder="1"/>
    <xf numFmtId="10" fontId="26" fillId="0" borderId="90" xfId="41" applyNumberFormat="1" applyFont="1" applyBorder="1"/>
    <xf numFmtId="2" fontId="26" fillId="4" borderId="0" xfId="0" applyNumberFormat="1" applyFont="1" applyFill="1" applyBorder="1" applyAlignment="1">
      <alignment horizontal="center"/>
    </xf>
    <xf numFmtId="0" fontId="26" fillId="4" borderId="0" xfId="0" applyFont="1" applyFill="1" applyBorder="1"/>
    <xf numFmtId="164" fontId="26" fillId="4" borderId="0" xfId="2" applyNumberFormat="1" applyFont="1" applyFill="1" applyBorder="1"/>
    <xf numFmtId="0" fontId="25" fillId="4" borderId="0" xfId="0" applyFont="1" applyFill="1" applyBorder="1"/>
    <xf numFmtId="49" fontId="26" fillId="4" borderId="0" xfId="0" applyNumberFormat="1" applyFont="1" applyFill="1" applyBorder="1"/>
    <xf numFmtId="164" fontId="26" fillId="4" borderId="0" xfId="2" applyNumberFormat="1" applyFont="1" applyFill="1" applyBorder="1" applyAlignment="1">
      <alignment horizontal="right"/>
    </xf>
    <xf numFmtId="49" fontId="26" fillId="4" borderId="0" xfId="0" applyNumberFormat="1" applyFont="1" applyFill="1" applyBorder="1" applyAlignment="1">
      <alignment horizontal="left"/>
    </xf>
    <xf numFmtId="49" fontId="25" fillId="4" borderId="0" xfId="0" applyNumberFormat="1" applyFont="1" applyFill="1" applyBorder="1" applyAlignment="1">
      <alignment horizontal="left"/>
    </xf>
    <xf numFmtId="164" fontId="25" fillId="4" borderId="0" xfId="2" applyNumberFormat="1" applyFont="1" applyFill="1" applyBorder="1"/>
    <xf numFmtId="0" fontId="26" fillId="4" borderId="0" xfId="0" applyFont="1" applyFill="1" applyBorder="1" applyAlignment="1">
      <alignment horizontal="center"/>
    </xf>
    <xf numFmtId="49" fontId="26" fillId="8" borderId="86" xfId="0" applyNumberFormat="1" applyFont="1" applyFill="1" applyBorder="1"/>
    <xf numFmtId="164" fontId="26" fillId="8" borderId="86" xfId="2" applyNumberFormat="1" applyFont="1" applyFill="1" applyBorder="1" applyAlignment="1">
      <alignment horizontal="right"/>
    </xf>
    <xf numFmtId="164" fontId="26" fillId="8" borderId="120" xfId="2" applyNumberFormat="1" applyFont="1" applyFill="1" applyBorder="1"/>
    <xf numFmtId="164" fontId="26" fillId="8" borderId="109" xfId="0" applyNumberFormat="1" applyFont="1" applyFill="1" applyBorder="1"/>
    <xf numFmtId="164" fontId="26" fillId="8" borderId="85" xfId="0" applyNumberFormat="1" applyFont="1" applyFill="1" applyBorder="1"/>
    <xf numFmtId="164" fontId="30" fillId="8" borderId="85" xfId="0" applyNumberFormat="1" applyFont="1" applyFill="1" applyBorder="1"/>
    <xf numFmtId="164" fontId="26" fillId="6" borderId="49" xfId="2" applyNumberFormat="1" applyFont="1" applyFill="1" applyBorder="1"/>
    <xf numFmtId="164" fontId="33" fillId="6" borderId="49" xfId="2" applyNumberFormat="1" applyFont="1" applyFill="1" applyBorder="1"/>
    <xf numFmtId="164" fontId="33" fillId="6" borderId="51" xfId="2" applyNumberFormat="1" applyFont="1" applyFill="1" applyBorder="1"/>
    <xf numFmtId="164" fontId="37" fillId="6" borderId="49" xfId="2" applyNumberFormat="1" applyFont="1" applyFill="1" applyBorder="1"/>
    <xf numFmtId="164" fontId="33" fillId="9" borderId="0" xfId="2" applyNumberFormat="1" applyFont="1" applyFill="1"/>
    <xf numFmtId="0" fontId="26" fillId="20" borderId="0" xfId="0" applyFont="1" applyFill="1" applyBorder="1"/>
    <xf numFmtId="0" fontId="26" fillId="20" borderId="36" xfId="0" applyFont="1" applyFill="1" applyBorder="1"/>
    <xf numFmtId="0" fontId="29" fillId="18" borderId="76" xfId="0" applyFont="1" applyFill="1" applyBorder="1"/>
    <xf numFmtId="0" fontId="27" fillId="18" borderId="107" xfId="0" applyFont="1" applyFill="1" applyBorder="1"/>
    <xf numFmtId="0" fontId="31" fillId="0" borderId="0" xfId="0" applyFont="1" applyBorder="1"/>
    <xf numFmtId="0" fontId="31" fillId="16" borderId="25" xfId="0" applyFont="1" applyFill="1" applyBorder="1"/>
    <xf numFmtId="164" fontId="18" fillId="6" borderId="0" xfId="2" applyNumberFormat="1" applyFont="1" applyFill="1" applyBorder="1"/>
    <xf numFmtId="0" fontId="31" fillId="6" borderId="24" xfId="0" applyFont="1" applyFill="1" applyBorder="1"/>
    <xf numFmtId="164" fontId="25" fillId="11" borderId="86" xfId="2" applyNumberFormat="1" applyFont="1" applyFill="1" applyBorder="1" applyAlignment="1">
      <alignment horizontal="right"/>
    </xf>
    <xf numFmtId="164" fontId="26" fillId="0" borderId="0" xfId="0" applyNumberFormat="1" applyFont="1"/>
    <xf numFmtId="0" fontId="51" fillId="2" borderId="1" xfId="0" applyFont="1" applyFill="1" applyBorder="1"/>
    <xf numFmtId="0" fontId="51" fillId="2" borderId="2" xfId="0" applyFont="1" applyFill="1" applyBorder="1"/>
    <xf numFmtId="0" fontId="51" fillId="2" borderId="7" xfId="0" applyFont="1" applyFill="1" applyBorder="1"/>
    <xf numFmtId="0" fontId="51" fillId="2" borderId="10" xfId="0" applyFont="1" applyFill="1" applyBorder="1"/>
    <xf numFmtId="0" fontId="51" fillId="2" borderId="10" xfId="0" applyFont="1" applyFill="1" applyBorder="1" applyAlignment="1">
      <alignment wrapText="1"/>
    </xf>
    <xf numFmtId="0" fontId="52" fillId="0" borderId="0" xfId="0" applyFont="1"/>
    <xf numFmtId="0" fontId="51" fillId="2" borderId="3" xfId="0" applyFont="1" applyFill="1" applyBorder="1"/>
    <xf numFmtId="0" fontId="51" fillId="2" borderId="5" xfId="0" applyFont="1" applyFill="1" applyBorder="1" applyAlignment="1">
      <alignment wrapText="1"/>
    </xf>
    <xf numFmtId="0" fontId="51" fillId="2" borderId="4" xfId="0" applyFont="1" applyFill="1" applyBorder="1"/>
    <xf numFmtId="0" fontId="51" fillId="2" borderId="4" xfId="0" applyFont="1" applyFill="1" applyBorder="1" applyAlignment="1">
      <alignment wrapText="1"/>
    </xf>
    <xf numFmtId="0" fontId="51" fillId="2" borderId="8" xfId="0" applyFont="1" applyFill="1" applyBorder="1" applyAlignment="1">
      <alignment wrapText="1"/>
    </xf>
    <xf numFmtId="0" fontId="51" fillId="2" borderId="8" xfId="0" applyFont="1" applyFill="1" applyBorder="1"/>
    <xf numFmtId="0" fontId="51" fillId="2" borderId="9" xfId="0" applyFont="1" applyFill="1" applyBorder="1"/>
    <xf numFmtId="0" fontId="51" fillId="2" borderId="11" xfId="0" applyFont="1" applyFill="1" applyBorder="1" applyAlignment="1">
      <alignment horizontal="center" wrapText="1"/>
    </xf>
    <xf numFmtId="49" fontId="52" fillId="0" borderId="15" xfId="0" applyNumberFormat="1" applyFont="1" applyBorder="1"/>
    <xf numFmtId="49" fontId="52" fillId="0" borderId="16" xfId="0" applyNumberFormat="1" applyFont="1" applyBorder="1"/>
    <xf numFmtId="49" fontId="52" fillId="0" borderId="6" xfId="0" applyNumberFormat="1" applyFont="1" applyBorder="1"/>
    <xf numFmtId="5" fontId="52" fillId="0" borderId="16" xfId="1" applyNumberFormat="1" applyFont="1" applyBorder="1" applyAlignment="1">
      <alignment horizontal="right"/>
    </xf>
    <xf numFmtId="5" fontId="52" fillId="0" borderId="16" xfId="1" applyNumberFormat="1" applyFont="1" applyBorder="1"/>
    <xf numFmtId="5" fontId="52" fillId="0" borderId="12" xfId="1" applyNumberFormat="1" applyFont="1" applyBorder="1"/>
    <xf numFmtId="5" fontId="52" fillId="0" borderId="6" xfId="1" applyNumberFormat="1" applyFont="1" applyBorder="1"/>
    <xf numFmtId="2" fontId="52" fillId="0" borderId="13" xfId="0" applyNumberFormat="1" applyFont="1" applyBorder="1"/>
    <xf numFmtId="2" fontId="52" fillId="0" borderId="13" xfId="0" applyNumberFormat="1" applyFont="1" applyBorder="1" applyAlignment="1">
      <alignment wrapText="1"/>
    </xf>
    <xf numFmtId="49" fontId="52" fillId="0" borderId="14" xfId="0" applyNumberFormat="1" applyFont="1" applyBorder="1"/>
    <xf numFmtId="5" fontId="52" fillId="0" borderId="6" xfId="1" applyNumberFormat="1" applyFont="1" applyBorder="1" applyAlignment="1">
      <alignment horizontal="right"/>
    </xf>
    <xf numFmtId="49" fontId="52" fillId="0" borderId="19" xfId="0" applyNumberFormat="1" applyFont="1" applyBorder="1" applyAlignment="1">
      <alignment horizontal="left"/>
    </xf>
    <xf numFmtId="5" fontId="52" fillId="0" borderId="19" xfId="1" applyNumberFormat="1" applyFont="1" applyBorder="1" applyAlignment="1">
      <alignment horizontal="right"/>
    </xf>
    <xf numFmtId="49" fontId="52" fillId="0" borderId="17" xfId="0" applyNumberFormat="1" applyFont="1" applyBorder="1"/>
    <xf numFmtId="49" fontId="52" fillId="0" borderId="18" xfId="0" applyNumberFormat="1" applyFont="1" applyBorder="1"/>
    <xf numFmtId="0" fontId="52" fillId="0" borderId="0" xfId="0" applyFont="1" applyAlignment="1">
      <alignment wrapText="1"/>
    </xf>
    <xf numFmtId="44" fontId="52" fillId="0" borderId="0" xfId="0" applyNumberFormat="1" applyFont="1"/>
    <xf numFmtId="5" fontId="52" fillId="0" borderId="0" xfId="0" applyNumberFormat="1" applyFont="1"/>
    <xf numFmtId="0" fontId="51" fillId="2" borderId="10" xfId="0" applyFont="1" applyFill="1" applyBorder="1" applyAlignment="1">
      <alignment horizontal="center"/>
    </xf>
    <xf numFmtId="2" fontId="52" fillId="0" borderId="13" xfId="0" applyNumberFormat="1" applyFont="1" applyBorder="1" applyAlignment="1">
      <alignment horizontal="center"/>
    </xf>
    <xf numFmtId="0" fontId="52" fillId="0" borderId="0" xfId="0" applyFont="1" applyAlignment="1">
      <alignment horizontal="center"/>
    </xf>
    <xf numFmtId="164" fontId="52" fillId="11" borderId="0" xfId="2" applyNumberFormat="1" applyFont="1" applyFill="1"/>
    <xf numFmtId="164" fontId="52" fillId="0" borderId="0" xfId="2" applyNumberFormat="1" applyFont="1"/>
    <xf numFmtId="164" fontId="11" fillId="11" borderId="0" xfId="2" applyNumberFormat="1" applyFont="1" applyFill="1"/>
    <xf numFmtId="166" fontId="52" fillId="0" borderId="0" xfId="0" applyNumberFormat="1" applyFont="1"/>
    <xf numFmtId="164" fontId="52" fillId="11" borderId="0" xfId="0" applyNumberFormat="1" applyFont="1" applyFill="1"/>
    <xf numFmtId="0" fontId="18" fillId="0" borderId="0" xfId="0" applyFont="1" applyFill="1" applyBorder="1"/>
    <xf numFmtId="164" fontId="31" fillId="14" borderId="0" xfId="2" applyNumberFormat="1" applyFont="1" applyFill="1"/>
    <xf numFmtId="164" fontId="0" fillId="0" borderId="0" xfId="2" applyNumberFormat="1" applyFont="1"/>
    <xf numFmtId="164" fontId="0" fillId="11" borderId="0" xfId="2" applyNumberFormat="1" applyFont="1" applyFill="1"/>
    <xf numFmtId="0" fontId="31" fillId="16" borderId="130" xfId="0" applyFont="1" applyFill="1" applyBorder="1"/>
    <xf numFmtId="0" fontId="18" fillId="16" borderId="131" xfId="0" applyFont="1" applyFill="1" applyBorder="1"/>
    <xf numFmtId="0" fontId="31" fillId="16" borderId="131" xfId="0" applyFont="1" applyFill="1" applyBorder="1"/>
    <xf numFmtId="0" fontId="31" fillId="16" borderId="50" xfId="0" applyFont="1" applyFill="1" applyBorder="1"/>
    <xf numFmtId="0" fontId="18" fillId="16" borderId="36" xfId="0" applyFont="1" applyFill="1" applyBorder="1"/>
    <xf numFmtId="164" fontId="18" fillId="16" borderId="36" xfId="2" applyNumberFormat="1" applyFont="1" applyFill="1" applyBorder="1"/>
    <xf numFmtId="0" fontId="31" fillId="16" borderId="36" xfId="0" applyFont="1" applyFill="1" applyBorder="1"/>
    <xf numFmtId="0" fontId="18" fillId="6" borderId="0" xfId="0" applyFont="1" applyFill="1" applyBorder="1"/>
    <xf numFmtId="0" fontId="18" fillId="6" borderId="24" xfId="0" applyFont="1" applyFill="1" applyBorder="1"/>
    <xf numFmtId="164" fontId="18" fillId="6" borderId="49" xfId="2" applyNumberFormat="1" applyFont="1" applyFill="1" applyBorder="1"/>
    <xf numFmtId="0" fontId="18" fillId="6" borderId="20" xfId="0" applyFont="1" applyFill="1" applyBorder="1"/>
    <xf numFmtId="164" fontId="18" fillId="6" borderId="20" xfId="2" applyNumberFormat="1" applyFont="1" applyFill="1" applyBorder="1"/>
    <xf numFmtId="164" fontId="18" fillId="6" borderId="128" xfId="2" applyNumberFormat="1" applyFont="1" applyFill="1" applyBorder="1"/>
    <xf numFmtId="164" fontId="33" fillId="0" borderId="0" xfId="0" applyNumberFormat="1" applyFont="1" applyAlignment="1">
      <alignment horizontal="right"/>
    </xf>
    <xf numFmtId="0" fontId="53" fillId="2" borderId="0" xfId="0" applyFont="1" applyFill="1" applyBorder="1" applyAlignment="1">
      <alignment horizontal="left"/>
    </xf>
    <xf numFmtId="0" fontId="17" fillId="2" borderId="1" xfId="0" applyFont="1" applyFill="1" applyBorder="1"/>
    <xf numFmtId="0" fontId="17" fillId="2" borderId="2" xfId="0" applyFont="1" applyFill="1" applyBorder="1"/>
    <xf numFmtId="164" fontId="43" fillId="2" borderId="2" xfId="2" applyNumberFormat="1" applyFont="1" applyFill="1" applyBorder="1"/>
    <xf numFmtId="164" fontId="17" fillId="2" borderId="2" xfId="2" applyNumberFormat="1" applyFont="1" applyFill="1" applyBorder="1"/>
    <xf numFmtId="0" fontId="12" fillId="2" borderId="10" xfId="0" applyFont="1" applyFill="1" applyBorder="1" applyAlignment="1">
      <alignment horizontal="center"/>
    </xf>
    <xf numFmtId="0" fontId="18" fillId="0" borderId="116" xfId="0" applyFont="1" applyFill="1" applyBorder="1"/>
    <xf numFmtId="0" fontId="49" fillId="0" borderId="116" xfId="0" applyFont="1" applyFill="1" applyBorder="1"/>
    <xf numFmtId="0" fontId="18" fillId="0" borderId="132" xfId="0" applyFont="1" applyFill="1" applyBorder="1"/>
    <xf numFmtId="0" fontId="49" fillId="0" borderId="132" xfId="0" applyFont="1" applyFill="1" applyBorder="1"/>
    <xf numFmtId="0" fontId="48" fillId="16" borderId="22" xfId="0" applyFont="1" applyFill="1" applyBorder="1" applyAlignment="1">
      <alignment horizontal="center"/>
    </xf>
    <xf numFmtId="0" fontId="48" fillId="16" borderId="22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13" fillId="0" borderId="133" xfId="0" applyNumberFormat="1" applyFont="1" applyFill="1" applyBorder="1" applyAlignment="1">
      <alignment horizontal="center"/>
    </xf>
    <xf numFmtId="0" fontId="18" fillId="0" borderId="134" xfId="0" applyFont="1" applyFill="1" applyBorder="1" applyAlignment="1">
      <alignment horizontal="center"/>
    </xf>
    <xf numFmtId="0" fontId="18" fillId="0" borderId="133" xfId="0" applyFont="1" applyFill="1" applyBorder="1" applyAlignment="1">
      <alignment horizontal="center"/>
    </xf>
    <xf numFmtId="0" fontId="49" fillId="0" borderId="133" xfId="0" applyFont="1" applyFill="1" applyBorder="1"/>
    <xf numFmtId="0" fontId="18" fillId="0" borderId="115" xfId="0" applyFont="1" applyFill="1" applyBorder="1"/>
    <xf numFmtId="0" fontId="13" fillId="0" borderId="115" xfId="0" applyFont="1" applyBorder="1" applyAlignment="1">
      <alignment horizontal="center"/>
    </xf>
    <xf numFmtId="0" fontId="18" fillId="16" borderId="0" xfId="0" applyFont="1" applyFill="1"/>
    <xf numFmtId="164" fontId="32" fillId="16" borderId="0" xfId="2" applyNumberFormat="1" applyFont="1" applyFill="1"/>
    <xf numFmtId="164" fontId="32" fillId="0" borderId="0" xfId="0" applyNumberFormat="1" applyFont="1"/>
    <xf numFmtId="0" fontId="31" fillId="16" borderId="25" xfId="0" applyFont="1" applyFill="1" applyBorder="1" applyAlignment="1">
      <alignment horizontal="center"/>
    </xf>
    <xf numFmtId="0" fontId="31" fillId="16" borderId="135" xfId="0" applyFont="1" applyFill="1" applyBorder="1"/>
    <xf numFmtId="0" fontId="31" fillId="16" borderId="51" xfId="0" applyFont="1" applyFill="1" applyBorder="1"/>
    <xf numFmtId="164" fontId="31" fillId="16" borderId="130" xfId="2" applyNumberFormat="1" applyFont="1" applyFill="1" applyBorder="1"/>
    <xf numFmtId="0" fontId="25" fillId="0" borderId="0" xfId="0" applyFont="1" applyBorder="1"/>
    <xf numFmtId="49" fontId="25" fillId="4" borderId="110" xfId="0" applyNumberFormat="1" applyFont="1" applyFill="1" applyBorder="1"/>
    <xf numFmtId="49" fontId="27" fillId="4" borderId="90" xfId="0" applyNumberFormat="1" applyFont="1" applyFill="1" applyBorder="1"/>
    <xf numFmtId="49" fontId="26" fillId="4" borderId="89" xfId="0" applyNumberFormat="1" applyFont="1" applyFill="1" applyBorder="1"/>
    <xf numFmtId="0" fontId="26" fillId="4" borderId="89" xfId="0" applyNumberFormat="1" applyFont="1" applyFill="1" applyBorder="1"/>
    <xf numFmtId="164" fontId="49" fillId="0" borderId="84" xfId="2" applyNumberFormat="1" applyFont="1" applyBorder="1"/>
    <xf numFmtId="164" fontId="25" fillId="4" borderId="110" xfId="2" applyNumberFormat="1" applyFont="1" applyFill="1" applyBorder="1" applyAlignment="1">
      <alignment horizontal="right"/>
    </xf>
    <xf numFmtId="164" fontId="25" fillId="4" borderId="90" xfId="2" applyNumberFormat="1" applyFont="1" applyFill="1" applyBorder="1" applyAlignment="1">
      <alignment horizontal="right"/>
    </xf>
    <xf numFmtId="164" fontId="25" fillId="4" borderId="126" xfId="2" applyNumberFormat="1" applyFont="1" applyFill="1" applyBorder="1" applyAlignment="1">
      <alignment horizontal="right"/>
    </xf>
    <xf numFmtId="49" fontId="25" fillId="13" borderId="0" xfId="0" applyNumberFormat="1" applyFont="1" applyFill="1" applyBorder="1"/>
    <xf numFmtId="0" fontId="26" fillId="13" borderId="0" xfId="0" applyFont="1" applyFill="1"/>
    <xf numFmtId="49" fontId="25" fillId="15" borderId="94" xfId="0" applyNumberFormat="1" applyFont="1" applyFill="1" applyBorder="1"/>
    <xf numFmtId="49" fontId="27" fillId="15" borderId="100" xfId="0" applyNumberFormat="1" applyFont="1" applyFill="1" applyBorder="1"/>
    <xf numFmtId="49" fontId="26" fillId="15" borderId="83" xfId="0" applyNumberFormat="1" applyFont="1" applyFill="1" applyBorder="1"/>
    <xf numFmtId="164" fontId="25" fillId="15" borderId="83" xfId="2" applyNumberFormat="1" applyFont="1" applyFill="1" applyBorder="1" applyAlignment="1">
      <alignment horizontal="right"/>
    </xf>
    <xf numFmtId="0" fontId="22" fillId="0" borderId="0" xfId="0" applyFont="1" applyBorder="1" applyAlignment="1">
      <alignment horizontal="center"/>
    </xf>
    <xf numFmtId="164" fontId="25" fillId="15" borderId="100" xfId="2" applyNumberFormat="1" applyFont="1" applyFill="1" applyBorder="1" applyAlignment="1">
      <alignment horizontal="right"/>
    </xf>
    <xf numFmtId="49" fontId="25" fillId="13" borderId="86" xfId="0" applyNumberFormat="1" applyFont="1" applyFill="1" applyBorder="1"/>
    <xf numFmtId="0" fontId="26" fillId="13" borderId="86" xfId="0" applyNumberFormat="1" applyFont="1" applyFill="1" applyBorder="1"/>
    <xf numFmtId="164" fontId="50" fillId="13" borderId="85" xfId="2" applyNumberFormat="1" applyFont="1" applyFill="1" applyBorder="1"/>
    <xf numFmtId="164" fontId="50" fillId="13" borderId="87" xfId="2" applyNumberFormat="1" applyFont="1" applyFill="1" applyBorder="1"/>
    <xf numFmtId="10" fontId="35" fillId="13" borderId="87" xfId="41" applyNumberFormat="1" applyFont="1" applyFill="1" applyBorder="1" applyAlignment="1">
      <alignment horizontal="right"/>
    </xf>
    <xf numFmtId="164" fontId="25" fillId="11" borderId="100" xfId="2" applyNumberFormat="1" applyFont="1" applyFill="1" applyBorder="1" applyAlignment="1">
      <alignment horizontal="right"/>
    </xf>
    <xf numFmtId="49" fontId="25" fillId="4" borderId="36" xfId="0" applyNumberFormat="1" applyFont="1" applyFill="1" applyBorder="1"/>
    <xf numFmtId="164" fontId="49" fillId="16" borderId="87" xfId="2" applyNumberFormat="1" applyFont="1" applyFill="1" applyBorder="1"/>
    <xf numFmtId="164" fontId="49" fillId="0" borderId="90" xfId="2" applyNumberFormat="1" applyFont="1" applyBorder="1"/>
    <xf numFmtId="164" fontId="18" fillId="16" borderId="87" xfId="2" applyNumberFormat="1" applyFont="1" applyFill="1" applyBorder="1"/>
    <xf numFmtId="164" fontId="18" fillId="0" borderId="90" xfId="2" applyNumberFormat="1" applyFont="1" applyBorder="1"/>
    <xf numFmtId="0" fontId="26" fillId="0" borderId="24" xfId="0" applyFont="1" applyBorder="1"/>
    <xf numFmtId="0" fontId="25" fillId="16" borderId="0" xfId="0" applyFont="1" applyFill="1" applyBorder="1" applyAlignment="1">
      <alignment horizontal="center"/>
    </xf>
    <xf numFmtId="49" fontId="26" fillId="0" borderId="136" xfId="0" applyNumberFormat="1" applyFont="1" applyBorder="1"/>
    <xf numFmtId="164" fontId="30" fillId="13" borderId="108" xfId="2" applyNumberFormat="1" applyFont="1" applyFill="1" applyBorder="1"/>
    <xf numFmtId="164" fontId="30" fillId="13" borderId="109" xfId="2" applyNumberFormat="1" applyFont="1" applyFill="1" applyBorder="1"/>
    <xf numFmtId="164" fontId="30" fillId="0" borderId="0" xfId="0" applyNumberFormat="1" applyFont="1" applyAlignment="1">
      <alignment horizontal="right"/>
    </xf>
    <xf numFmtId="164" fontId="25" fillId="4" borderId="142" xfId="2" applyNumberFormat="1" applyFont="1" applyFill="1" applyBorder="1" applyAlignment="1">
      <alignment horizontal="right"/>
    </xf>
    <xf numFmtId="164" fontId="25" fillId="15" borderId="143" xfId="2" applyNumberFormat="1" applyFont="1" applyFill="1" applyBorder="1" applyAlignment="1">
      <alignment horizontal="right"/>
    </xf>
    <xf numFmtId="0" fontId="55" fillId="0" borderId="0" xfId="0" applyFont="1"/>
    <xf numFmtId="164" fontId="55" fillId="0" borderId="84" xfId="0" applyNumberFormat="1" applyFont="1" applyBorder="1"/>
    <xf numFmtId="164" fontId="55" fillId="0" borderId="96" xfId="2" applyNumberFormat="1" applyFont="1" applyBorder="1"/>
    <xf numFmtId="164" fontId="55" fillId="4" borderId="96" xfId="0" applyNumberFormat="1" applyFont="1" applyFill="1" applyBorder="1"/>
    <xf numFmtId="164" fontId="55" fillId="0" borderId="85" xfId="0" applyNumberFormat="1" applyFont="1" applyBorder="1"/>
    <xf numFmtId="164" fontId="55" fillId="0" borderId="87" xfId="2" applyNumberFormat="1" applyFont="1" applyBorder="1"/>
    <xf numFmtId="0" fontId="55" fillId="0" borderId="85" xfId="0" applyFont="1" applyBorder="1"/>
    <xf numFmtId="164" fontId="55" fillId="4" borderId="87" xfId="0" applyNumberFormat="1" applyFont="1" applyFill="1" applyBorder="1"/>
    <xf numFmtId="164" fontId="55" fillId="8" borderId="85" xfId="0" applyNumberFormat="1" applyFont="1" applyFill="1" applyBorder="1"/>
    <xf numFmtId="164" fontId="55" fillId="8" borderId="87" xfId="2" applyNumberFormat="1" applyFont="1" applyFill="1" applyBorder="1"/>
    <xf numFmtId="164" fontId="55" fillId="8" borderId="87" xfId="0" applyNumberFormat="1" applyFont="1" applyFill="1" applyBorder="1"/>
    <xf numFmtId="164" fontId="37" fillId="4" borderId="96" xfId="2" applyNumberFormat="1" applyFont="1" applyFill="1" applyBorder="1" applyAlignment="1">
      <alignment horizontal="right"/>
    </xf>
    <xf numFmtId="164" fontId="37" fillId="4" borderId="84" xfId="2" applyNumberFormat="1" applyFont="1" applyFill="1" applyBorder="1" applyAlignment="1">
      <alignment horizontal="right"/>
    </xf>
    <xf numFmtId="164" fontId="37" fillId="4" borderId="87" xfId="2" applyNumberFormat="1" applyFont="1" applyFill="1" applyBorder="1" applyAlignment="1">
      <alignment horizontal="right"/>
    </xf>
    <xf numFmtId="164" fontId="37" fillId="4" borderId="85" xfId="2" applyNumberFormat="1" applyFont="1" applyFill="1" applyBorder="1" applyAlignment="1">
      <alignment horizontal="right"/>
    </xf>
    <xf numFmtId="164" fontId="37" fillId="4" borderId="90" xfId="2" applyNumberFormat="1" applyFont="1" applyFill="1" applyBorder="1" applyAlignment="1">
      <alignment horizontal="right"/>
    </xf>
    <xf numFmtId="164" fontId="37" fillId="4" borderId="110" xfId="2" applyNumberFormat="1" applyFont="1" applyFill="1" applyBorder="1" applyAlignment="1">
      <alignment horizontal="right"/>
    </xf>
    <xf numFmtId="164" fontId="56" fillId="13" borderId="87" xfId="2" applyNumberFormat="1" applyFont="1" applyFill="1" applyBorder="1"/>
    <xf numFmtId="164" fontId="56" fillId="13" borderId="85" xfId="2" applyNumberFormat="1" applyFont="1" applyFill="1" applyBorder="1"/>
    <xf numFmtId="164" fontId="37" fillId="15" borderId="100" xfId="2" applyNumberFormat="1" applyFont="1" applyFill="1" applyBorder="1" applyAlignment="1">
      <alignment horizontal="right"/>
    </xf>
    <xf numFmtId="164" fontId="37" fillId="15" borderId="83" xfId="2" applyNumberFormat="1" applyFont="1" applyFill="1" applyBorder="1" applyAlignment="1">
      <alignment horizontal="right"/>
    </xf>
    <xf numFmtId="164" fontId="55" fillId="0" borderId="0" xfId="0" applyNumberFormat="1" applyFont="1"/>
    <xf numFmtId="164" fontId="57" fillId="0" borderId="0" xfId="2" applyNumberFormat="1" applyFont="1"/>
    <xf numFmtId="164" fontId="58" fillId="0" borderId="0" xfId="0" applyNumberFormat="1" applyFont="1"/>
    <xf numFmtId="164" fontId="55" fillId="17" borderId="48" xfId="0" applyNumberFormat="1" applyFont="1" applyFill="1" applyBorder="1"/>
    <xf numFmtId="0" fontId="58" fillId="0" borderId="0" xfId="0" applyFont="1"/>
    <xf numFmtId="164" fontId="55" fillId="18" borderId="49" xfId="0" applyNumberFormat="1" applyFont="1" applyFill="1" applyBorder="1"/>
    <xf numFmtId="0" fontId="37" fillId="6" borderId="46" xfId="0" applyFont="1" applyFill="1" applyBorder="1"/>
    <xf numFmtId="0" fontId="58" fillId="6" borderId="47" xfId="0" applyFont="1" applyFill="1" applyBorder="1"/>
    <xf numFmtId="164" fontId="55" fillId="17" borderId="49" xfId="0" applyNumberFormat="1" applyFont="1" applyFill="1" applyBorder="1"/>
    <xf numFmtId="0" fontId="59" fillId="6" borderId="0" xfId="0" applyFont="1" applyFill="1" applyBorder="1"/>
    <xf numFmtId="0" fontId="55" fillId="18" borderId="49" xfId="0" applyFont="1" applyFill="1" applyBorder="1"/>
    <xf numFmtId="0" fontId="55" fillId="6" borderId="24" xfId="0" applyFont="1" applyFill="1" applyBorder="1"/>
    <xf numFmtId="0" fontId="58" fillId="6" borderId="0" xfId="0" applyFont="1" applyFill="1" applyBorder="1"/>
    <xf numFmtId="164" fontId="55" fillId="20" borderId="49" xfId="0" applyNumberFormat="1" applyFont="1" applyFill="1" applyBorder="1"/>
    <xf numFmtId="164" fontId="55" fillId="20" borderId="51" xfId="0" applyNumberFormat="1" applyFont="1" applyFill="1" applyBorder="1"/>
    <xf numFmtId="0" fontId="55" fillId="6" borderId="0" xfId="0" applyFont="1" applyFill="1" applyBorder="1"/>
    <xf numFmtId="164" fontId="37" fillId="18" borderId="122" xfId="0" applyNumberFormat="1" applyFont="1" applyFill="1" applyBorder="1"/>
    <xf numFmtId="0" fontId="55" fillId="6" borderId="50" xfId="0" applyFont="1" applyFill="1" applyBorder="1"/>
    <xf numFmtId="0" fontId="55" fillId="6" borderId="36" xfId="0" applyFont="1" applyFill="1" applyBorder="1"/>
    <xf numFmtId="0" fontId="22" fillId="0" borderId="0" xfId="0" applyFont="1" applyAlignment="1">
      <alignment horizontal="left"/>
    </xf>
    <xf numFmtId="0" fontId="62" fillId="0" borderId="0" xfId="0" applyFont="1"/>
    <xf numFmtId="0" fontId="62" fillId="0" borderId="0" xfId="0" applyFont="1" applyBorder="1" applyAlignment="1">
      <alignment horizontal="center"/>
    </xf>
    <xf numFmtId="0" fontId="25" fillId="6" borderId="106" xfId="0" applyFont="1" applyFill="1" applyBorder="1" applyAlignment="1">
      <alignment horizontal="center"/>
    </xf>
    <xf numFmtId="0" fontId="25" fillId="6" borderId="103" xfId="0" applyFont="1" applyFill="1" applyBorder="1" applyAlignment="1">
      <alignment horizontal="right"/>
    </xf>
    <xf numFmtId="0" fontId="37" fillId="16" borderId="0" xfId="0" applyFont="1" applyFill="1" applyBorder="1" applyAlignment="1">
      <alignment horizontal="center"/>
    </xf>
    <xf numFmtId="164" fontId="55" fillId="16" borderId="24" xfId="2" applyNumberFormat="1" applyFont="1" applyFill="1" applyBorder="1"/>
    <xf numFmtId="14" fontId="55" fillId="16" borderId="0" xfId="0" applyNumberFormat="1" applyFont="1" applyFill="1" applyAlignment="1">
      <alignment horizontal="right"/>
    </xf>
    <xf numFmtId="0" fontId="55" fillId="16" borderId="24" xfId="0" applyFont="1" applyFill="1" applyBorder="1" applyAlignment="1">
      <alignment horizontal="center"/>
    </xf>
    <xf numFmtId="164" fontId="35" fillId="16" borderId="104" xfId="2" applyNumberFormat="1" applyFont="1" applyFill="1" applyBorder="1" applyAlignment="1">
      <alignment horizontal="right"/>
    </xf>
    <xf numFmtId="0" fontId="35" fillId="16" borderId="77" xfId="0" applyFont="1" applyFill="1" applyBorder="1" applyAlignment="1">
      <alignment horizontal="center"/>
    </xf>
    <xf numFmtId="0" fontId="35" fillId="16" borderId="0" xfId="0" applyFont="1" applyFill="1" applyBorder="1" applyAlignment="1">
      <alignment horizontal="center"/>
    </xf>
    <xf numFmtId="0" fontId="25" fillId="16" borderId="20" xfId="0" applyFont="1" applyFill="1" applyBorder="1" applyAlignment="1">
      <alignment horizontal="right"/>
    </xf>
    <xf numFmtId="0" fontId="37" fillId="16" borderId="20" xfId="0" applyFont="1" applyFill="1" applyBorder="1" applyAlignment="1">
      <alignment horizontal="right"/>
    </xf>
    <xf numFmtId="164" fontId="55" fillId="16" borderId="25" xfId="2" applyNumberFormat="1" applyFont="1" applyFill="1" applyBorder="1"/>
    <xf numFmtId="0" fontId="55" fillId="16" borderId="20" xfId="0" applyFont="1" applyFill="1" applyBorder="1" applyAlignment="1">
      <alignment horizontal="right"/>
    </xf>
    <xf numFmtId="0" fontId="55" fillId="16" borderId="25" xfId="0" applyFont="1" applyFill="1" applyBorder="1" applyAlignment="1">
      <alignment horizontal="center"/>
    </xf>
    <xf numFmtId="164" fontId="36" fillId="16" borderId="103" xfId="2" applyNumberFormat="1" applyFont="1" applyFill="1" applyBorder="1" applyAlignment="1">
      <alignment horizontal="right"/>
    </xf>
    <xf numFmtId="0" fontId="36" fillId="16" borderId="106" xfId="0" applyFont="1" applyFill="1" applyBorder="1" applyAlignment="1">
      <alignment horizontal="center"/>
    </xf>
    <xf numFmtId="0" fontId="36" fillId="16" borderId="20" xfId="0" applyFont="1" applyFill="1" applyBorder="1" applyAlignment="1">
      <alignment horizontal="center"/>
    </xf>
    <xf numFmtId="0" fontId="31" fillId="6" borderId="20" xfId="0" applyFont="1" applyFill="1" applyBorder="1" applyAlignment="1">
      <alignment horizontal="center"/>
    </xf>
    <xf numFmtId="0" fontId="31" fillId="6" borderId="128" xfId="0" applyFont="1" applyFill="1" applyBorder="1" applyAlignment="1">
      <alignment horizontal="center"/>
    </xf>
    <xf numFmtId="0" fontId="31" fillId="6" borderId="49" xfId="0" applyFont="1" applyFill="1" applyBorder="1"/>
    <xf numFmtId="164" fontId="18" fillId="6" borderId="25" xfId="2" applyNumberFormat="1" applyFont="1" applyFill="1" applyBorder="1"/>
    <xf numFmtId="164" fontId="32" fillId="6" borderId="0" xfId="2" applyNumberFormat="1" applyFont="1" applyFill="1" applyBorder="1"/>
    <xf numFmtId="0" fontId="31" fillId="16" borderId="24" xfId="0" applyFont="1" applyFill="1" applyBorder="1"/>
    <xf numFmtId="0" fontId="18" fillId="16" borderId="24" xfId="0" applyFont="1" applyFill="1" applyBorder="1"/>
    <xf numFmtId="164" fontId="18" fillId="16" borderId="24" xfId="2" applyNumberFormat="1" applyFont="1" applyFill="1" applyBorder="1"/>
    <xf numFmtId="0" fontId="18" fillId="16" borderId="25" xfId="0" applyFont="1" applyFill="1" applyBorder="1"/>
    <xf numFmtId="164" fontId="18" fillId="16" borderId="20" xfId="2" applyNumberFormat="1" applyFont="1" applyFill="1" applyBorder="1"/>
    <xf numFmtId="164" fontId="18" fillId="16" borderId="25" xfId="2" applyNumberFormat="1" applyFont="1" applyFill="1" applyBorder="1"/>
    <xf numFmtId="10" fontId="63" fillId="16" borderId="24" xfId="41" applyNumberFormat="1" applyFont="1" applyFill="1" applyBorder="1"/>
    <xf numFmtId="164" fontId="63" fillId="16" borderId="24" xfId="2" applyNumberFormat="1" applyFont="1" applyFill="1" applyBorder="1"/>
    <xf numFmtId="164" fontId="63" fillId="16" borderId="25" xfId="2" applyNumberFormat="1" applyFont="1" applyFill="1" applyBorder="1"/>
    <xf numFmtId="10" fontId="63" fillId="6" borderId="24" xfId="41" applyNumberFormat="1" applyFont="1" applyFill="1" applyBorder="1"/>
    <xf numFmtId="164" fontId="63" fillId="6" borderId="24" xfId="2" applyNumberFormat="1" applyFont="1" applyFill="1" applyBorder="1"/>
    <xf numFmtId="164" fontId="63" fillId="6" borderId="25" xfId="2" applyNumberFormat="1" applyFont="1" applyFill="1" applyBorder="1"/>
    <xf numFmtId="164" fontId="18" fillId="16" borderId="0" xfId="0" applyNumberFormat="1" applyFont="1" applyFill="1" applyBorder="1"/>
    <xf numFmtId="0" fontId="31" fillId="9" borderId="20" xfId="0" applyFont="1" applyFill="1" applyBorder="1"/>
    <xf numFmtId="0" fontId="46" fillId="6" borderId="24" xfId="0" applyFont="1" applyFill="1" applyBorder="1" applyAlignment="1">
      <alignment horizontal="center"/>
    </xf>
    <xf numFmtId="0" fontId="31" fillId="6" borderId="20" xfId="0" applyFont="1" applyFill="1" applyBorder="1"/>
    <xf numFmtId="0" fontId="18" fillId="6" borderId="25" xfId="0" applyFont="1" applyFill="1" applyBorder="1"/>
    <xf numFmtId="0" fontId="46" fillId="6" borderId="0" xfId="0" applyFont="1" applyFill="1" applyBorder="1" applyAlignment="1"/>
    <xf numFmtId="0" fontId="31" fillId="21" borderId="46" xfId="0" applyFont="1" applyFill="1" applyBorder="1"/>
    <xf numFmtId="0" fontId="18" fillId="21" borderId="0" xfId="0" applyFont="1" applyFill="1" applyBorder="1"/>
    <xf numFmtId="0" fontId="31" fillId="21" borderId="0" xfId="0" applyFont="1" applyFill="1" applyBorder="1"/>
    <xf numFmtId="164" fontId="18" fillId="21" borderId="0" xfId="2" applyNumberFormat="1" applyFont="1" applyFill="1" applyBorder="1"/>
    <xf numFmtId="0" fontId="18" fillId="21" borderId="24" xfId="0" applyFont="1" applyFill="1" applyBorder="1"/>
    <xf numFmtId="164" fontId="18" fillId="21" borderId="49" xfId="2" applyNumberFormat="1" applyFont="1" applyFill="1" applyBorder="1"/>
    <xf numFmtId="0" fontId="18" fillId="21" borderId="20" xfId="0" applyFont="1" applyFill="1" applyBorder="1"/>
    <xf numFmtId="164" fontId="18" fillId="21" borderId="20" xfId="2" applyNumberFormat="1" applyFont="1" applyFill="1" applyBorder="1"/>
    <xf numFmtId="0" fontId="31" fillId="21" borderId="24" xfId="0" applyFont="1" applyFill="1" applyBorder="1"/>
    <xf numFmtId="164" fontId="18" fillId="21" borderId="128" xfId="2" applyNumberFormat="1" applyFont="1" applyFill="1" applyBorder="1"/>
    <xf numFmtId="0" fontId="18" fillId="21" borderId="50" xfId="0" applyFont="1" applyFill="1" applyBorder="1"/>
    <xf numFmtId="0" fontId="18" fillId="21" borderId="36" xfId="0" applyFont="1" applyFill="1" applyBorder="1"/>
    <xf numFmtId="0" fontId="31" fillId="21" borderId="36" xfId="0" applyFont="1" applyFill="1" applyBorder="1"/>
    <xf numFmtId="164" fontId="31" fillId="21" borderId="36" xfId="2" applyNumberFormat="1" applyFont="1" applyFill="1" applyBorder="1"/>
    <xf numFmtId="0" fontId="31" fillId="21" borderId="50" xfId="0" applyFont="1" applyFill="1" applyBorder="1"/>
    <xf numFmtId="164" fontId="31" fillId="21" borderId="51" xfId="2" applyNumberFormat="1" applyFont="1" applyFill="1" applyBorder="1"/>
    <xf numFmtId="164" fontId="31" fillId="6" borderId="24" xfId="2" applyNumberFormat="1" applyFont="1" applyFill="1" applyBorder="1"/>
    <xf numFmtId="164" fontId="31" fillId="6" borderId="25" xfId="2" applyNumberFormat="1" applyFont="1" applyFill="1" applyBorder="1"/>
    <xf numFmtId="164" fontId="31" fillId="6" borderId="24" xfId="0" applyNumberFormat="1" applyFont="1" applyFill="1" applyBorder="1"/>
    <xf numFmtId="0" fontId="31" fillId="6" borderId="25" xfId="0" applyFont="1" applyFill="1" applyBorder="1" applyAlignment="1">
      <alignment horizontal="left"/>
    </xf>
    <xf numFmtId="0" fontId="35" fillId="16" borderId="25" xfId="0" applyFont="1" applyFill="1" applyBorder="1" applyAlignment="1">
      <alignment horizontal="right"/>
    </xf>
    <xf numFmtId="164" fontId="64" fillId="16" borderId="128" xfId="2" applyNumberFormat="1" applyFont="1" applyFill="1" applyBorder="1" applyAlignment="1">
      <alignment horizontal="center"/>
    </xf>
    <xf numFmtId="164" fontId="33" fillId="8" borderId="87" xfId="0" applyNumberFormat="1" applyFont="1" applyFill="1" applyBorder="1"/>
    <xf numFmtId="0" fontId="59" fillId="6" borderId="25" xfId="0" applyFont="1" applyFill="1" applyBorder="1" applyAlignment="1">
      <alignment horizontal="right" wrapText="1"/>
    </xf>
    <xf numFmtId="0" fontId="35" fillId="6" borderId="25" xfId="0" applyFont="1" applyFill="1" applyBorder="1" applyAlignment="1">
      <alignment horizontal="right"/>
    </xf>
    <xf numFmtId="164" fontId="33" fillId="0" borderId="36" xfId="0" applyNumberFormat="1" applyFont="1" applyBorder="1"/>
    <xf numFmtId="49" fontId="27" fillId="4" borderId="24" xfId="0" applyNumberFormat="1" applyFont="1" applyFill="1" applyBorder="1"/>
    <xf numFmtId="49" fontId="26" fillId="4" borderId="35" xfId="0" applyNumberFormat="1" applyFont="1" applyFill="1" applyBorder="1"/>
    <xf numFmtId="0" fontId="26" fillId="4" borderId="35" xfId="0" applyNumberFormat="1" applyFont="1" applyFill="1" applyBorder="1"/>
    <xf numFmtId="164" fontId="25" fillId="4" borderId="24" xfId="2" applyNumberFormat="1" applyFont="1" applyFill="1" applyBorder="1" applyAlignment="1">
      <alignment horizontal="right"/>
    </xf>
    <xf numFmtId="164" fontId="18" fillId="0" borderId="24" xfId="2" applyNumberFormat="1" applyFont="1" applyBorder="1"/>
    <xf numFmtId="164" fontId="26" fillId="0" borderId="142" xfId="2" applyNumberFormat="1" applyFont="1" applyBorder="1"/>
    <xf numFmtId="164" fontId="26" fillId="0" borderId="144" xfId="0" applyNumberFormat="1" applyFont="1" applyBorder="1"/>
    <xf numFmtId="164" fontId="55" fillId="0" borderId="144" xfId="0" applyNumberFormat="1" applyFont="1" applyBorder="1"/>
    <xf numFmtId="164" fontId="37" fillId="4" borderId="24" xfId="2" applyNumberFormat="1" applyFont="1" applyFill="1" applyBorder="1" applyAlignment="1">
      <alignment horizontal="right"/>
    </xf>
    <xf numFmtId="164" fontId="37" fillId="4" borderId="0" xfId="2" applyNumberFormat="1" applyFont="1" applyFill="1" applyBorder="1" applyAlignment="1">
      <alignment horizontal="right"/>
    </xf>
    <xf numFmtId="164" fontId="30" fillId="13" borderId="145" xfId="2" applyNumberFormat="1" applyFont="1" applyFill="1" applyBorder="1"/>
    <xf numFmtId="164" fontId="33" fillId="0" borderId="24" xfId="0" applyNumberFormat="1" applyFont="1" applyBorder="1"/>
    <xf numFmtId="164" fontId="33" fillId="0" borderId="142" xfId="0" applyNumberFormat="1" applyFont="1" applyBorder="1"/>
    <xf numFmtId="164" fontId="25" fillId="4" borderId="47" xfId="2" applyNumberFormat="1" applyFont="1" applyFill="1" applyBorder="1" applyAlignment="1">
      <alignment horizontal="right"/>
    </xf>
    <xf numFmtId="164" fontId="25" fillId="4" borderId="46" xfId="2" applyNumberFormat="1" applyFont="1" applyFill="1" applyBorder="1" applyAlignment="1">
      <alignment horizontal="right"/>
    </xf>
    <xf numFmtId="164" fontId="25" fillId="4" borderId="48" xfId="2" applyNumberFormat="1" applyFont="1" applyFill="1" applyBorder="1" applyAlignment="1">
      <alignment horizontal="right"/>
    </xf>
    <xf numFmtId="164" fontId="26" fillId="0" borderId="101" xfId="2" applyNumberFormat="1" applyFont="1" applyBorder="1"/>
    <xf numFmtId="10" fontId="26" fillId="0" borderId="142" xfId="41" applyNumberFormat="1" applyFont="1" applyBorder="1"/>
    <xf numFmtId="2" fontId="26" fillId="0" borderId="142" xfId="0" applyNumberFormat="1" applyFont="1" applyBorder="1" applyAlignment="1">
      <alignment horizontal="center"/>
    </xf>
    <xf numFmtId="164" fontId="26" fillId="0" borderId="146" xfId="2" applyNumberFormat="1" applyFont="1" applyBorder="1"/>
    <xf numFmtId="164" fontId="26" fillId="0" borderId="147" xfId="2" applyNumberFormat="1" applyFont="1" applyBorder="1"/>
    <xf numFmtId="164" fontId="26" fillId="0" borderId="145" xfId="0" applyNumberFormat="1" applyFont="1" applyBorder="1"/>
    <xf numFmtId="164" fontId="55" fillId="0" borderId="142" xfId="2" applyNumberFormat="1" applyFont="1" applyBorder="1"/>
    <xf numFmtId="164" fontId="55" fillId="0" borderId="148" xfId="0" applyNumberFormat="1" applyFont="1" applyBorder="1"/>
    <xf numFmtId="164" fontId="30" fillId="0" borderId="147" xfId="0" applyNumberFormat="1" applyFont="1" applyBorder="1"/>
    <xf numFmtId="164" fontId="30" fillId="0" borderId="144" xfId="0" applyNumberFormat="1" applyFont="1" applyBorder="1"/>
    <xf numFmtId="164" fontId="26" fillId="0" borderId="144" xfId="2" applyNumberFormat="1" applyFont="1" applyBorder="1"/>
    <xf numFmtId="164" fontId="26" fillId="0" borderId="148" xfId="2" applyNumberFormat="1" applyFont="1" applyBorder="1"/>
    <xf numFmtId="164" fontId="26" fillId="0" borderId="95" xfId="2" applyNumberFormat="1" applyFont="1" applyBorder="1"/>
    <xf numFmtId="164" fontId="26" fillId="0" borderId="101" xfId="2" applyNumberFormat="1" applyFont="1" applyBorder="1" applyAlignment="1">
      <alignment horizontal="right"/>
    </xf>
    <xf numFmtId="164" fontId="55" fillId="4" borderId="142" xfId="0" applyNumberFormat="1" applyFont="1" applyFill="1" applyBorder="1"/>
    <xf numFmtId="164" fontId="26" fillId="11" borderId="0" xfId="2" applyNumberFormat="1" applyFont="1" applyFill="1" applyBorder="1" applyAlignment="1">
      <alignment horizontal="right"/>
    </xf>
    <xf numFmtId="164" fontId="33" fillId="11" borderId="0" xfId="0" applyNumberFormat="1" applyFont="1" applyFill="1"/>
    <xf numFmtId="164" fontId="65" fillId="6" borderId="49" xfId="2" applyNumberFormat="1" applyFont="1" applyFill="1" applyBorder="1"/>
    <xf numFmtId="0" fontId="46" fillId="0" borderId="0" xfId="0" applyFont="1"/>
    <xf numFmtId="164" fontId="46" fillId="11" borderId="50" xfId="0" applyNumberFormat="1" applyFont="1" applyFill="1" applyBorder="1"/>
    <xf numFmtId="164" fontId="22" fillId="16" borderId="0" xfId="2" applyNumberFormat="1" applyFont="1" applyFill="1"/>
    <xf numFmtId="164" fontId="62" fillId="3" borderId="98" xfId="2" applyNumberFormat="1" applyFont="1" applyFill="1" applyBorder="1"/>
    <xf numFmtId="164" fontId="25" fillId="15" borderId="154" xfId="2" applyNumberFormat="1" applyFont="1" applyFill="1" applyBorder="1" applyAlignment="1">
      <alignment horizontal="right"/>
    </xf>
    <xf numFmtId="164" fontId="25" fillId="4" borderId="155" xfId="2" applyNumberFormat="1" applyFont="1" applyFill="1" applyBorder="1" applyAlignment="1">
      <alignment horizontal="right"/>
    </xf>
    <xf numFmtId="164" fontId="25" fillId="4" borderId="77" xfId="2" applyNumberFormat="1" applyFont="1" applyFill="1" applyBorder="1" applyAlignment="1">
      <alignment horizontal="right"/>
    </xf>
    <xf numFmtId="164" fontId="49" fillId="13" borderId="120" xfId="2" applyNumberFormat="1" applyFont="1" applyFill="1" applyBorder="1"/>
    <xf numFmtId="164" fontId="25" fillId="15" borderId="159" xfId="2" applyNumberFormat="1" applyFont="1" applyFill="1" applyBorder="1" applyAlignment="1">
      <alignment horizontal="right"/>
    </xf>
    <xf numFmtId="0" fontId="35" fillId="18" borderId="24" xfId="0" applyFont="1" applyFill="1" applyBorder="1" applyAlignment="1">
      <alignment horizontal="right"/>
    </xf>
    <xf numFmtId="0" fontId="35" fillId="18" borderId="24" xfId="0" applyFont="1" applyFill="1" applyBorder="1" applyAlignment="1">
      <alignment horizontal="center"/>
    </xf>
    <xf numFmtId="0" fontId="35" fillId="18" borderId="0" xfId="0" applyFont="1" applyFill="1" applyBorder="1" applyAlignment="1">
      <alignment horizontal="center"/>
    </xf>
    <xf numFmtId="0" fontId="23" fillId="18" borderId="0" xfId="0" applyFont="1" applyFill="1" applyBorder="1" applyAlignment="1">
      <alignment horizontal="right"/>
    </xf>
    <xf numFmtId="0" fontId="23" fillId="18" borderId="24" xfId="0" applyFont="1" applyFill="1" applyBorder="1" applyAlignment="1">
      <alignment horizontal="right"/>
    </xf>
    <xf numFmtId="0" fontId="35" fillId="18" borderId="25" xfId="0" applyFont="1" applyFill="1" applyBorder="1" applyAlignment="1">
      <alignment horizontal="right"/>
    </xf>
    <xf numFmtId="0" fontId="35" fillId="18" borderId="25" xfId="0" applyFont="1" applyFill="1" applyBorder="1" applyAlignment="1">
      <alignment horizontal="center"/>
    </xf>
    <xf numFmtId="164" fontId="23" fillId="18" borderId="20" xfId="2" applyNumberFormat="1" applyFont="1" applyFill="1" applyBorder="1" applyAlignment="1">
      <alignment horizontal="center"/>
    </xf>
    <xf numFmtId="164" fontId="61" fillId="18" borderId="25" xfId="2" applyNumberFormat="1" applyFont="1" applyFill="1" applyBorder="1" applyAlignment="1">
      <alignment horizontal="center"/>
    </xf>
    <xf numFmtId="164" fontId="61" fillId="18" borderId="128" xfId="2" applyNumberFormat="1" applyFont="1" applyFill="1" applyBorder="1" applyAlignment="1">
      <alignment horizontal="center"/>
    </xf>
    <xf numFmtId="164" fontId="23" fillId="18" borderId="20" xfId="2" applyNumberFormat="1" applyFont="1" applyFill="1" applyBorder="1" applyAlignment="1">
      <alignment horizontal="right"/>
    </xf>
    <xf numFmtId="0" fontId="23" fillId="18" borderId="25" xfId="0" applyFont="1" applyFill="1" applyBorder="1" applyAlignment="1">
      <alignment horizontal="right"/>
    </xf>
    <xf numFmtId="10" fontId="26" fillId="11" borderId="87" xfId="41" applyNumberFormat="1" applyFont="1" applyFill="1" applyBorder="1"/>
    <xf numFmtId="0" fontId="26" fillId="0" borderId="0" xfId="0" applyFont="1" applyBorder="1"/>
    <xf numFmtId="164" fontId="66" fillId="0" borderId="96" xfId="0" applyNumberFormat="1" applyFont="1" applyBorder="1"/>
    <xf numFmtId="43" fontId="33" fillId="0" borderId="96" xfId="0" applyNumberFormat="1" applyFont="1" applyBorder="1"/>
    <xf numFmtId="43" fontId="55" fillId="0" borderId="125" xfId="2" applyNumberFormat="1" applyFont="1" applyBorder="1"/>
    <xf numFmtId="49" fontId="25" fillId="9" borderId="21" xfId="0" applyNumberFormat="1" applyFont="1" applyFill="1" applyBorder="1"/>
    <xf numFmtId="49" fontId="25" fillId="13" borderId="24" xfId="0" applyNumberFormat="1" applyFont="1" applyFill="1" applyBorder="1"/>
    <xf numFmtId="2" fontId="26" fillId="4" borderId="96" xfId="0" applyNumberFormat="1" applyFont="1" applyFill="1" applyBorder="1" applyAlignment="1">
      <alignment horizontal="center"/>
    </xf>
    <xf numFmtId="49" fontId="25" fillId="13" borderId="136" xfId="0" applyNumberFormat="1" applyFont="1" applyFill="1" applyBorder="1"/>
    <xf numFmtId="49" fontId="25" fillId="13" borderId="138" xfId="0" applyNumberFormat="1" applyFont="1" applyFill="1" applyBorder="1"/>
    <xf numFmtId="49" fontId="26" fillId="0" borderId="101" xfId="0" applyNumberFormat="1" applyFont="1" applyBorder="1" applyAlignment="1">
      <alignment horizontal="left"/>
    </xf>
    <xf numFmtId="0" fontId="26" fillId="0" borderId="101" xfId="0" applyFont="1" applyBorder="1"/>
    <xf numFmtId="0" fontId="25" fillId="9" borderId="21" xfId="0" applyFont="1" applyFill="1" applyBorder="1"/>
    <xf numFmtId="0" fontId="26" fillId="13" borderId="136" xfId="0" applyNumberFormat="1" applyFont="1" applyFill="1" applyBorder="1"/>
    <xf numFmtId="0" fontId="26" fillId="9" borderId="21" xfId="0" applyNumberFormat="1" applyFont="1" applyFill="1" applyBorder="1"/>
    <xf numFmtId="0" fontId="26" fillId="13" borderId="138" xfId="0" applyNumberFormat="1" applyFont="1" applyFill="1" applyBorder="1"/>
    <xf numFmtId="0" fontId="26" fillId="4" borderId="95" xfId="0" applyFont="1" applyFill="1" applyBorder="1"/>
    <xf numFmtId="49" fontId="26" fillId="4" borderId="88" xfId="0" applyNumberFormat="1" applyFont="1" applyFill="1" applyBorder="1"/>
    <xf numFmtId="49" fontId="26" fillId="0" borderId="150" xfId="0" applyNumberFormat="1" applyFont="1" applyBorder="1" applyAlignment="1">
      <alignment horizontal="left"/>
    </xf>
    <xf numFmtId="164" fontId="25" fillId="9" borderId="21" xfId="2" applyNumberFormat="1" applyFont="1" applyFill="1" applyBorder="1"/>
    <xf numFmtId="164" fontId="25" fillId="9" borderId="21" xfId="2" applyNumberFormat="1" applyFont="1" applyFill="1" applyBorder="1" applyAlignment="1">
      <alignment horizontal="right"/>
    </xf>
    <xf numFmtId="164" fontId="50" fillId="13" borderId="127" xfId="2" applyNumberFormat="1" applyFont="1" applyFill="1" applyBorder="1"/>
    <xf numFmtId="164" fontId="50" fillId="9" borderId="107" xfId="2" applyNumberFormat="1" applyFont="1" applyFill="1" applyBorder="1"/>
    <xf numFmtId="164" fontId="50" fillId="13" borderId="139" xfId="2" applyNumberFormat="1" applyFont="1" applyFill="1" applyBorder="1"/>
    <xf numFmtId="164" fontId="26" fillId="4" borderId="95" xfId="2" applyNumberFormat="1" applyFont="1" applyFill="1" applyBorder="1"/>
    <xf numFmtId="164" fontId="50" fillId="13" borderId="129" xfId="2" applyNumberFormat="1" applyFont="1" applyFill="1" applyBorder="1"/>
    <xf numFmtId="164" fontId="50" fillId="9" borderId="76" xfId="2" applyNumberFormat="1" applyFont="1" applyFill="1" applyBorder="1"/>
    <xf numFmtId="164" fontId="50" fillId="13" borderId="140" xfId="2" applyNumberFormat="1" applyFont="1" applyFill="1" applyBorder="1"/>
    <xf numFmtId="164" fontId="49" fillId="0" borderId="87" xfId="2" applyNumberFormat="1" applyFont="1" applyBorder="1"/>
    <xf numFmtId="164" fontId="18" fillId="0" borderId="87" xfId="2" applyNumberFormat="1" applyFont="1" applyBorder="1"/>
    <xf numFmtId="164" fontId="26" fillId="0" borderId="129" xfId="2" applyNumberFormat="1" applyFont="1" applyBorder="1"/>
    <xf numFmtId="164" fontId="26" fillId="0" borderId="140" xfId="2" applyNumberFormat="1" applyFont="1" applyBorder="1"/>
    <xf numFmtId="164" fontId="25" fillId="9" borderId="80" xfId="2" applyNumberFormat="1" applyFont="1" applyFill="1" applyBorder="1"/>
    <xf numFmtId="164" fontId="25" fillId="9" borderId="80" xfId="2" applyNumberFormat="1" applyFont="1" applyFill="1" applyBorder="1" applyAlignment="1">
      <alignment horizontal="right"/>
    </xf>
    <xf numFmtId="164" fontId="49" fillId="13" borderId="157" xfId="2" applyNumberFormat="1" applyFont="1" applyFill="1" applyBorder="1"/>
    <xf numFmtId="164" fontId="50" fillId="9" borderId="156" xfId="2" applyNumberFormat="1" applyFont="1" applyFill="1" applyBorder="1"/>
    <xf numFmtId="164" fontId="49" fillId="13" borderId="158" xfId="2" applyNumberFormat="1" applyFont="1" applyFill="1" applyBorder="1"/>
    <xf numFmtId="164" fontId="25" fillId="9" borderId="105" xfId="2" applyNumberFormat="1" applyFont="1" applyFill="1" applyBorder="1"/>
    <xf numFmtId="164" fontId="25" fillId="9" borderId="105" xfId="2" applyNumberFormat="1" applyFont="1" applyFill="1" applyBorder="1" applyAlignment="1">
      <alignment horizontal="right"/>
    </xf>
    <xf numFmtId="164" fontId="26" fillId="0" borderId="152" xfId="0" applyNumberFormat="1" applyFont="1" applyBorder="1"/>
    <xf numFmtId="164" fontId="50" fillId="9" borderId="151" xfId="2" applyNumberFormat="1" applyFont="1" applyFill="1" applyBorder="1"/>
    <xf numFmtId="164" fontId="26" fillId="0" borderId="153" xfId="0" applyNumberFormat="1" applyFont="1" applyBorder="1"/>
    <xf numFmtId="164" fontId="25" fillId="9" borderId="122" xfId="2" applyNumberFormat="1" applyFont="1" applyFill="1" applyBorder="1"/>
    <xf numFmtId="164" fontId="25" fillId="9" borderId="122" xfId="2" applyNumberFormat="1" applyFont="1" applyFill="1" applyBorder="1" applyAlignment="1">
      <alignment horizontal="right"/>
    </xf>
    <xf numFmtId="164" fontId="26" fillId="0" borderId="127" xfId="0" applyNumberFormat="1" applyFont="1" applyBorder="1"/>
    <xf numFmtId="164" fontId="26" fillId="0" borderId="139" xfId="0" applyNumberFormat="1" applyFont="1" applyBorder="1"/>
    <xf numFmtId="164" fontId="37" fillId="9" borderId="76" xfId="2" applyNumberFormat="1" applyFont="1" applyFill="1" applyBorder="1"/>
    <xf numFmtId="164" fontId="37" fillId="9" borderId="76" xfId="2" applyNumberFormat="1" applyFont="1" applyFill="1" applyBorder="1" applyAlignment="1">
      <alignment horizontal="right"/>
    </xf>
    <xf numFmtId="164" fontId="55" fillId="0" borderId="127" xfId="0" applyNumberFormat="1" applyFont="1" applyBorder="1"/>
    <xf numFmtId="164" fontId="56" fillId="9" borderId="107" xfId="2" applyNumberFormat="1" applyFont="1" applyFill="1" applyBorder="1"/>
    <xf numFmtId="164" fontId="55" fillId="0" borderId="139" xfId="0" applyNumberFormat="1" applyFont="1" applyBorder="1"/>
    <xf numFmtId="164" fontId="37" fillId="9" borderId="21" xfId="2" applyNumberFormat="1" applyFont="1" applyFill="1" applyBorder="1"/>
    <xf numFmtId="164" fontId="37" fillId="3" borderId="21" xfId="2" applyNumberFormat="1" applyFont="1" applyFill="1" applyBorder="1" applyAlignment="1">
      <alignment horizontal="right"/>
    </xf>
    <xf numFmtId="164" fontId="56" fillId="13" borderId="129" xfId="2" applyNumberFormat="1" applyFont="1" applyFill="1" applyBorder="1"/>
    <xf numFmtId="164" fontId="56" fillId="9" borderId="76" xfId="2" applyNumberFormat="1" applyFont="1" applyFill="1" applyBorder="1"/>
    <xf numFmtId="164" fontId="56" fillId="13" borderId="140" xfId="2" applyNumberFormat="1" applyFont="1" applyFill="1" applyBorder="1"/>
    <xf numFmtId="0" fontId="55" fillId="0" borderId="84" xfId="0" applyFont="1" applyBorder="1"/>
    <xf numFmtId="164" fontId="37" fillId="3" borderId="76" xfId="2" applyNumberFormat="1" applyFont="1" applyFill="1" applyBorder="1" applyAlignment="1">
      <alignment horizontal="right"/>
    </xf>
    <xf numFmtId="164" fontId="56" fillId="13" borderId="127" xfId="2" applyNumberFormat="1" applyFont="1" applyFill="1" applyBorder="1"/>
    <xf numFmtId="164" fontId="56" fillId="13" borderId="139" xfId="2" applyNumberFormat="1" applyFont="1" applyFill="1" applyBorder="1"/>
    <xf numFmtId="164" fontId="55" fillId="11" borderId="142" xfId="0" applyNumberFormat="1" applyFont="1" applyFill="1" applyBorder="1"/>
    <xf numFmtId="164" fontId="25" fillId="9" borderId="76" xfId="2" applyNumberFormat="1" applyFont="1" applyFill="1" applyBorder="1"/>
    <xf numFmtId="164" fontId="25" fillId="3" borderId="105" xfId="2" applyNumberFormat="1" applyFont="1" applyFill="1" applyBorder="1" applyAlignment="1">
      <alignment horizontal="right"/>
    </xf>
    <xf numFmtId="164" fontId="25" fillId="9" borderId="149" xfId="2" applyNumberFormat="1" applyFont="1" applyFill="1" applyBorder="1"/>
    <xf numFmtId="164" fontId="35" fillId="3" borderId="105" xfId="2" applyNumberFormat="1" applyFont="1" applyFill="1" applyBorder="1" applyAlignment="1">
      <alignment horizontal="right"/>
    </xf>
    <xf numFmtId="164" fontId="35" fillId="3" borderId="76" xfId="2" applyNumberFormat="1" applyFont="1" applyFill="1" applyBorder="1" applyAlignment="1">
      <alignment horizontal="right"/>
    </xf>
    <xf numFmtId="164" fontId="25" fillId="4" borderId="127" xfId="2" applyNumberFormat="1" applyFont="1" applyFill="1" applyBorder="1" applyAlignment="1">
      <alignment horizontal="right"/>
    </xf>
    <xf numFmtId="164" fontId="25" fillId="4" borderId="139" xfId="2" applyNumberFormat="1" applyFont="1" applyFill="1" applyBorder="1" applyAlignment="1">
      <alignment horizontal="right"/>
    </xf>
    <xf numFmtId="164" fontId="25" fillId="11" borderId="144" xfId="2" applyNumberFormat="1" applyFont="1" applyFill="1" applyBorder="1" applyAlignment="1">
      <alignment horizontal="right"/>
    </xf>
    <xf numFmtId="164" fontId="25" fillId="11" borderId="84" xfId="2" applyNumberFormat="1" applyFont="1" applyFill="1" applyBorder="1" applyAlignment="1">
      <alignment horizontal="right"/>
    </xf>
    <xf numFmtId="43" fontId="33" fillId="0" borderId="87" xfId="0" applyNumberFormat="1" applyFont="1" applyBorder="1"/>
    <xf numFmtId="164" fontId="25" fillId="4" borderId="129" xfId="2" applyNumberFormat="1" applyFont="1" applyFill="1" applyBorder="1" applyAlignment="1">
      <alignment horizontal="right"/>
    </xf>
    <xf numFmtId="164" fontId="25" fillId="4" borderId="140" xfId="2" applyNumberFormat="1" applyFont="1" applyFill="1" applyBorder="1" applyAlignment="1">
      <alignment horizontal="right"/>
    </xf>
    <xf numFmtId="164" fontId="59" fillId="3" borderId="21" xfId="2" applyNumberFormat="1" applyFont="1" applyFill="1" applyBorder="1" applyAlignment="1">
      <alignment horizontal="right"/>
    </xf>
    <xf numFmtId="164" fontId="56" fillId="9" borderId="21" xfId="2" applyNumberFormat="1" applyFont="1" applyFill="1" applyBorder="1"/>
    <xf numFmtId="164" fontId="25" fillId="3" borderId="76" xfId="2" applyNumberFormat="1" applyFont="1" applyFill="1" applyBorder="1" applyAlignment="1">
      <alignment horizontal="right"/>
    </xf>
    <xf numFmtId="164" fontId="50" fillId="9" borderId="21" xfId="2" applyNumberFormat="1" applyFont="1" applyFill="1" applyBorder="1"/>
    <xf numFmtId="164" fontId="35" fillId="3" borderId="96" xfId="2" applyNumberFormat="1" applyFont="1" applyFill="1" applyBorder="1" applyAlignment="1">
      <alignment horizontal="right"/>
    </xf>
    <xf numFmtId="164" fontId="33" fillId="0" borderId="129" xfId="0" applyNumberFormat="1" applyFont="1" applyBorder="1"/>
    <xf numFmtId="164" fontId="33" fillId="0" borderId="140" xfId="0" applyNumberFormat="1" applyFont="1" applyBorder="1"/>
    <xf numFmtId="164" fontId="25" fillId="9" borderId="107" xfId="2" applyNumberFormat="1" applyFont="1" applyFill="1" applyBorder="1"/>
    <xf numFmtId="164" fontId="35" fillId="3" borderId="107" xfId="2" applyNumberFormat="1" applyFont="1" applyFill="1" applyBorder="1" applyAlignment="1">
      <alignment horizontal="right"/>
    </xf>
    <xf numFmtId="164" fontId="50" fillId="9" borderId="122" xfId="2" applyNumberFormat="1" applyFont="1" applyFill="1" applyBorder="1"/>
    <xf numFmtId="164" fontId="35" fillId="3" borderId="21" xfId="2" applyNumberFormat="1" applyFont="1" applyFill="1" applyBorder="1" applyAlignment="1">
      <alignment horizontal="right"/>
    </xf>
    <xf numFmtId="164" fontId="25" fillId="4" borderId="137" xfId="2" applyNumberFormat="1" applyFont="1" applyFill="1" applyBorder="1" applyAlignment="1">
      <alignment horizontal="right"/>
    </xf>
    <xf numFmtId="164" fontId="25" fillId="4" borderId="141" xfId="2" applyNumberFormat="1" applyFont="1" applyFill="1" applyBorder="1" applyAlignment="1">
      <alignment horizontal="right"/>
    </xf>
    <xf numFmtId="164" fontId="26" fillId="0" borderId="136" xfId="2" applyNumberFormat="1" applyFont="1" applyBorder="1"/>
    <xf numFmtId="10" fontId="35" fillId="3" borderId="76" xfId="41" applyNumberFormat="1" applyFont="1" applyFill="1" applyBorder="1" applyAlignment="1">
      <alignment horizontal="right"/>
    </xf>
    <xf numFmtId="10" fontId="35" fillId="13" borderId="129" xfId="41" applyNumberFormat="1" applyFont="1" applyFill="1" applyBorder="1" applyAlignment="1">
      <alignment horizontal="right"/>
    </xf>
    <xf numFmtId="10" fontId="35" fillId="9" borderId="76" xfId="41" applyNumberFormat="1" applyFont="1" applyFill="1" applyBorder="1" applyAlignment="1">
      <alignment horizontal="right"/>
    </xf>
    <xf numFmtId="10" fontId="35" fillId="13" borderId="140" xfId="41" applyNumberFormat="1" applyFont="1" applyFill="1" applyBorder="1" applyAlignment="1">
      <alignment horizontal="right"/>
    </xf>
    <xf numFmtId="166" fontId="33" fillId="0" borderId="86" xfId="1" applyNumberFormat="1" applyFont="1" applyBorder="1"/>
    <xf numFmtId="166" fontId="33" fillId="0" borderId="95" xfId="1" applyNumberFormat="1" applyFont="1" applyBorder="1"/>
    <xf numFmtId="166" fontId="33" fillId="0" borderId="101" xfId="1" applyNumberFormat="1" applyFont="1" applyBorder="1"/>
    <xf numFmtId="166" fontId="35" fillId="3" borderId="107" xfId="1" applyNumberFormat="1" applyFont="1" applyFill="1" applyBorder="1" applyAlignment="1">
      <alignment horizontal="right"/>
    </xf>
    <xf numFmtId="166" fontId="25" fillId="9" borderId="107" xfId="1" applyNumberFormat="1" applyFont="1" applyFill="1" applyBorder="1"/>
    <xf numFmtId="166" fontId="50" fillId="9" borderId="122" xfId="1" applyNumberFormat="1" applyFont="1" applyFill="1" applyBorder="1"/>
    <xf numFmtId="44" fontId="33" fillId="0" borderId="0" xfId="1" applyNumberFormat="1" applyFont="1"/>
    <xf numFmtId="44" fontId="59" fillId="6" borderId="25" xfId="1" applyNumberFormat="1" applyFont="1" applyFill="1" applyBorder="1" applyAlignment="1">
      <alignment horizontal="right"/>
    </xf>
    <xf numFmtId="43" fontId="55" fillId="0" borderId="124" xfId="2" applyNumberFormat="1" applyFont="1" applyBorder="1"/>
    <xf numFmtId="43" fontId="37" fillId="4" borderId="125" xfId="2" applyNumberFormat="1" applyFont="1" applyFill="1" applyBorder="1" applyAlignment="1">
      <alignment horizontal="right"/>
    </xf>
    <xf numFmtId="43" fontId="56" fillId="13" borderId="125" xfId="2" applyNumberFormat="1" applyFont="1" applyFill="1" applyBorder="1"/>
    <xf numFmtId="43" fontId="55" fillId="0" borderId="148" xfId="2" applyNumberFormat="1" applyFont="1" applyBorder="1"/>
    <xf numFmtId="43" fontId="37" fillId="4" borderId="124" xfId="2" applyNumberFormat="1" applyFont="1" applyFill="1" applyBorder="1" applyAlignment="1">
      <alignment horizontal="right"/>
    </xf>
    <xf numFmtId="43" fontId="37" fillId="4" borderId="126" xfId="2" applyNumberFormat="1" applyFont="1" applyFill="1" applyBorder="1" applyAlignment="1">
      <alignment horizontal="right"/>
    </xf>
    <xf numFmtId="43" fontId="37" fillId="4" borderId="48" xfId="2" applyNumberFormat="1" applyFont="1" applyFill="1" applyBorder="1" applyAlignment="1">
      <alignment horizontal="right"/>
    </xf>
    <xf numFmtId="43" fontId="56" fillId="13" borderId="137" xfId="2" applyNumberFormat="1" applyFont="1" applyFill="1" applyBorder="1"/>
    <xf numFmtId="43" fontId="56" fillId="13" borderId="141" xfId="2" applyNumberFormat="1" applyFont="1" applyFill="1" applyBorder="1"/>
    <xf numFmtId="43" fontId="33" fillId="0" borderId="101" xfId="0" applyNumberFormat="1" applyFont="1" applyBorder="1"/>
    <xf numFmtId="43" fontId="37" fillId="15" borderId="83" xfId="2" applyNumberFormat="1" applyFont="1" applyFill="1" applyBorder="1" applyAlignment="1">
      <alignment horizontal="right"/>
    </xf>
    <xf numFmtId="164" fontId="36" fillId="6" borderId="24" xfId="2" applyNumberFormat="1" applyFont="1" applyFill="1" applyBorder="1"/>
    <xf numFmtId="0" fontId="30" fillId="6" borderId="24" xfId="0" applyFont="1" applyFill="1" applyBorder="1"/>
    <xf numFmtId="0" fontId="36" fillId="6" borderId="24" xfId="0" applyFont="1" applyFill="1" applyBorder="1"/>
    <xf numFmtId="164" fontId="18" fillId="11" borderId="131" xfId="0" applyNumberFormat="1" applyFont="1" applyFill="1" applyBorder="1"/>
    <xf numFmtId="0" fontId="18" fillId="6" borderId="24" xfId="0" quotePrefix="1" applyFont="1" applyFill="1" applyBorder="1"/>
    <xf numFmtId="164" fontId="18" fillId="6" borderId="25" xfId="2" quotePrefix="1" applyNumberFormat="1" applyFont="1" applyFill="1" applyBorder="1"/>
    <xf numFmtId="166" fontId="25" fillId="15" borderId="143" xfId="1" applyNumberFormat="1" applyFont="1" applyFill="1" applyBorder="1" applyAlignment="1">
      <alignment horizontal="right"/>
    </xf>
    <xf numFmtId="166" fontId="33" fillId="0" borderId="0" xfId="1" applyNumberFormat="1" applyFont="1"/>
    <xf numFmtId="166" fontId="33" fillId="0" borderId="36" xfId="1" applyNumberFormat="1" applyFont="1" applyBorder="1"/>
    <xf numFmtId="0" fontId="54" fillId="9" borderId="56" xfId="0" applyFont="1" applyFill="1" applyBorder="1" applyAlignment="1">
      <alignment horizontal="center"/>
    </xf>
    <xf numFmtId="0" fontId="54" fillId="9" borderId="0" xfId="0" applyFont="1" applyFill="1" applyBorder="1" applyAlignment="1">
      <alignment horizontal="center"/>
    </xf>
    <xf numFmtId="0" fontId="54" fillId="9" borderId="49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6" borderId="77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6" fillId="6" borderId="0" xfId="0" applyFont="1" applyFill="1" applyBorder="1" applyAlignment="1">
      <alignment horizontal="center"/>
    </xf>
    <xf numFmtId="0" fontId="46" fillId="6" borderId="49" xfId="0" applyFont="1" applyFill="1" applyBorder="1" applyAlignment="1">
      <alignment horizontal="center"/>
    </xf>
    <xf numFmtId="0" fontId="46" fillId="16" borderId="24" xfId="0" applyFont="1" applyFill="1" applyBorder="1" applyAlignment="1">
      <alignment horizontal="center"/>
    </xf>
    <xf numFmtId="0" fontId="46" fillId="16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5" fillId="6" borderId="77" xfId="0" applyFont="1" applyFill="1" applyBorder="1" applyAlignment="1">
      <alignment horizontal="center"/>
    </xf>
    <xf numFmtId="0" fontId="25" fillId="6" borderId="104" xfId="0" applyFont="1" applyFill="1" applyBorder="1" applyAlignment="1">
      <alignment horizontal="center"/>
    </xf>
    <xf numFmtId="0" fontId="16" fillId="18" borderId="24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0" fontId="60" fillId="18" borderId="24" xfId="0" quotePrefix="1" applyFont="1" applyFill="1" applyBorder="1" applyAlignment="1">
      <alignment horizontal="center"/>
    </xf>
    <xf numFmtId="0" fontId="60" fillId="18" borderId="49" xfId="0" quotePrefix="1" applyFont="1" applyFill="1" applyBorder="1" applyAlignment="1">
      <alignment horizontal="center"/>
    </xf>
    <xf numFmtId="0" fontId="59" fillId="6" borderId="24" xfId="0" quotePrefix="1" applyFont="1" applyFill="1" applyBorder="1" applyAlignment="1">
      <alignment horizontal="center"/>
    </xf>
    <xf numFmtId="0" fontId="59" fillId="6" borderId="0" xfId="0" quotePrefix="1" applyFont="1" applyFill="1" applyBorder="1" applyAlignment="1">
      <alignment horizontal="center"/>
    </xf>
    <xf numFmtId="0" fontId="60" fillId="16" borderId="0" xfId="0" quotePrefix="1" applyFont="1" applyFill="1" applyBorder="1" applyAlignment="1">
      <alignment horizontal="center"/>
    </xf>
    <xf numFmtId="0" fontId="60" fillId="16" borderId="49" xfId="0" quotePrefix="1" applyFont="1" applyFill="1" applyBorder="1" applyAlignment="1">
      <alignment horizontal="center"/>
    </xf>
    <xf numFmtId="0" fontId="25" fillId="16" borderId="77" xfId="0" applyFont="1" applyFill="1" applyBorder="1" applyAlignment="1">
      <alignment horizontal="center"/>
    </xf>
    <xf numFmtId="0" fontId="25" fillId="16" borderId="0" xfId="0" applyFont="1" applyFill="1" applyBorder="1" applyAlignment="1">
      <alignment horizontal="center"/>
    </xf>
    <xf numFmtId="0" fontId="25" fillId="16" borderId="49" xfId="0" applyFont="1" applyFill="1" applyBorder="1" applyAlignment="1">
      <alignment horizontal="center"/>
    </xf>
  </cellXfs>
  <cellStyles count="42">
    <cellStyle name="Comma" xfId="2" builtinId="3"/>
    <cellStyle name="Comma 3" xfId="18"/>
    <cellStyle name="Comma 4" xfId="6"/>
    <cellStyle name="Comma 6" xfId="8"/>
    <cellStyle name="Currency" xfId="1" builtinId="4"/>
    <cellStyle name="Currency 2" xfId="16"/>
    <cellStyle name="Currency 2 2" xfId="25"/>
    <cellStyle name="Currency 3" xfId="19"/>
    <cellStyle name="Normal" xfId="0" builtinId="0"/>
    <cellStyle name="Normal 2" xfId="3"/>
    <cellStyle name="Normal 2 2" xfId="4"/>
    <cellStyle name="Normal 2 2 2" xfId="20"/>
    <cellStyle name="Normal 2 2 2 2" xfId="21"/>
    <cellStyle name="Normal 2 2 2 3" xfId="28"/>
    <cellStyle name="Normal 2 2 2 4" xfId="32"/>
    <cellStyle name="Normal 2 2 2 5" xfId="36"/>
    <cellStyle name="Normal 2 2 3" xfId="27"/>
    <cellStyle name="Normal 2 2 4" xfId="33"/>
    <cellStyle name="Normal 2 2 5" xfId="37"/>
    <cellStyle name="Normal 2 3" xfId="12"/>
    <cellStyle name="Normal 2 4" xfId="13"/>
    <cellStyle name="Normal 2 5" xfId="15"/>
    <cellStyle name="Normal 2 6" xfId="17"/>
    <cellStyle name="Normal 2 7" xfId="26"/>
    <cellStyle name="Normal 2 8" xfId="30"/>
    <cellStyle name="Normal 2 9" xfId="29"/>
    <cellStyle name="Normal 3" xfId="5"/>
    <cellStyle name="Normal 3 2" xfId="22"/>
    <cellStyle name="Normal 4" xfId="11"/>
    <cellStyle name="Normal 4 2" xfId="23"/>
    <cellStyle name="Normal 4 3" xfId="31"/>
    <cellStyle name="Normal 4 4" xfId="35"/>
    <cellStyle name="Normal 4 5" xfId="39"/>
    <cellStyle name="Normal 5" xfId="7"/>
    <cellStyle name="Normal 6" xfId="14"/>
    <cellStyle name="Normal 6 2" xfId="24"/>
    <cellStyle name="Normal 6 3" xfId="34"/>
    <cellStyle name="Normal 6 4" xfId="38"/>
    <cellStyle name="Normal 6 5" xfId="40"/>
    <cellStyle name="Normal 7" xfId="9"/>
    <cellStyle name="Normal 8" xfId="10"/>
    <cellStyle name="Percent" xfId="4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rgb="FFFF0000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* #,##0_);_(* \(#,##0\);_(* &quot;-&quot;??_);_(@_)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* #,##0_);_(* \(#,##0\);_(* &quot;-&quot;??_);_(@_)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47:G52" totalsRowCount="1" headerRowDxfId="40" dataDxfId="39">
  <autoFilter ref="A47:G51"/>
  <tableColumns count="7">
    <tableColumn id="1" name="Summary" dataDxfId="38" totalsRowDxfId="37"/>
    <tableColumn id="2" name="Score" dataDxfId="36" totalsRowDxfId="35"/>
    <tableColumn id="3" name=" " totalsRowLabel="Total" dataDxfId="34" totalsRowDxfId="33"/>
    <tableColumn id="4" name="Year 1" totalsRowFunction="custom" dataDxfId="32" totalsRowDxfId="31" dataCellStyle="Comma">
      <totalsRowFormula>+D51+D50+D49</totalsRowFormula>
    </tableColumn>
    <tableColumn id="5" name="Year 2" totalsRowFunction="custom" dataDxfId="30" totalsRowDxfId="29" dataCellStyle="Comma">
      <totalsRowFormula>+E51+E50+E49</totalsRowFormula>
    </tableColumn>
    <tableColumn id="6" name="Year 3" dataDxfId="28" totalsRowDxfId="27"/>
    <tableColumn id="7" name="Total" dataDxfId="26" totalsRow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6:G68" totalsRowShown="0" headerRowDxfId="24" dataDxfId="23">
  <autoFilter ref="A66:G68"/>
  <tableColumns count="7">
    <tableColumn id="1" name="Summary" dataDxfId="22"/>
    <tableColumn id="2" name="Score" dataDxfId="21"/>
    <tableColumn id="3" name=" " dataDxfId="20"/>
    <tableColumn id="4" name="Year 1" dataDxfId="19" dataCellStyle="Comma"/>
    <tableColumn id="5" name="Year 2" dataDxfId="18"/>
    <tableColumn id="6" name="Year 3" dataDxfId="17"/>
    <tableColumn id="7" name="Total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60:H65" totalsRowCount="1" headerRowDxfId="15" dataDxfId="14">
  <autoFilter ref="B60:H64"/>
  <tableColumns count="7">
    <tableColumn id="1" name="Summary" dataDxfId="13" totalsRowDxfId="12"/>
    <tableColumn id="2" name="Score" dataDxfId="11" totalsRowDxfId="10"/>
    <tableColumn id="3" name=" " dataDxfId="9" totalsRowDxfId="8"/>
    <tableColumn id="4" name="Year 1" totalsRowFunction="custom" dataDxfId="7" totalsRowDxfId="6" dataCellStyle="Comma">
      <totalsRowFormula>SUM(E62:E64)</totalsRowFormula>
    </tableColumn>
    <tableColumn id="5" name="Year 2" totalsRowFunction="custom" dataDxfId="5" totalsRowDxfId="4" dataCellStyle="Comma">
      <totalsRowFormula>SUM(F62:F64)</totalsRowFormula>
    </tableColumn>
    <tableColumn id="6" name="Year 3" totalsRowFunction="custom" dataDxfId="3" totalsRowDxfId="2" dataCellStyle="Comma">
      <calculatedColumnFormula>SUM(G3:G37)</calculatedColumnFormula>
      <totalsRowFormula>SUM(G62:G64)</totalsRowFormula>
    </tableColumn>
    <tableColumn id="7" name="Total" totalsRowFunction="custom" dataDxfId="1" totalsRowDxfId="0" dataCellStyle="Comma">
      <totalsRowFormula>SUM(H62:H64)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N53"/>
  <sheetViews>
    <sheetView zoomScaleNormal="100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E52" sqref="E52"/>
    </sheetView>
  </sheetViews>
  <sheetFormatPr defaultRowHeight="15.95" customHeight="1" x14ac:dyDescent="0.2"/>
  <cols>
    <col min="1" max="1" width="30" style="506" customWidth="1"/>
    <col min="2" max="2" width="18.28515625" style="506" customWidth="1"/>
    <col min="3" max="3" width="11.28515625" style="506" customWidth="1"/>
    <col min="4" max="4" width="12" style="506" bestFit="1" customWidth="1"/>
    <col min="5" max="6" width="11.140625" style="506" bestFit="1" customWidth="1"/>
    <col min="7" max="7" width="12" style="506" bestFit="1" customWidth="1"/>
    <col min="8" max="8" width="13.140625" style="506" customWidth="1"/>
    <col min="9" max="9" width="12.28515625" style="506" hidden="1" customWidth="1"/>
    <col min="10" max="10" width="14.28515625" style="506" hidden="1" customWidth="1"/>
    <col min="11" max="11" width="11.7109375" style="506" hidden="1" customWidth="1"/>
    <col min="12" max="12" width="0" style="506" hidden="1" customWidth="1"/>
    <col min="13" max="13" width="8" style="535" customWidth="1"/>
    <col min="14" max="14" width="41.42578125" style="530" customWidth="1"/>
    <col min="15" max="16384" width="9.140625" style="506"/>
  </cols>
  <sheetData>
    <row r="1" spans="1:14" ht="14.25" customHeight="1" thickBot="1" x14ac:dyDescent="0.25">
      <c r="A1" s="501"/>
      <c r="B1" s="502"/>
      <c r="C1" s="502"/>
      <c r="D1" s="502"/>
      <c r="E1" s="502"/>
      <c r="F1" s="502"/>
      <c r="G1" s="502"/>
      <c r="H1" s="502"/>
      <c r="I1" s="503" t="s">
        <v>75</v>
      </c>
      <c r="J1" s="503"/>
      <c r="K1" s="503"/>
      <c r="L1" s="504"/>
      <c r="M1" s="533"/>
      <c r="N1" s="505"/>
    </row>
    <row r="2" spans="1:14" ht="19.5" customHeight="1" x14ac:dyDescent="0.2">
      <c r="A2" s="507" t="s">
        <v>0</v>
      </c>
      <c r="B2" s="508" t="s">
        <v>4</v>
      </c>
      <c r="C2" s="508" t="s">
        <v>3</v>
      </c>
      <c r="D2" s="508" t="s">
        <v>6</v>
      </c>
      <c r="E2" s="508" t="s">
        <v>7</v>
      </c>
      <c r="F2" s="508" t="s">
        <v>8</v>
      </c>
      <c r="G2" s="509" t="s">
        <v>1</v>
      </c>
      <c r="H2" s="510" t="s">
        <v>74</v>
      </c>
      <c r="I2" s="511" t="s">
        <v>67</v>
      </c>
      <c r="J2" s="512" t="s">
        <v>68</v>
      </c>
      <c r="K2" s="513" t="s">
        <v>69</v>
      </c>
      <c r="L2" s="514" t="s">
        <v>78</v>
      </c>
      <c r="M2" s="514" t="s">
        <v>83</v>
      </c>
      <c r="N2" s="514" t="s">
        <v>86</v>
      </c>
    </row>
    <row r="3" spans="1:14" ht="15.95" hidden="1" customHeight="1" x14ac:dyDescent="0.2">
      <c r="A3" s="515" t="s">
        <v>53</v>
      </c>
      <c r="B3" s="516" t="s">
        <v>27</v>
      </c>
      <c r="C3" s="517" t="s">
        <v>60</v>
      </c>
      <c r="D3" s="518">
        <v>3000</v>
      </c>
      <c r="E3" s="518">
        <v>6000</v>
      </c>
      <c r="F3" s="518">
        <v>3000</v>
      </c>
      <c r="G3" s="519">
        <f>SUM(D3:F3)</f>
        <v>12000</v>
      </c>
      <c r="H3" s="520"/>
      <c r="I3" s="521" t="s">
        <v>76</v>
      </c>
      <c r="J3" s="521" t="s">
        <v>77</v>
      </c>
      <c r="K3" s="521" t="s">
        <v>76</v>
      </c>
      <c r="L3" s="522" t="s">
        <v>76</v>
      </c>
      <c r="M3" s="522" t="s">
        <v>84</v>
      </c>
      <c r="N3" s="523" t="s">
        <v>85</v>
      </c>
    </row>
    <row r="4" spans="1:14" ht="15.95" customHeight="1" x14ac:dyDescent="0.2">
      <c r="A4" s="524" t="s">
        <v>10</v>
      </c>
      <c r="B4" s="517" t="s">
        <v>11</v>
      </c>
      <c r="C4" s="517" t="s">
        <v>60</v>
      </c>
      <c r="D4" s="525">
        <v>15000</v>
      </c>
      <c r="E4" s="525">
        <v>0</v>
      </c>
      <c r="F4" s="525">
        <v>0</v>
      </c>
      <c r="G4" s="519">
        <f t="shared" ref="G4:G44" si="0">SUM(D4:F4)</f>
        <v>15000</v>
      </c>
      <c r="H4" s="520"/>
      <c r="I4" s="521" t="s">
        <v>76</v>
      </c>
      <c r="J4" s="521"/>
      <c r="K4" s="521" t="s">
        <v>79</v>
      </c>
      <c r="L4" s="522" t="s">
        <v>80</v>
      </c>
      <c r="M4" s="534" t="s">
        <v>77</v>
      </c>
      <c r="N4" s="523"/>
    </row>
    <row r="5" spans="1:14" ht="15.95" hidden="1" customHeight="1" x14ac:dyDescent="0.2">
      <c r="A5" s="524" t="s">
        <v>5</v>
      </c>
      <c r="B5" s="517" t="s">
        <v>13</v>
      </c>
      <c r="C5" s="517" t="s">
        <v>60</v>
      </c>
      <c r="D5" s="525">
        <v>67300</v>
      </c>
      <c r="E5" s="525">
        <v>61600</v>
      </c>
      <c r="F5" s="525">
        <v>61600</v>
      </c>
      <c r="G5" s="519">
        <f t="shared" si="0"/>
        <v>190500</v>
      </c>
      <c r="H5" s="520"/>
      <c r="I5" s="521" t="s">
        <v>76</v>
      </c>
      <c r="J5" s="521"/>
      <c r="K5" s="521" t="s">
        <v>76</v>
      </c>
      <c r="L5" s="522" t="s">
        <v>76</v>
      </c>
      <c r="M5" s="522" t="s">
        <v>84</v>
      </c>
      <c r="N5" s="523" t="s">
        <v>87</v>
      </c>
    </row>
    <row r="6" spans="1:14" ht="15.95" customHeight="1" x14ac:dyDescent="0.2">
      <c r="A6" s="524" t="s">
        <v>14</v>
      </c>
      <c r="B6" s="517" t="s">
        <v>15</v>
      </c>
      <c r="C6" s="517" t="s">
        <v>60</v>
      </c>
      <c r="D6" s="525">
        <v>15500</v>
      </c>
      <c r="E6" s="525">
        <v>0</v>
      </c>
      <c r="F6" s="525">
        <v>0</v>
      </c>
      <c r="G6" s="519">
        <f t="shared" si="0"/>
        <v>15500</v>
      </c>
      <c r="H6" s="520"/>
      <c r="I6" s="521" t="s">
        <v>76</v>
      </c>
      <c r="J6" s="521"/>
      <c r="K6" s="521" t="s">
        <v>79</v>
      </c>
      <c r="L6" s="522" t="s">
        <v>79</v>
      </c>
      <c r="M6" s="534" t="s">
        <v>77</v>
      </c>
      <c r="N6" s="523"/>
    </row>
    <row r="7" spans="1:14" ht="15.95" customHeight="1" x14ac:dyDescent="0.2">
      <c r="A7" s="524" t="s">
        <v>16</v>
      </c>
      <c r="B7" s="517" t="s">
        <v>15</v>
      </c>
      <c r="C7" s="517" t="s">
        <v>60</v>
      </c>
      <c r="D7" s="525">
        <v>25000</v>
      </c>
      <c r="E7" s="525" t="s">
        <v>94</v>
      </c>
      <c r="F7" s="525" t="s">
        <v>94</v>
      </c>
      <c r="G7" s="519">
        <f t="shared" si="0"/>
        <v>25000</v>
      </c>
      <c r="H7" s="520"/>
      <c r="I7" s="521" t="s">
        <v>80</v>
      </c>
      <c r="J7" s="521"/>
      <c r="K7" s="521" t="s">
        <v>80</v>
      </c>
      <c r="L7" s="522" t="s">
        <v>80</v>
      </c>
      <c r="M7" s="534" t="s">
        <v>77</v>
      </c>
      <c r="N7" s="523" t="s">
        <v>93</v>
      </c>
    </row>
    <row r="8" spans="1:14" ht="15.95" customHeight="1" x14ac:dyDescent="0.2">
      <c r="A8" s="524" t="s">
        <v>17</v>
      </c>
      <c r="B8" s="517" t="s">
        <v>11</v>
      </c>
      <c r="C8" s="517" t="s">
        <v>60</v>
      </c>
      <c r="D8" s="525">
        <v>22500</v>
      </c>
      <c r="E8" s="525">
        <v>0</v>
      </c>
      <c r="F8" s="525">
        <v>0</v>
      </c>
      <c r="G8" s="519">
        <f t="shared" si="0"/>
        <v>22500</v>
      </c>
      <c r="H8" s="520"/>
      <c r="I8" s="521" t="s">
        <v>76</v>
      </c>
      <c r="J8" s="521"/>
      <c r="K8" s="521" t="s">
        <v>79</v>
      </c>
      <c r="L8" s="522" t="s">
        <v>79</v>
      </c>
      <c r="M8" s="534" t="s">
        <v>77</v>
      </c>
      <c r="N8" s="523"/>
    </row>
    <row r="9" spans="1:14" ht="15.95" customHeight="1" x14ac:dyDescent="0.2">
      <c r="A9" s="524" t="s">
        <v>18</v>
      </c>
      <c r="B9" s="517" t="s">
        <v>15</v>
      </c>
      <c r="C9" s="517" t="s">
        <v>60</v>
      </c>
      <c r="D9" s="525">
        <v>17651</v>
      </c>
      <c r="E9" s="525">
        <v>0</v>
      </c>
      <c r="F9" s="525">
        <v>0</v>
      </c>
      <c r="G9" s="519">
        <f t="shared" si="0"/>
        <v>17651</v>
      </c>
      <c r="H9" s="520"/>
      <c r="I9" s="521" t="s">
        <v>76</v>
      </c>
      <c r="J9" s="521"/>
      <c r="K9" s="521" t="s">
        <v>79</v>
      </c>
      <c r="L9" s="522" t="s">
        <v>79</v>
      </c>
      <c r="M9" s="534" t="s">
        <v>77</v>
      </c>
      <c r="N9" s="523"/>
    </row>
    <row r="10" spans="1:14" ht="15.95" customHeight="1" x14ac:dyDescent="0.2">
      <c r="A10" s="524" t="s">
        <v>19</v>
      </c>
      <c r="B10" s="517" t="s">
        <v>11</v>
      </c>
      <c r="C10" s="517" t="s">
        <v>60</v>
      </c>
      <c r="D10" s="525">
        <v>5500</v>
      </c>
      <c r="E10" s="525">
        <v>0</v>
      </c>
      <c r="F10" s="525">
        <v>0</v>
      </c>
      <c r="G10" s="519">
        <f t="shared" si="0"/>
        <v>5500</v>
      </c>
      <c r="H10" s="520"/>
      <c r="I10" s="521" t="s">
        <v>76</v>
      </c>
      <c r="J10" s="521"/>
      <c r="K10" s="521" t="s">
        <v>79</v>
      </c>
      <c r="L10" s="522" t="s">
        <v>79</v>
      </c>
      <c r="M10" s="534" t="s">
        <v>77</v>
      </c>
      <c r="N10" s="523"/>
    </row>
    <row r="11" spans="1:14" ht="15.95" hidden="1" customHeight="1" x14ac:dyDescent="0.2">
      <c r="A11" s="524" t="s">
        <v>20</v>
      </c>
      <c r="B11" s="517" t="s">
        <v>21</v>
      </c>
      <c r="C11" s="517" t="s">
        <v>60</v>
      </c>
      <c r="D11" s="525">
        <v>24185</v>
      </c>
      <c r="E11" s="525">
        <v>0</v>
      </c>
      <c r="F11" s="525">
        <v>0</v>
      </c>
      <c r="G11" s="519">
        <f t="shared" si="0"/>
        <v>24185</v>
      </c>
      <c r="H11" s="520"/>
      <c r="I11" s="521" t="s">
        <v>76</v>
      </c>
      <c r="J11" s="521"/>
      <c r="K11" s="521" t="s">
        <v>76</v>
      </c>
      <c r="L11" s="522" t="s">
        <v>76</v>
      </c>
      <c r="M11" s="522" t="s">
        <v>84</v>
      </c>
      <c r="N11" s="523" t="s">
        <v>88</v>
      </c>
    </row>
    <row r="12" spans="1:14" ht="15.95" hidden="1" customHeight="1" x14ac:dyDescent="0.2">
      <c r="A12" s="524" t="s">
        <v>22</v>
      </c>
      <c r="B12" s="517" t="s">
        <v>21</v>
      </c>
      <c r="C12" s="517" t="s">
        <v>60</v>
      </c>
      <c r="D12" s="525">
        <v>44037</v>
      </c>
      <c r="E12" s="525">
        <v>0</v>
      </c>
      <c r="F12" s="525">
        <v>0</v>
      </c>
      <c r="G12" s="519">
        <f t="shared" si="0"/>
        <v>44037</v>
      </c>
      <c r="H12" s="520"/>
      <c r="I12" s="521" t="s">
        <v>79</v>
      </c>
      <c r="J12" s="521"/>
      <c r="K12" s="521" t="s">
        <v>76</v>
      </c>
      <c r="L12" s="522" t="s">
        <v>76</v>
      </c>
      <c r="M12" s="522" t="s">
        <v>84</v>
      </c>
      <c r="N12" s="523" t="s">
        <v>88</v>
      </c>
    </row>
    <row r="13" spans="1:14" ht="15.95" customHeight="1" x14ac:dyDescent="0.2">
      <c r="A13" s="524" t="s">
        <v>23</v>
      </c>
      <c r="B13" s="517" t="s">
        <v>21</v>
      </c>
      <c r="C13" s="517" t="s">
        <v>60</v>
      </c>
      <c r="D13" s="525">
        <v>5142</v>
      </c>
      <c r="E13" s="525">
        <v>60000</v>
      </c>
      <c r="F13" s="525">
        <v>0</v>
      </c>
      <c r="G13" s="519">
        <f t="shared" si="0"/>
        <v>65142</v>
      </c>
      <c r="H13" s="520"/>
      <c r="I13" s="521" t="s">
        <v>76</v>
      </c>
      <c r="J13" s="521"/>
      <c r="K13" s="521" t="s">
        <v>79</v>
      </c>
      <c r="L13" s="522" t="s">
        <v>79</v>
      </c>
      <c r="M13" s="534" t="s">
        <v>77</v>
      </c>
      <c r="N13" s="523"/>
    </row>
    <row r="14" spans="1:14" ht="15.95" hidden="1" customHeight="1" x14ac:dyDescent="0.2">
      <c r="A14" s="524" t="s">
        <v>24</v>
      </c>
      <c r="B14" s="517" t="s">
        <v>15</v>
      </c>
      <c r="C14" s="517" t="s">
        <v>60</v>
      </c>
      <c r="D14" s="525">
        <v>3275</v>
      </c>
      <c r="E14" s="525">
        <v>3450</v>
      </c>
      <c r="F14" s="525">
        <v>3800</v>
      </c>
      <c r="G14" s="519">
        <f t="shared" si="0"/>
        <v>10525</v>
      </c>
      <c r="H14" s="520"/>
      <c r="I14" s="521" t="s">
        <v>76</v>
      </c>
      <c r="J14" s="521"/>
      <c r="K14" s="521" t="s">
        <v>76</v>
      </c>
      <c r="L14" s="522" t="s">
        <v>76</v>
      </c>
      <c r="M14" s="522" t="s">
        <v>84</v>
      </c>
      <c r="N14" s="523" t="s">
        <v>89</v>
      </c>
    </row>
    <row r="15" spans="1:14" ht="15.95" customHeight="1" x14ac:dyDescent="0.2">
      <c r="A15" s="524" t="s">
        <v>344</v>
      </c>
      <c r="B15" s="517" t="s">
        <v>15</v>
      </c>
      <c r="C15" s="517" t="s">
        <v>60</v>
      </c>
      <c r="D15" s="525">
        <v>72065</v>
      </c>
      <c r="E15" s="525">
        <v>440</v>
      </c>
      <c r="F15" s="525">
        <v>11990</v>
      </c>
      <c r="G15" s="519">
        <f t="shared" si="0"/>
        <v>84495</v>
      </c>
      <c r="H15" s="520"/>
      <c r="I15" s="521" t="s">
        <v>79</v>
      </c>
      <c r="J15" s="521"/>
      <c r="K15" s="521" t="s">
        <v>79</v>
      </c>
      <c r="L15" s="522" t="s">
        <v>79</v>
      </c>
      <c r="M15" s="534" t="s">
        <v>77</v>
      </c>
      <c r="N15" s="523"/>
    </row>
    <row r="16" spans="1:14" ht="15.95" customHeight="1" x14ac:dyDescent="0.2">
      <c r="A16" s="524" t="s">
        <v>47</v>
      </c>
      <c r="B16" s="517" t="s">
        <v>25</v>
      </c>
      <c r="C16" s="517" t="s">
        <v>60</v>
      </c>
      <c r="D16" s="525">
        <v>4774.16</v>
      </c>
      <c r="E16" s="525">
        <v>4774.16</v>
      </c>
      <c r="F16" s="525">
        <v>4774.16</v>
      </c>
      <c r="G16" s="519">
        <f t="shared" si="0"/>
        <v>14322.48</v>
      </c>
      <c r="H16" s="520"/>
      <c r="I16" s="521" t="s">
        <v>76</v>
      </c>
      <c r="J16" s="521"/>
      <c r="K16" s="521" t="s">
        <v>80</v>
      </c>
      <c r="L16" s="522" t="s">
        <v>80</v>
      </c>
      <c r="M16" s="534" t="s">
        <v>77</v>
      </c>
      <c r="N16" s="523"/>
    </row>
    <row r="17" spans="1:14" ht="15.95" customHeight="1" x14ac:dyDescent="0.2">
      <c r="A17" s="524" t="s">
        <v>26</v>
      </c>
      <c r="B17" s="517" t="s">
        <v>27</v>
      </c>
      <c r="C17" s="517" t="s">
        <v>60</v>
      </c>
      <c r="D17" s="525">
        <v>18990</v>
      </c>
      <c r="E17" s="525">
        <v>0</v>
      </c>
      <c r="F17" s="525">
        <v>0</v>
      </c>
      <c r="G17" s="519">
        <f t="shared" si="0"/>
        <v>18990</v>
      </c>
      <c r="H17" s="520"/>
      <c r="I17" s="521" t="s">
        <v>82</v>
      </c>
      <c r="J17" s="521"/>
      <c r="K17" s="521" t="s">
        <v>81</v>
      </c>
      <c r="L17" s="522" t="s">
        <v>79</v>
      </c>
      <c r="M17" s="534" t="s">
        <v>77</v>
      </c>
      <c r="N17" s="523"/>
    </row>
    <row r="18" spans="1:14" ht="15.95" customHeight="1" x14ac:dyDescent="0.2">
      <c r="A18" s="524" t="s">
        <v>28</v>
      </c>
      <c r="B18" s="517" t="s">
        <v>29</v>
      </c>
      <c r="C18" s="517" t="s">
        <v>60</v>
      </c>
      <c r="D18" s="525">
        <v>42027</v>
      </c>
      <c r="E18" s="525">
        <v>0</v>
      </c>
      <c r="F18" s="525">
        <v>1689</v>
      </c>
      <c r="G18" s="519">
        <f t="shared" si="0"/>
        <v>43716</v>
      </c>
      <c r="H18" s="520"/>
      <c r="I18" s="521" t="s">
        <v>80</v>
      </c>
      <c r="J18" s="521"/>
      <c r="K18" s="521" t="s">
        <v>79</v>
      </c>
      <c r="L18" s="522" t="s">
        <v>79</v>
      </c>
      <c r="M18" s="534" t="s">
        <v>77</v>
      </c>
      <c r="N18" s="523"/>
    </row>
    <row r="19" spans="1:14" ht="15.95" customHeight="1" x14ac:dyDescent="0.2">
      <c r="A19" s="524" t="s">
        <v>30</v>
      </c>
      <c r="B19" s="517" t="s">
        <v>27</v>
      </c>
      <c r="C19" s="517" t="s">
        <v>60</v>
      </c>
      <c r="D19" s="525">
        <v>500</v>
      </c>
      <c r="E19" s="525">
        <v>0</v>
      </c>
      <c r="F19" s="525">
        <v>0</v>
      </c>
      <c r="G19" s="519">
        <f t="shared" si="0"/>
        <v>500</v>
      </c>
      <c r="H19" s="520"/>
      <c r="I19" s="521" t="s">
        <v>76</v>
      </c>
      <c r="J19" s="521"/>
      <c r="K19" s="521" t="s">
        <v>79</v>
      </c>
      <c r="L19" s="522" t="s">
        <v>79</v>
      </c>
      <c r="M19" s="534" t="s">
        <v>77</v>
      </c>
      <c r="N19" s="523"/>
    </row>
    <row r="20" spans="1:14" ht="15.95" hidden="1" customHeight="1" x14ac:dyDescent="0.2">
      <c r="A20" s="524" t="s">
        <v>31</v>
      </c>
      <c r="B20" s="517" t="s">
        <v>11</v>
      </c>
      <c r="C20" s="517" t="s">
        <v>60</v>
      </c>
      <c r="D20" s="525">
        <v>9000</v>
      </c>
      <c r="E20" s="525">
        <v>0</v>
      </c>
      <c r="F20" s="525">
        <v>0</v>
      </c>
      <c r="G20" s="519">
        <f t="shared" si="0"/>
        <v>9000</v>
      </c>
      <c r="H20" s="520"/>
      <c r="I20" s="521" t="s">
        <v>82</v>
      </c>
      <c r="J20" s="521"/>
      <c r="K20" s="521" t="s">
        <v>81</v>
      </c>
      <c r="L20" s="522" t="s">
        <v>76</v>
      </c>
      <c r="M20" s="522" t="s">
        <v>84</v>
      </c>
      <c r="N20" s="523" t="s">
        <v>90</v>
      </c>
    </row>
    <row r="21" spans="1:14" ht="15.95" customHeight="1" x14ac:dyDescent="0.2">
      <c r="A21" s="526" t="s">
        <v>56</v>
      </c>
      <c r="B21" s="526" t="s">
        <v>12</v>
      </c>
      <c r="C21" s="517" t="s">
        <v>60</v>
      </c>
      <c r="D21" s="527">
        <v>15000</v>
      </c>
      <c r="E21" s="527">
        <v>34000</v>
      </c>
      <c r="F21" s="527">
        <v>34000</v>
      </c>
      <c r="G21" s="519">
        <f t="shared" si="0"/>
        <v>83000</v>
      </c>
      <c r="H21" s="520"/>
      <c r="I21" s="521" t="s">
        <v>76</v>
      </c>
      <c r="J21" s="521"/>
      <c r="K21" s="521" t="s">
        <v>79</v>
      </c>
      <c r="L21" s="522" t="s">
        <v>79</v>
      </c>
      <c r="M21" s="534" t="s">
        <v>77</v>
      </c>
      <c r="N21" s="523"/>
    </row>
    <row r="22" spans="1:14" ht="15.95" customHeight="1" x14ac:dyDescent="0.2">
      <c r="A22" s="524" t="s">
        <v>32</v>
      </c>
      <c r="B22" s="517" t="s">
        <v>33</v>
      </c>
      <c r="C22" s="517" t="s">
        <v>60</v>
      </c>
      <c r="D22" s="525">
        <v>6812</v>
      </c>
      <c r="E22" s="525">
        <v>418</v>
      </c>
      <c r="F22" s="525">
        <v>418</v>
      </c>
      <c r="G22" s="519">
        <f t="shared" si="0"/>
        <v>7648</v>
      </c>
      <c r="H22" s="520"/>
      <c r="I22" s="521" t="s">
        <v>76</v>
      </c>
      <c r="J22" s="521"/>
      <c r="K22" s="521" t="s">
        <v>79</v>
      </c>
      <c r="L22" s="522" t="s">
        <v>79</v>
      </c>
      <c r="M22" s="534" t="s">
        <v>77</v>
      </c>
      <c r="N22" s="523"/>
    </row>
    <row r="23" spans="1:14" ht="15.95" customHeight="1" x14ac:dyDescent="0.2">
      <c r="A23" s="524" t="s">
        <v>34</v>
      </c>
      <c r="B23" s="517" t="s">
        <v>33</v>
      </c>
      <c r="C23" s="517" t="s">
        <v>60</v>
      </c>
      <c r="D23" s="525">
        <v>3898</v>
      </c>
      <c r="E23" s="525">
        <v>0</v>
      </c>
      <c r="F23" s="525">
        <v>0</v>
      </c>
      <c r="G23" s="519">
        <f t="shared" si="0"/>
        <v>3898</v>
      </c>
      <c r="H23" s="520"/>
      <c r="I23" s="521" t="s">
        <v>76</v>
      </c>
      <c r="J23" s="521"/>
      <c r="K23" s="521" t="s">
        <v>79</v>
      </c>
      <c r="L23" s="522" t="s">
        <v>79</v>
      </c>
      <c r="M23" s="534" t="s">
        <v>77</v>
      </c>
      <c r="N23" s="523"/>
    </row>
    <row r="24" spans="1:14" ht="15.95" hidden="1" customHeight="1" x14ac:dyDescent="0.2">
      <c r="A24" s="524" t="s">
        <v>35</v>
      </c>
      <c r="B24" s="517" t="s">
        <v>33</v>
      </c>
      <c r="C24" s="517" t="s">
        <v>60</v>
      </c>
      <c r="D24" s="525">
        <v>31265</v>
      </c>
      <c r="E24" s="525">
        <v>0</v>
      </c>
      <c r="F24" s="525">
        <v>0</v>
      </c>
      <c r="G24" s="519">
        <f t="shared" si="0"/>
        <v>31265</v>
      </c>
      <c r="H24" s="520"/>
      <c r="I24" s="521" t="s">
        <v>79</v>
      </c>
      <c r="J24" s="521"/>
      <c r="K24" s="521" t="s">
        <v>76</v>
      </c>
      <c r="L24" s="522" t="s">
        <v>76</v>
      </c>
      <c r="M24" s="522" t="s">
        <v>84</v>
      </c>
      <c r="N24" s="523" t="s">
        <v>91</v>
      </c>
    </row>
    <row r="25" spans="1:14" ht="15.95" customHeight="1" x14ac:dyDescent="0.2">
      <c r="A25" s="524" t="s">
        <v>36</v>
      </c>
      <c r="B25" s="517" t="s">
        <v>29</v>
      </c>
      <c r="C25" s="517" t="s">
        <v>60</v>
      </c>
      <c r="D25" s="525">
        <v>4056</v>
      </c>
      <c r="E25" s="525">
        <v>0</v>
      </c>
      <c r="F25" s="525">
        <v>0</v>
      </c>
      <c r="G25" s="519">
        <f t="shared" si="0"/>
        <v>4056</v>
      </c>
      <c r="H25" s="520"/>
      <c r="I25" s="521" t="s">
        <v>76</v>
      </c>
      <c r="J25" s="521"/>
      <c r="K25" s="521" t="s">
        <v>79</v>
      </c>
      <c r="L25" s="522" t="s">
        <v>79</v>
      </c>
      <c r="M25" s="534" t="s">
        <v>77</v>
      </c>
      <c r="N25" s="523"/>
    </row>
    <row r="26" spans="1:14" ht="15.95" customHeight="1" x14ac:dyDescent="0.2">
      <c r="A26" s="524" t="s">
        <v>37</v>
      </c>
      <c r="B26" s="517" t="s">
        <v>15</v>
      </c>
      <c r="C26" s="517" t="s">
        <v>60</v>
      </c>
      <c r="D26" s="525">
        <v>181471</v>
      </c>
      <c r="E26" s="525">
        <v>150513</v>
      </c>
      <c r="F26" s="525">
        <v>150513</v>
      </c>
      <c r="G26" s="519">
        <f t="shared" si="0"/>
        <v>482497</v>
      </c>
      <c r="H26" s="520"/>
      <c r="I26" s="521" t="s">
        <v>79</v>
      </c>
      <c r="J26" s="521"/>
      <c r="K26" s="521" t="s">
        <v>79</v>
      </c>
      <c r="L26" s="522" t="s">
        <v>79</v>
      </c>
      <c r="M26" s="534" t="s">
        <v>77</v>
      </c>
      <c r="N26" s="523"/>
    </row>
    <row r="27" spans="1:14" ht="15.95" customHeight="1" x14ac:dyDescent="0.2">
      <c r="A27" s="524" t="s">
        <v>38</v>
      </c>
      <c r="B27" s="517" t="s">
        <v>11</v>
      </c>
      <c r="C27" s="517" t="s">
        <v>60</v>
      </c>
      <c r="D27" s="525">
        <v>35125</v>
      </c>
      <c r="E27" s="525">
        <v>0</v>
      </c>
      <c r="F27" s="525">
        <v>0</v>
      </c>
      <c r="G27" s="519">
        <f t="shared" si="0"/>
        <v>35125</v>
      </c>
      <c r="H27" s="520"/>
      <c r="I27" s="521" t="s">
        <v>79</v>
      </c>
      <c r="J27" s="521"/>
      <c r="K27" s="521" t="s">
        <v>79</v>
      </c>
      <c r="L27" s="522" t="s">
        <v>79</v>
      </c>
      <c r="M27" s="534" t="s">
        <v>77</v>
      </c>
      <c r="N27" s="523"/>
    </row>
    <row r="28" spans="1:14" ht="15.95" customHeight="1" x14ac:dyDescent="0.2">
      <c r="A28" s="526" t="s">
        <v>57</v>
      </c>
      <c r="B28" s="526" t="s">
        <v>12</v>
      </c>
      <c r="C28" s="517" t="s">
        <v>60</v>
      </c>
      <c r="D28" s="527">
        <v>26669.17</v>
      </c>
      <c r="E28" s="527">
        <v>0</v>
      </c>
      <c r="F28" s="527">
        <v>4813.5</v>
      </c>
      <c r="G28" s="519">
        <f t="shared" si="0"/>
        <v>31482.67</v>
      </c>
      <c r="H28" s="520"/>
      <c r="I28" s="521" t="s">
        <v>76</v>
      </c>
      <c r="J28" s="521"/>
      <c r="K28" s="521" t="s">
        <v>79</v>
      </c>
      <c r="L28" s="522" t="s">
        <v>79</v>
      </c>
      <c r="M28" s="534" t="s">
        <v>77</v>
      </c>
      <c r="N28" s="523"/>
    </row>
    <row r="29" spans="1:14" ht="15.95" customHeight="1" x14ac:dyDescent="0.2">
      <c r="A29" s="524" t="s">
        <v>39</v>
      </c>
      <c r="B29" s="517" t="s">
        <v>27</v>
      </c>
      <c r="C29" s="517" t="s">
        <v>60</v>
      </c>
      <c r="D29" s="525">
        <v>23036</v>
      </c>
      <c r="E29" s="525">
        <v>1836</v>
      </c>
      <c r="F29" s="525">
        <v>1836</v>
      </c>
      <c r="G29" s="519">
        <f t="shared" si="0"/>
        <v>26708</v>
      </c>
      <c r="H29" s="520"/>
      <c r="I29" s="521" t="s">
        <v>80</v>
      </c>
      <c r="J29" s="521"/>
      <c r="K29" s="521" t="s">
        <v>79</v>
      </c>
      <c r="L29" s="522" t="s">
        <v>79</v>
      </c>
      <c r="M29" s="534" t="s">
        <v>77</v>
      </c>
      <c r="N29" s="523"/>
    </row>
    <row r="30" spans="1:14" ht="15.95" customHeight="1" x14ac:dyDescent="0.2">
      <c r="A30" s="524" t="s">
        <v>40</v>
      </c>
      <c r="B30" s="517" t="s">
        <v>33</v>
      </c>
      <c r="C30" s="517" t="s">
        <v>60</v>
      </c>
      <c r="D30" s="525">
        <v>22099</v>
      </c>
      <c r="E30" s="525">
        <v>2100</v>
      </c>
      <c r="F30" s="525">
        <v>2100</v>
      </c>
      <c r="G30" s="519">
        <f t="shared" si="0"/>
        <v>26299</v>
      </c>
      <c r="H30" s="520"/>
      <c r="I30" s="521" t="s">
        <v>82</v>
      </c>
      <c r="J30" s="521"/>
      <c r="K30" s="521" t="s">
        <v>81</v>
      </c>
      <c r="L30" s="522" t="s">
        <v>80</v>
      </c>
      <c r="M30" s="534" t="s">
        <v>77</v>
      </c>
      <c r="N30" s="523"/>
    </row>
    <row r="31" spans="1:14" ht="15.95" hidden="1" customHeight="1" x14ac:dyDescent="0.2">
      <c r="A31" s="524" t="s">
        <v>41</v>
      </c>
      <c r="B31" s="517" t="s">
        <v>33</v>
      </c>
      <c r="C31" s="517" t="s">
        <v>60</v>
      </c>
      <c r="D31" s="525">
        <v>7482</v>
      </c>
      <c r="E31" s="525">
        <v>15138</v>
      </c>
      <c r="F31" s="525">
        <v>15138</v>
      </c>
      <c r="G31" s="519">
        <f t="shared" si="0"/>
        <v>37758</v>
      </c>
      <c r="H31" s="520"/>
      <c r="I31" s="521" t="s">
        <v>76</v>
      </c>
      <c r="J31" s="521"/>
      <c r="K31" s="521" t="s">
        <v>76</v>
      </c>
      <c r="L31" s="522" t="s">
        <v>76</v>
      </c>
      <c r="M31" s="522" t="s">
        <v>84</v>
      </c>
      <c r="N31" s="523" t="s">
        <v>92</v>
      </c>
    </row>
    <row r="32" spans="1:14" ht="15.95" customHeight="1" x14ac:dyDescent="0.2">
      <c r="A32" s="524" t="s">
        <v>42</v>
      </c>
      <c r="B32" s="517" t="s">
        <v>27</v>
      </c>
      <c r="C32" s="517" t="s">
        <v>60</v>
      </c>
      <c r="D32" s="525">
        <v>8389.35</v>
      </c>
      <c r="E32" s="525">
        <v>0</v>
      </c>
      <c r="F32" s="525">
        <v>0</v>
      </c>
      <c r="G32" s="519">
        <f t="shared" si="0"/>
        <v>8389.35</v>
      </c>
      <c r="H32" s="520"/>
      <c r="I32" s="521" t="s">
        <v>76</v>
      </c>
      <c r="J32" s="521"/>
      <c r="K32" s="521" t="s">
        <v>80</v>
      </c>
      <c r="L32" s="522" t="s">
        <v>80</v>
      </c>
      <c r="M32" s="534" t="s">
        <v>77</v>
      </c>
      <c r="N32" s="523"/>
    </row>
    <row r="33" spans="1:14" ht="15.95" hidden="1" customHeight="1" x14ac:dyDescent="0.2">
      <c r="A33" s="526" t="s">
        <v>58</v>
      </c>
      <c r="B33" s="526" t="s">
        <v>52</v>
      </c>
      <c r="C33" s="517" t="s">
        <v>60</v>
      </c>
      <c r="D33" s="527">
        <v>531391</v>
      </c>
      <c r="E33" s="527">
        <v>552840</v>
      </c>
      <c r="F33" s="527">
        <v>386173</v>
      </c>
      <c r="G33" s="519">
        <f t="shared" si="0"/>
        <v>1470404</v>
      </c>
      <c r="H33" s="520"/>
      <c r="I33" s="521" t="s">
        <v>82</v>
      </c>
      <c r="J33" s="521"/>
      <c r="K33" s="521" t="s">
        <v>81</v>
      </c>
      <c r="L33" s="522" t="s">
        <v>81</v>
      </c>
      <c r="M33" s="522" t="s">
        <v>81</v>
      </c>
      <c r="N33" s="523" t="s">
        <v>81</v>
      </c>
    </row>
    <row r="34" spans="1:14" ht="15.95" customHeight="1" x14ac:dyDescent="0.2">
      <c r="A34" s="524" t="s">
        <v>43</v>
      </c>
      <c r="B34" s="517" t="s">
        <v>33</v>
      </c>
      <c r="C34" s="517" t="s">
        <v>60</v>
      </c>
      <c r="D34" s="525">
        <v>72000</v>
      </c>
      <c r="E34" s="525" t="s">
        <v>94</v>
      </c>
      <c r="F34" s="525" t="s">
        <v>94</v>
      </c>
      <c r="G34" s="519">
        <f t="shared" si="0"/>
        <v>72000</v>
      </c>
      <c r="H34" s="520"/>
      <c r="I34" s="521" t="s">
        <v>79</v>
      </c>
      <c r="J34" s="521"/>
      <c r="K34" s="521" t="s">
        <v>80</v>
      </c>
      <c r="L34" s="522" t="s">
        <v>80</v>
      </c>
      <c r="M34" s="534" t="s">
        <v>77</v>
      </c>
      <c r="N34" s="523" t="s">
        <v>93</v>
      </c>
    </row>
    <row r="35" spans="1:14" ht="15.95" customHeight="1" x14ac:dyDescent="0.2">
      <c r="A35" s="524" t="s">
        <v>44</v>
      </c>
      <c r="B35" s="517" t="s">
        <v>33</v>
      </c>
      <c r="C35" s="517" t="s">
        <v>60</v>
      </c>
      <c r="D35" s="525">
        <v>20460</v>
      </c>
      <c r="E35" s="525" t="s">
        <v>94</v>
      </c>
      <c r="F35" s="525" t="s">
        <v>94</v>
      </c>
      <c r="G35" s="519">
        <f t="shared" si="0"/>
        <v>20460</v>
      </c>
      <c r="H35" s="520"/>
      <c r="I35" s="521" t="s">
        <v>80</v>
      </c>
      <c r="J35" s="521"/>
      <c r="K35" s="521" t="s">
        <v>80</v>
      </c>
      <c r="L35" s="522" t="s">
        <v>80</v>
      </c>
      <c r="M35" s="534" t="s">
        <v>77</v>
      </c>
      <c r="N35" s="523" t="s">
        <v>93</v>
      </c>
    </row>
    <row r="36" spans="1:14" ht="15.95" customHeight="1" x14ac:dyDescent="0.2">
      <c r="A36" s="524" t="s">
        <v>45</v>
      </c>
      <c r="B36" s="517" t="s">
        <v>25</v>
      </c>
      <c r="C36" s="517" t="s">
        <v>60</v>
      </c>
      <c r="D36" s="525">
        <v>90500</v>
      </c>
      <c r="E36" s="525">
        <v>32500</v>
      </c>
      <c r="F36" s="525">
        <v>32500</v>
      </c>
      <c r="G36" s="519">
        <f t="shared" si="0"/>
        <v>155500</v>
      </c>
      <c r="H36" s="520"/>
      <c r="I36" s="521" t="s">
        <v>79</v>
      </c>
      <c r="J36" s="521"/>
      <c r="K36" s="521" t="s">
        <v>79</v>
      </c>
      <c r="L36" s="522" t="s">
        <v>79</v>
      </c>
      <c r="M36" s="534" t="s">
        <v>77</v>
      </c>
      <c r="N36" s="523" t="s">
        <v>95</v>
      </c>
    </row>
    <row r="37" spans="1:14" ht="15.95" customHeight="1" x14ac:dyDescent="0.2">
      <c r="A37" s="524" t="s">
        <v>46</v>
      </c>
      <c r="B37" s="517" t="s">
        <v>33</v>
      </c>
      <c r="C37" s="517" t="s">
        <v>60</v>
      </c>
      <c r="D37" s="525">
        <v>12096</v>
      </c>
      <c r="E37" s="525">
        <v>0</v>
      </c>
      <c r="F37" s="525">
        <v>0</v>
      </c>
      <c r="G37" s="519">
        <f t="shared" si="0"/>
        <v>12096</v>
      </c>
      <c r="H37" s="520"/>
      <c r="I37" s="521" t="s">
        <v>76</v>
      </c>
      <c r="J37" s="521"/>
      <c r="K37" s="521" t="s">
        <v>76</v>
      </c>
      <c r="L37" s="522" t="s">
        <v>76</v>
      </c>
      <c r="M37" s="534" t="s">
        <v>77</v>
      </c>
      <c r="N37" s="523"/>
    </row>
    <row r="38" spans="1:14" ht="15.95" hidden="1" customHeight="1" x14ac:dyDescent="0.2">
      <c r="A38" s="526" t="s">
        <v>71</v>
      </c>
      <c r="B38" s="526" t="s">
        <v>72</v>
      </c>
      <c r="C38" s="517" t="s">
        <v>60</v>
      </c>
      <c r="D38" s="527">
        <v>32500</v>
      </c>
      <c r="E38" s="527">
        <v>65000</v>
      </c>
      <c r="F38" s="527">
        <v>65000</v>
      </c>
      <c r="G38" s="519">
        <f t="shared" si="0"/>
        <v>162500</v>
      </c>
      <c r="H38" s="520"/>
      <c r="I38" s="521" t="s">
        <v>82</v>
      </c>
      <c r="J38" s="521"/>
      <c r="K38" s="521" t="s">
        <v>81</v>
      </c>
      <c r="L38" s="522" t="s">
        <v>81</v>
      </c>
      <c r="M38" s="522" t="s">
        <v>81</v>
      </c>
      <c r="N38" s="523" t="s">
        <v>81</v>
      </c>
    </row>
    <row r="39" spans="1:14" ht="15.95" hidden="1" customHeight="1" x14ac:dyDescent="0.2">
      <c r="A39" s="515" t="s">
        <v>48</v>
      </c>
      <c r="B39" s="516" t="s">
        <v>27</v>
      </c>
      <c r="C39" s="517" t="s">
        <v>61</v>
      </c>
      <c r="D39" s="525">
        <v>35000</v>
      </c>
      <c r="E39" s="525">
        <v>1000</v>
      </c>
      <c r="F39" s="525">
        <v>1000</v>
      </c>
      <c r="G39" s="519">
        <f t="shared" si="0"/>
        <v>37000</v>
      </c>
      <c r="H39" s="521"/>
      <c r="I39" s="521"/>
      <c r="J39" s="521"/>
      <c r="K39" s="521"/>
      <c r="L39" s="522"/>
      <c r="M39" s="522"/>
      <c r="N39" s="523"/>
    </row>
    <row r="40" spans="1:14" ht="15.95" hidden="1" customHeight="1" x14ac:dyDescent="0.2">
      <c r="A40" s="528" t="s">
        <v>49</v>
      </c>
      <c r="B40" s="529" t="s">
        <v>15</v>
      </c>
      <c r="C40" s="517" t="s">
        <v>73</v>
      </c>
      <c r="D40" s="525">
        <v>5599.18</v>
      </c>
      <c r="E40" s="525">
        <v>0</v>
      </c>
      <c r="F40" s="525">
        <v>0</v>
      </c>
      <c r="G40" s="519">
        <f t="shared" si="0"/>
        <v>5599.18</v>
      </c>
      <c r="H40" s="521"/>
      <c r="I40" s="521"/>
      <c r="J40" s="521"/>
      <c r="K40" s="521"/>
      <c r="L40" s="522"/>
      <c r="M40" s="522"/>
      <c r="N40" s="523"/>
    </row>
    <row r="41" spans="1:14" ht="15.95" hidden="1" customHeight="1" x14ac:dyDescent="0.2">
      <c r="A41" s="524" t="s">
        <v>50</v>
      </c>
      <c r="B41" s="517" t="s">
        <v>15</v>
      </c>
      <c r="C41" s="517" t="s">
        <v>61</v>
      </c>
      <c r="D41" s="525">
        <v>0</v>
      </c>
      <c r="E41" s="525">
        <v>221900</v>
      </c>
      <c r="F41" s="525">
        <v>198000</v>
      </c>
      <c r="G41" s="519">
        <f t="shared" si="0"/>
        <v>419900</v>
      </c>
      <c r="H41" s="521"/>
      <c r="I41" s="521"/>
      <c r="J41" s="521"/>
      <c r="K41" s="521"/>
      <c r="L41" s="522"/>
      <c r="M41" s="522"/>
      <c r="N41" s="523"/>
    </row>
    <row r="42" spans="1:14" ht="15.95" hidden="1" customHeight="1" x14ac:dyDescent="0.2">
      <c r="A42" s="524" t="s">
        <v>51</v>
      </c>
      <c r="B42" s="517" t="s">
        <v>52</v>
      </c>
      <c r="C42" s="517" t="s">
        <v>73</v>
      </c>
      <c r="D42" s="525">
        <v>80000</v>
      </c>
      <c r="E42" s="525">
        <v>80000</v>
      </c>
      <c r="F42" s="525">
        <v>80000</v>
      </c>
      <c r="G42" s="519">
        <f t="shared" si="0"/>
        <v>240000</v>
      </c>
      <c r="H42" s="521"/>
      <c r="I42" s="521"/>
      <c r="J42" s="521"/>
      <c r="K42" s="521"/>
      <c r="L42" s="522"/>
      <c r="M42" s="522"/>
      <c r="N42" s="523"/>
    </row>
    <row r="43" spans="1:14" ht="15.95" hidden="1" customHeight="1" x14ac:dyDescent="0.2">
      <c r="A43" s="526" t="s">
        <v>54</v>
      </c>
      <c r="B43" s="526" t="s">
        <v>12</v>
      </c>
      <c r="C43" s="517" t="s">
        <v>73</v>
      </c>
      <c r="D43" s="527">
        <v>1500</v>
      </c>
      <c r="E43" s="527">
        <v>1500</v>
      </c>
      <c r="F43" s="527">
        <v>1500</v>
      </c>
      <c r="G43" s="519">
        <f t="shared" si="0"/>
        <v>4500</v>
      </c>
      <c r="H43" s="521"/>
      <c r="I43" s="521"/>
      <c r="J43" s="521"/>
      <c r="K43" s="521"/>
      <c r="L43" s="522"/>
      <c r="M43" s="522"/>
      <c r="N43" s="523"/>
    </row>
    <row r="44" spans="1:14" ht="15.95" hidden="1" customHeight="1" x14ac:dyDescent="0.2">
      <c r="A44" s="526" t="s">
        <v>55</v>
      </c>
      <c r="B44" s="526" t="s">
        <v>12</v>
      </c>
      <c r="C44" s="517" t="s">
        <v>61</v>
      </c>
      <c r="D44" s="527">
        <v>18860</v>
      </c>
      <c r="E44" s="527">
        <v>0</v>
      </c>
      <c r="F44" s="527">
        <v>0</v>
      </c>
      <c r="G44" s="519">
        <f t="shared" si="0"/>
        <v>18860</v>
      </c>
      <c r="H44" s="521"/>
      <c r="I44" s="521"/>
      <c r="J44" s="521"/>
      <c r="K44" s="521"/>
      <c r="L44" s="522"/>
      <c r="M44" s="522"/>
      <c r="N44" s="523"/>
    </row>
    <row r="45" spans="1:14" ht="15.95" hidden="1" customHeight="1" x14ac:dyDescent="0.2">
      <c r="G45" s="506" t="s">
        <v>70</v>
      </c>
      <c r="I45" s="506">
        <v>0.3</v>
      </c>
      <c r="J45" s="506">
        <v>0.3</v>
      </c>
      <c r="K45" s="506">
        <v>0.4</v>
      </c>
      <c r="M45" s="506"/>
    </row>
    <row r="47" spans="1:14" ht="15.95" customHeight="1" x14ac:dyDescent="0.2">
      <c r="A47" s="506" t="s">
        <v>66</v>
      </c>
      <c r="B47" s="506" t="s">
        <v>2</v>
      </c>
      <c r="C47" s="506" t="s">
        <v>12</v>
      </c>
      <c r="D47" s="531" t="s">
        <v>63</v>
      </c>
      <c r="E47" s="531" t="s">
        <v>64</v>
      </c>
      <c r="F47" s="531" t="s">
        <v>65</v>
      </c>
      <c r="G47" s="531" t="s">
        <v>62</v>
      </c>
      <c r="H47" s="531"/>
      <c r="I47" s="531"/>
      <c r="J47" s="531"/>
      <c r="K47" s="531"/>
    </row>
    <row r="48" spans="1:14" ht="15.95" customHeight="1" x14ac:dyDescent="0.2">
      <c r="A48" s="506" t="s">
        <v>9</v>
      </c>
      <c r="D48" s="532">
        <f>SUM(D3:D44)</f>
        <v>1660654.8599999999</v>
      </c>
      <c r="E48" s="532">
        <f>SUM(E3:E44)</f>
        <v>1295009.1600000001</v>
      </c>
      <c r="F48" s="532">
        <f>SUM(F3:F44)</f>
        <v>1059844.6600000001</v>
      </c>
      <c r="G48" s="532">
        <f>SUM(G3:G44)</f>
        <v>4015508.68</v>
      </c>
      <c r="H48" s="532"/>
      <c r="I48" s="532"/>
      <c r="J48" s="532"/>
      <c r="K48" s="532"/>
    </row>
    <row r="49" spans="1:11" ht="15.95" customHeight="1" x14ac:dyDescent="0.2">
      <c r="A49" s="506" t="s">
        <v>59</v>
      </c>
      <c r="D49" s="536">
        <f>SUMIF($M3:$M44,"Yes",D3:D44)</f>
        <v>766260.68</v>
      </c>
      <c r="E49" s="539">
        <f t="shared" ref="E49:G49" si="1">SUMIF($M3:$M44,"Yes",E3:E44)</f>
        <v>286581.16000000003</v>
      </c>
      <c r="F49" s="539">
        <f t="shared" si="1"/>
        <v>244633.66</v>
      </c>
      <c r="G49" s="539">
        <f t="shared" si="1"/>
        <v>1297475.5</v>
      </c>
      <c r="H49" s="531"/>
      <c r="I49" s="531"/>
      <c r="J49" s="531"/>
      <c r="K49" s="531"/>
    </row>
    <row r="50" spans="1:11" ht="15.95" customHeight="1" x14ac:dyDescent="0.2">
      <c r="C50" s="506" t="s">
        <v>738</v>
      </c>
      <c r="D50" s="537">
        <v>151250</v>
      </c>
      <c r="E50" s="539"/>
      <c r="F50" s="539"/>
      <c r="G50" s="539"/>
    </row>
    <row r="51" spans="1:11" ht="15.95" customHeight="1" x14ac:dyDescent="0.2">
      <c r="C51" s="506" t="s">
        <v>738</v>
      </c>
      <c r="D51" s="537">
        <v>350000</v>
      </c>
      <c r="E51" s="539">
        <v>350000</v>
      </c>
      <c r="F51" s="539"/>
      <c r="G51" s="539"/>
    </row>
    <row r="52" spans="1:11" ht="15.95" customHeight="1" x14ac:dyDescent="0.2">
      <c r="C52" s="506" t="s">
        <v>62</v>
      </c>
      <c r="D52" s="540">
        <f>+D51+D50+D49</f>
        <v>1267510.6800000002</v>
      </c>
      <c r="E52" s="540">
        <f>+E51+E50+E49</f>
        <v>636581.16</v>
      </c>
      <c r="F52" s="539"/>
      <c r="G52" s="539"/>
    </row>
    <row r="53" spans="1:11" ht="15.95" customHeight="1" x14ac:dyDescent="0.2">
      <c r="E53" s="539"/>
      <c r="F53" s="539"/>
      <c r="G53" s="539"/>
    </row>
  </sheetData>
  <autoFilter ref="A2:N45">
    <filterColumn colId="12">
      <filters>
        <filter val="Yes"/>
      </filters>
    </filterColumn>
  </autoFilter>
  <pageMargins left="0.7" right="0.7" top="0.75" bottom="0.75" header="0.3" footer="0.3"/>
  <pageSetup scale="67" orientation="landscape" cellComments="asDisplayed" r:id="rId1"/>
  <headerFooter>
    <oddHeader>&amp;C&amp;"-,Bold"&amp;14 2009/2010 Technology Fee Proposals</oddHead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L159"/>
  <sheetViews>
    <sheetView zoomScaleNormal="100" workbookViewId="0">
      <pane xSplit="7" ySplit="4" topLeftCell="AB92" activePane="bottomRight" state="frozen"/>
      <selection pane="topRight" activeCell="H1" sqref="H1"/>
      <selection pane="bottomLeft" activeCell="A5" sqref="A5"/>
      <selection pane="bottomRight" activeCell="AB108" sqref="AB108"/>
    </sheetView>
  </sheetViews>
  <sheetFormatPr defaultRowHeight="12" customHeight="1" x14ac:dyDescent="0.2"/>
  <cols>
    <col min="1" max="1" width="4.7109375" style="223" customWidth="1"/>
    <col min="2" max="2" width="7.42578125" style="223" customWidth="1"/>
    <col min="3" max="3" width="6.85546875" style="225" customWidth="1"/>
    <col min="4" max="4" width="12" style="224" customWidth="1"/>
    <col min="5" max="5" width="13.85546875" style="224" customWidth="1"/>
    <col min="6" max="6" width="21.42578125" style="224" customWidth="1"/>
    <col min="7" max="7" width="8.140625" style="224" customWidth="1"/>
    <col min="8" max="9" width="8.7109375" style="253" bestFit="1" customWidth="1"/>
    <col min="10" max="10" width="9.28515625" style="253" customWidth="1"/>
    <col min="11" max="11" width="8.5703125" style="253" bestFit="1" customWidth="1"/>
    <col min="12" max="12" width="9.42578125" style="253" customWidth="1"/>
    <col min="13" max="13" width="7.42578125" style="224" bestFit="1" customWidth="1"/>
    <col min="14" max="14" width="9" style="224" bestFit="1" customWidth="1"/>
    <col min="15" max="15" width="9.5703125" style="224" hidden="1" customWidth="1"/>
    <col min="16" max="16" width="9" style="224" hidden="1" customWidth="1"/>
    <col min="17" max="17" width="9.5703125" style="622" hidden="1" customWidth="1"/>
    <col min="18" max="18" width="8.42578125" style="622" hidden="1" customWidth="1"/>
    <col min="19" max="19" width="12" style="622" hidden="1" customWidth="1"/>
    <col min="20" max="20" width="7.5703125" style="622" hidden="1" customWidth="1"/>
    <col min="21" max="21" width="9.5703125" style="296" hidden="1" customWidth="1"/>
    <col min="22" max="22" width="9.42578125" style="296" hidden="1" customWidth="1"/>
    <col min="23" max="23" width="9" style="296" hidden="1" customWidth="1"/>
    <col min="24" max="24" width="9.5703125" style="296" hidden="1" customWidth="1"/>
    <col min="25" max="25" width="11" style="296" hidden="1" customWidth="1"/>
    <col min="26" max="26" width="9.28515625" style="296" customWidth="1"/>
    <col min="27" max="27" width="9.5703125" style="296" bestFit="1" customWidth="1"/>
    <col min="28" max="28" width="9.5703125" style="883" bestFit="1" customWidth="1"/>
    <col min="29" max="29" width="10.140625" style="296" customWidth="1"/>
    <col min="30" max="30" width="9.28515625" style="296" customWidth="1"/>
    <col min="31" max="31" width="10.85546875" style="253" bestFit="1" customWidth="1"/>
    <col min="32" max="32" width="10" style="253" customWidth="1"/>
    <col min="33" max="33" width="10.28515625" style="253" bestFit="1" customWidth="1"/>
    <col min="34" max="34" width="8.85546875" style="253" customWidth="1"/>
    <col min="35" max="35" width="8.140625" style="224" customWidth="1"/>
    <col min="36" max="16384" width="9.140625" style="224"/>
  </cols>
  <sheetData>
    <row r="1" spans="1:38" ht="12" customHeight="1" x14ac:dyDescent="0.2">
      <c r="A1" s="263" t="s">
        <v>459</v>
      </c>
    </row>
    <row r="2" spans="1:38" ht="12" customHeight="1" x14ac:dyDescent="0.2">
      <c r="G2" s="254" t="s">
        <v>409</v>
      </c>
      <c r="H2" s="226" t="s">
        <v>413</v>
      </c>
      <c r="I2" s="226" t="s">
        <v>414</v>
      </c>
      <c r="J2" s="226" t="s">
        <v>415</v>
      </c>
      <c r="K2" s="226" t="s">
        <v>714</v>
      </c>
      <c r="L2" s="226" t="s">
        <v>416</v>
      </c>
      <c r="M2" s="920" t="s">
        <v>822</v>
      </c>
      <c r="N2" s="921"/>
      <c r="O2" s="930" t="s">
        <v>821</v>
      </c>
      <c r="P2" s="931"/>
      <c r="Q2" s="931"/>
      <c r="R2" s="931"/>
      <c r="S2" s="931"/>
      <c r="T2" s="931"/>
      <c r="U2" s="931"/>
      <c r="V2" s="931"/>
      <c r="W2" s="931"/>
      <c r="X2" s="931"/>
      <c r="Y2" s="932"/>
      <c r="Z2" s="926" t="s">
        <v>823</v>
      </c>
      <c r="AA2" s="927"/>
      <c r="AB2" s="927"/>
      <c r="AC2" s="922" t="s">
        <v>833</v>
      </c>
      <c r="AD2" s="923"/>
      <c r="AE2" s="923"/>
      <c r="AF2" s="923"/>
      <c r="AG2" s="923"/>
      <c r="AH2" s="923"/>
      <c r="AI2" s="923"/>
    </row>
    <row r="3" spans="1:38" ht="12" customHeight="1" x14ac:dyDescent="0.2">
      <c r="G3" s="254"/>
      <c r="H3" s="226"/>
      <c r="I3" s="226"/>
      <c r="J3" s="226"/>
      <c r="K3" s="226"/>
      <c r="L3" s="226"/>
      <c r="M3" s="920"/>
      <c r="N3" s="921"/>
      <c r="O3" s="615"/>
      <c r="P3" s="615" t="s">
        <v>718</v>
      </c>
      <c r="Q3" s="667"/>
      <c r="R3" s="668" t="s">
        <v>476</v>
      </c>
      <c r="S3" s="669">
        <v>40408</v>
      </c>
      <c r="T3" s="670" t="s">
        <v>491</v>
      </c>
      <c r="U3" s="671" t="s">
        <v>800</v>
      </c>
      <c r="V3" s="672" t="s">
        <v>800</v>
      </c>
      <c r="W3" s="673" t="s">
        <v>802</v>
      </c>
      <c r="X3" s="928" t="s">
        <v>349</v>
      </c>
      <c r="Y3" s="929"/>
      <c r="Z3" s="926"/>
      <c r="AA3" s="927"/>
      <c r="AB3" s="927"/>
      <c r="AC3" s="774" t="s">
        <v>832</v>
      </c>
      <c r="AD3" s="775" t="s">
        <v>189</v>
      </c>
      <c r="AE3" s="776" t="s">
        <v>717</v>
      </c>
      <c r="AF3" s="924" t="s">
        <v>839</v>
      </c>
      <c r="AG3" s="925"/>
      <c r="AH3" s="777" t="s">
        <v>618</v>
      </c>
      <c r="AI3" s="778" t="s">
        <v>617</v>
      </c>
    </row>
    <row r="4" spans="1:38" ht="27" customHeight="1" thickBot="1" x14ac:dyDescent="0.25">
      <c r="A4" s="227" t="s">
        <v>456</v>
      </c>
      <c r="B4" s="227" t="s">
        <v>457</v>
      </c>
      <c r="C4" s="230" t="s">
        <v>83</v>
      </c>
      <c r="D4" s="228" t="s">
        <v>411</v>
      </c>
      <c r="E4" s="228" t="s">
        <v>423</v>
      </c>
      <c r="F4" s="229" t="s">
        <v>0</v>
      </c>
      <c r="G4" s="255" t="s">
        <v>97</v>
      </c>
      <c r="H4" s="231" t="s">
        <v>189</v>
      </c>
      <c r="I4" s="231" t="s">
        <v>349</v>
      </c>
      <c r="J4" s="231" t="s">
        <v>410</v>
      </c>
      <c r="K4" s="231" t="s">
        <v>715</v>
      </c>
      <c r="L4" s="232" t="s">
        <v>67</v>
      </c>
      <c r="M4" s="665" t="s">
        <v>461</v>
      </c>
      <c r="N4" s="666" t="s">
        <v>472</v>
      </c>
      <c r="O4" s="674" t="s">
        <v>458</v>
      </c>
      <c r="P4" s="674" t="s">
        <v>719</v>
      </c>
      <c r="Q4" s="675" t="s">
        <v>471</v>
      </c>
      <c r="R4" s="676" t="s">
        <v>475</v>
      </c>
      <c r="S4" s="677" t="s">
        <v>478</v>
      </c>
      <c r="T4" s="678" t="s">
        <v>488</v>
      </c>
      <c r="U4" s="679" t="s">
        <v>804</v>
      </c>
      <c r="V4" s="680" t="s">
        <v>801</v>
      </c>
      <c r="W4" s="681" t="s">
        <v>803</v>
      </c>
      <c r="X4" s="725" t="s">
        <v>500</v>
      </c>
      <c r="Y4" s="726" t="s">
        <v>461</v>
      </c>
      <c r="Z4" s="729" t="s">
        <v>807</v>
      </c>
      <c r="AA4" s="728" t="s">
        <v>808</v>
      </c>
      <c r="AB4" s="884" t="s">
        <v>500</v>
      </c>
      <c r="AC4" s="779" t="s">
        <v>500</v>
      </c>
      <c r="AD4" s="780" t="s">
        <v>461</v>
      </c>
      <c r="AE4" s="781" t="s">
        <v>461</v>
      </c>
      <c r="AF4" s="782" t="s">
        <v>805</v>
      </c>
      <c r="AG4" s="783" t="s">
        <v>806</v>
      </c>
      <c r="AH4" s="784" t="s">
        <v>167</v>
      </c>
      <c r="AI4" s="785"/>
    </row>
    <row r="5" spans="1:38" ht="14.1" customHeight="1" x14ac:dyDescent="0.2">
      <c r="A5" s="223" t="s">
        <v>418</v>
      </c>
      <c r="B5" s="233" t="s">
        <v>464</v>
      </c>
      <c r="C5" s="235" t="s">
        <v>77</v>
      </c>
      <c r="D5" s="234" t="s">
        <v>15</v>
      </c>
      <c r="E5" s="234" t="s">
        <v>15</v>
      </c>
      <c r="F5" s="234" t="s">
        <v>14</v>
      </c>
      <c r="G5" s="234" t="s">
        <v>125</v>
      </c>
      <c r="H5" s="236">
        <v>15500</v>
      </c>
      <c r="I5" s="236">
        <v>0</v>
      </c>
      <c r="J5" s="236">
        <v>0</v>
      </c>
      <c r="K5" s="236"/>
      <c r="L5" s="237">
        <f t="shared" ref="L5:L32" si="0">SUM(H5:K5)</f>
        <v>15500</v>
      </c>
      <c r="M5" s="455">
        <v>15474.1</v>
      </c>
      <c r="N5" s="460">
        <f t="shared" ref="N5:N32" si="1">+H5-M5</f>
        <v>25.899999999999636</v>
      </c>
      <c r="O5" s="260">
        <f t="shared" ref="O5:O32" si="2">+N5</f>
        <v>25.899999999999636</v>
      </c>
      <c r="P5" s="260"/>
      <c r="Q5" s="623">
        <f t="shared" ref="Q5:Q32" si="3">+O5-P5</f>
        <v>25.899999999999636</v>
      </c>
      <c r="R5" s="624"/>
      <c r="S5" s="842"/>
      <c r="T5" s="625">
        <f t="shared" ref="T5:T32" si="4">+O5-S5</f>
        <v>25.899999999999636</v>
      </c>
      <c r="U5" s="617">
        <f t="shared" ref="U5:U32" si="5">+T5+S5</f>
        <v>25.899999999999636</v>
      </c>
      <c r="V5" s="390">
        <f>+I5</f>
        <v>0</v>
      </c>
      <c r="W5" s="390"/>
      <c r="X5" s="392">
        <f>+V5+U5</f>
        <v>25.899999999999636</v>
      </c>
      <c r="Y5" s="885"/>
      <c r="Z5" s="392">
        <f>+X5-Y5</f>
        <v>25.899999999999636</v>
      </c>
      <c r="AA5" s="392">
        <v>0</v>
      </c>
      <c r="AB5" s="878">
        <f t="shared" ref="AB5:AB11" si="6">+AA5+Z5</f>
        <v>25.899999999999636</v>
      </c>
      <c r="AC5" s="391">
        <f>+H5+I5+J5</f>
        <v>15500</v>
      </c>
      <c r="AD5" s="392">
        <f t="shared" ref="AD5:AD32" si="7">+M5</f>
        <v>15474.1</v>
      </c>
      <c r="AE5" s="393"/>
      <c r="AF5" s="389"/>
      <c r="AG5" s="463"/>
      <c r="AH5" s="393">
        <f t="shared" ref="AH5:AH32" si="8">SUM(AD5:AG5)</f>
        <v>15474.1</v>
      </c>
      <c r="AI5" s="467">
        <f t="shared" ref="AI5:AI36" si="9">+AH5/AC5</f>
        <v>0.99832903225806457</v>
      </c>
      <c r="AJ5" s="402"/>
      <c r="AK5" s="224">
        <v>1</v>
      </c>
      <c r="AL5" s="402"/>
    </row>
    <row r="6" spans="1:38" ht="14.1" customHeight="1" x14ac:dyDescent="0.2">
      <c r="B6" s="238" t="s">
        <v>464</v>
      </c>
      <c r="C6" s="240" t="s">
        <v>77</v>
      </c>
      <c r="D6" s="239" t="s">
        <v>15</v>
      </c>
      <c r="E6" s="239" t="s">
        <v>15</v>
      </c>
      <c r="F6" s="239" t="s">
        <v>412</v>
      </c>
      <c r="G6" s="239" t="s">
        <v>126</v>
      </c>
      <c r="H6" s="241">
        <v>72065</v>
      </c>
      <c r="I6" s="241">
        <v>440</v>
      </c>
      <c r="J6" s="241">
        <v>11990</v>
      </c>
      <c r="K6" s="241"/>
      <c r="L6" s="242">
        <f t="shared" si="0"/>
        <v>84495</v>
      </c>
      <c r="M6" s="456">
        <v>71483.42</v>
      </c>
      <c r="N6" s="461">
        <f t="shared" si="1"/>
        <v>581.58000000000175</v>
      </c>
      <c r="O6" s="261">
        <f t="shared" si="2"/>
        <v>581.58000000000175</v>
      </c>
      <c r="P6" s="261"/>
      <c r="Q6" s="626">
        <f t="shared" si="3"/>
        <v>581.58000000000175</v>
      </c>
      <c r="R6" s="627"/>
      <c r="S6" s="628"/>
      <c r="T6" s="629">
        <f t="shared" si="4"/>
        <v>581.58000000000175</v>
      </c>
      <c r="U6" s="618">
        <f t="shared" si="5"/>
        <v>581.58000000000175</v>
      </c>
      <c r="V6" s="395">
        <f>+I6</f>
        <v>440</v>
      </c>
      <c r="W6" s="395"/>
      <c r="X6" s="856">
        <v>1022</v>
      </c>
      <c r="Y6" s="790">
        <v>894.16</v>
      </c>
      <c r="Z6" s="789">
        <f>+X6-Y6+0.58</f>
        <v>128.42000000000004</v>
      </c>
      <c r="AA6" s="392">
        <v>11990</v>
      </c>
      <c r="AB6" s="877">
        <f t="shared" si="6"/>
        <v>12118.42</v>
      </c>
      <c r="AC6" s="391">
        <f>+H6+I6+J6</f>
        <v>84495</v>
      </c>
      <c r="AD6" s="396">
        <f t="shared" si="7"/>
        <v>71483.42</v>
      </c>
      <c r="AE6" s="397">
        <v>894.16</v>
      </c>
      <c r="AF6" s="394">
        <v>9773.18</v>
      </c>
      <c r="AG6" s="464">
        <v>391.23</v>
      </c>
      <c r="AH6" s="397">
        <f t="shared" si="8"/>
        <v>82541.990000000005</v>
      </c>
      <c r="AI6" s="399">
        <f t="shared" si="9"/>
        <v>0.9768860879341974</v>
      </c>
      <c r="AJ6" s="402"/>
      <c r="AK6" s="224">
        <v>2</v>
      </c>
      <c r="AL6" s="402"/>
    </row>
    <row r="7" spans="1:38" ht="14.1" customHeight="1" x14ac:dyDescent="0.2">
      <c r="B7" s="238" t="s">
        <v>464</v>
      </c>
      <c r="C7" s="240" t="s">
        <v>77</v>
      </c>
      <c r="D7" s="239" t="s">
        <v>15</v>
      </c>
      <c r="E7" s="239" t="s">
        <v>15</v>
      </c>
      <c r="F7" s="239" t="s">
        <v>18</v>
      </c>
      <c r="G7" s="239" t="s">
        <v>127</v>
      </c>
      <c r="H7" s="241">
        <v>17651</v>
      </c>
      <c r="I7" s="241">
        <v>0</v>
      </c>
      <c r="J7" s="241">
        <v>0</v>
      </c>
      <c r="K7" s="241"/>
      <c r="L7" s="242">
        <f t="shared" si="0"/>
        <v>17651</v>
      </c>
      <c r="M7" s="456">
        <v>17569.900000000001</v>
      </c>
      <c r="N7" s="461">
        <f t="shared" si="1"/>
        <v>81.099999999998545</v>
      </c>
      <c r="O7" s="261">
        <f t="shared" si="2"/>
        <v>81.099999999998545</v>
      </c>
      <c r="P7" s="261"/>
      <c r="Q7" s="626">
        <f t="shared" si="3"/>
        <v>81.099999999998545</v>
      </c>
      <c r="R7" s="627"/>
      <c r="S7" s="628"/>
      <c r="T7" s="629">
        <f t="shared" si="4"/>
        <v>81.099999999998545</v>
      </c>
      <c r="U7" s="618">
        <f t="shared" si="5"/>
        <v>81.099999999998545</v>
      </c>
      <c r="V7" s="395">
        <f>+I7</f>
        <v>0</v>
      </c>
      <c r="W7" s="395"/>
      <c r="X7" s="396">
        <f t="shared" ref="X7:X32" si="10">+V7+U7</f>
        <v>81.099999999998545</v>
      </c>
      <c r="Y7" s="790"/>
      <c r="Z7" s="392">
        <f>+X7-Y7</f>
        <v>81.099999999998545</v>
      </c>
      <c r="AA7" s="392">
        <v>0</v>
      </c>
      <c r="AB7" s="877">
        <f t="shared" si="6"/>
        <v>81.099999999998545</v>
      </c>
      <c r="AC7" s="391">
        <f>+H7+I7+J7</f>
        <v>17651</v>
      </c>
      <c r="AD7" s="396">
        <f t="shared" si="7"/>
        <v>17569.900000000001</v>
      </c>
      <c r="AE7" s="397"/>
      <c r="AF7" s="394"/>
      <c r="AG7" s="464"/>
      <c r="AH7" s="397">
        <f t="shared" si="8"/>
        <v>17569.900000000001</v>
      </c>
      <c r="AI7" s="399">
        <f t="shared" si="9"/>
        <v>0.99540535946971853</v>
      </c>
      <c r="AJ7" s="402"/>
      <c r="AK7" s="224">
        <v>3</v>
      </c>
      <c r="AL7" s="402"/>
    </row>
    <row r="8" spans="1:38" ht="14.1" customHeight="1" x14ac:dyDescent="0.2">
      <c r="B8" s="238" t="s">
        <v>464</v>
      </c>
      <c r="C8" s="240" t="s">
        <v>77</v>
      </c>
      <c r="D8" s="239" t="s">
        <v>15</v>
      </c>
      <c r="E8" s="239" t="s">
        <v>15</v>
      </c>
      <c r="F8" s="239" t="s">
        <v>16</v>
      </c>
      <c r="G8" s="239" t="s">
        <v>128</v>
      </c>
      <c r="H8" s="241">
        <v>25000</v>
      </c>
      <c r="I8" s="241" t="s">
        <v>94</v>
      </c>
      <c r="J8" s="241" t="s">
        <v>94</v>
      </c>
      <c r="K8" s="241"/>
      <c r="L8" s="242">
        <f t="shared" si="0"/>
        <v>25000</v>
      </c>
      <c r="M8" s="456">
        <v>21965.23</v>
      </c>
      <c r="N8" s="461">
        <f t="shared" si="1"/>
        <v>3034.7700000000004</v>
      </c>
      <c r="O8" s="261">
        <f t="shared" si="2"/>
        <v>3034.7700000000004</v>
      </c>
      <c r="P8" s="261"/>
      <c r="Q8" s="626">
        <f t="shared" si="3"/>
        <v>3034.7700000000004</v>
      </c>
      <c r="R8" s="627"/>
      <c r="S8" s="628"/>
      <c r="T8" s="629">
        <f t="shared" si="4"/>
        <v>3034.7700000000004</v>
      </c>
      <c r="U8" s="618">
        <f t="shared" si="5"/>
        <v>3034.7700000000004</v>
      </c>
      <c r="V8" s="395"/>
      <c r="W8" s="395"/>
      <c r="X8" s="396">
        <f t="shared" si="10"/>
        <v>3034.7700000000004</v>
      </c>
      <c r="Y8" s="790"/>
      <c r="Z8" s="392">
        <f>+X8-Y8</f>
        <v>3034.7700000000004</v>
      </c>
      <c r="AA8" s="392">
        <v>0</v>
      </c>
      <c r="AB8" s="877">
        <f t="shared" si="6"/>
        <v>3034.7700000000004</v>
      </c>
      <c r="AC8" s="391">
        <f>+H8</f>
        <v>25000</v>
      </c>
      <c r="AD8" s="396">
        <f t="shared" si="7"/>
        <v>21965.23</v>
      </c>
      <c r="AE8" s="397"/>
      <c r="AF8" s="394"/>
      <c r="AG8" s="464"/>
      <c r="AH8" s="397">
        <f t="shared" si="8"/>
        <v>21965.23</v>
      </c>
      <c r="AI8" s="399">
        <f t="shared" si="9"/>
        <v>0.87860919999999998</v>
      </c>
      <c r="AJ8" s="402"/>
      <c r="AK8" s="224">
        <v>4</v>
      </c>
      <c r="AL8" s="402"/>
    </row>
    <row r="9" spans="1:38" ht="14.1" customHeight="1" x14ac:dyDescent="0.2">
      <c r="B9" s="238" t="s">
        <v>464</v>
      </c>
      <c r="C9" s="240" t="s">
        <v>77</v>
      </c>
      <c r="D9" s="239" t="s">
        <v>15</v>
      </c>
      <c r="E9" s="239" t="s">
        <v>15</v>
      </c>
      <c r="F9" s="239" t="s">
        <v>37</v>
      </c>
      <c r="G9" s="239" t="s">
        <v>129</v>
      </c>
      <c r="H9" s="241">
        <v>181471</v>
      </c>
      <c r="I9" s="241">
        <v>150513</v>
      </c>
      <c r="J9" s="241">
        <v>150513</v>
      </c>
      <c r="K9" s="241"/>
      <c r="L9" s="242">
        <f t="shared" si="0"/>
        <v>482497</v>
      </c>
      <c r="M9" s="456">
        <v>42817.4</v>
      </c>
      <c r="N9" s="461">
        <f t="shared" si="1"/>
        <v>138653.6</v>
      </c>
      <c r="O9" s="261">
        <f t="shared" si="2"/>
        <v>138653.6</v>
      </c>
      <c r="P9" s="261"/>
      <c r="Q9" s="626">
        <f t="shared" si="3"/>
        <v>138653.6</v>
      </c>
      <c r="R9" s="627"/>
      <c r="S9" s="628"/>
      <c r="T9" s="629">
        <f t="shared" si="4"/>
        <v>138653.6</v>
      </c>
      <c r="U9" s="618">
        <f t="shared" si="5"/>
        <v>138653.6</v>
      </c>
      <c r="V9" s="395">
        <f t="shared" ref="V9:V24" si="11">+I9</f>
        <v>150513</v>
      </c>
      <c r="W9" s="395"/>
      <c r="X9" s="396">
        <f t="shared" si="10"/>
        <v>289166.59999999998</v>
      </c>
      <c r="Y9" s="790">
        <v>177692.25</v>
      </c>
      <c r="Z9" s="789">
        <f>+X9-Y9+0.65</f>
        <v>111474.99999999997</v>
      </c>
      <c r="AA9" s="392">
        <v>150513</v>
      </c>
      <c r="AB9" s="877">
        <f t="shared" si="6"/>
        <v>261987.99999999997</v>
      </c>
      <c r="AC9" s="391">
        <f t="shared" ref="AC9:AC24" si="12">+H9+I9+J9</f>
        <v>482497</v>
      </c>
      <c r="AD9" s="396">
        <f t="shared" si="7"/>
        <v>42817.4</v>
      </c>
      <c r="AE9" s="397">
        <v>177692.25</v>
      </c>
      <c r="AF9" s="394">
        <v>15801</v>
      </c>
      <c r="AG9" s="464">
        <v>6720</v>
      </c>
      <c r="AH9" s="397">
        <f t="shared" si="8"/>
        <v>243030.65</v>
      </c>
      <c r="AI9" s="399">
        <f t="shared" si="9"/>
        <v>0.50369359809491043</v>
      </c>
      <c r="AJ9" s="402"/>
      <c r="AK9" s="224">
        <v>5</v>
      </c>
      <c r="AL9" s="402"/>
    </row>
    <row r="10" spans="1:38" ht="14.1" customHeight="1" x14ac:dyDescent="0.2">
      <c r="B10" s="238" t="s">
        <v>464</v>
      </c>
      <c r="C10" s="240" t="s">
        <v>77</v>
      </c>
      <c r="D10" s="239" t="s">
        <v>29</v>
      </c>
      <c r="E10" s="239" t="s">
        <v>29</v>
      </c>
      <c r="F10" s="239" t="s">
        <v>28</v>
      </c>
      <c r="G10" s="239" t="s">
        <v>130</v>
      </c>
      <c r="H10" s="241">
        <v>42027</v>
      </c>
      <c r="I10" s="241">
        <v>0</v>
      </c>
      <c r="J10" s="241">
        <v>1689</v>
      </c>
      <c r="K10" s="241"/>
      <c r="L10" s="242">
        <f t="shared" si="0"/>
        <v>43716</v>
      </c>
      <c r="M10" s="456">
        <v>38741.58</v>
      </c>
      <c r="N10" s="461">
        <f t="shared" si="1"/>
        <v>3285.4199999999983</v>
      </c>
      <c r="O10" s="261">
        <f t="shared" si="2"/>
        <v>3285.4199999999983</v>
      </c>
      <c r="P10" s="261"/>
      <c r="Q10" s="626">
        <f t="shared" si="3"/>
        <v>3285.4199999999983</v>
      </c>
      <c r="R10" s="627"/>
      <c r="S10" s="628"/>
      <c r="T10" s="629">
        <f t="shared" si="4"/>
        <v>3285.4199999999983</v>
      </c>
      <c r="U10" s="618">
        <f t="shared" si="5"/>
        <v>3285.4199999999983</v>
      </c>
      <c r="V10" s="395">
        <f t="shared" si="11"/>
        <v>0</v>
      </c>
      <c r="W10" s="395"/>
      <c r="X10" s="396">
        <f t="shared" si="10"/>
        <v>3285.4199999999983</v>
      </c>
      <c r="Y10" s="790">
        <v>2791.18</v>
      </c>
      <c r="Z10" s="392">
        <f t="shared" ref="Z10:Z26" si="13">+X10-Y10</f>
        <v>494.23999999999842</v>
      </c>
      <c r="AA10" s="392">
        <v>1689</v>
      </c>
      <c r="AB10" s="877">
        <f t="shared" si="6"/>
        <v>2183.2399999999984</v>
      </c>
      <c r="AC10" s="391">
        <f t="shared" si="12"/>
        <v>43716</v>
      </c>
      <c r="AD10" s="396">
        <f t="shared" si="7"/>
        <v>38741.58</v>
      </c>
      <c r="AE10" s="397">
        <v>2791</v>
      </c>
      <c r="AF10" s="394"/>
      <c r="AG10" s="464"/>
      <c r="AH10" s="397">
        <f t="shared" si="8"/>
        <v>41532.58</v>
      </c>
      <c r="AI10" s="468">
        <f t="shared" si="9"/>
        <v>0.95005444230945191</v>
      </c>
      <c r="AJ10" s="402"/>
      <c r="AK10" s="224">
        <v>6</v>
      </c>
      <c r="AL10" s="402"/>
    </row>
    <row r="11" spans="1:38" ht="14.1" customHeight="1" x14ac:dyDescent="0.2">
      <c r="B11" s="238" t="s">
        <v>464</v>
      </c>
      <c r="C11" s="240" t="s">
        <v>77</v>
      </c>
      <c r="D11" s="239" t="s">
        <v>29</v>
      </c>
      <c r="E11" s="387" t="s">
        <v>29</v>
      </c>
      <c r="F11" s="239" t="s">
        <v>36</v>
      </c>
      <c r="G11" s="239" t="s">
        <v>131</v>
      </c>
      <c r="H11" s="241">
        <v>4056</v>
      </c>
      <c r="I11" s="241">
        <v>0</v>
      </c>
      <c r="J11" s="241">
        <v>0</v>
      </c>
      <c r="K11" s="241"/>
      <c r="L11" s="242">
        <f t="shared" si="0"/>
        <v>4056</v>
      </c>
      <c r="M11" s="456">
        <v>285</v>
      </c>
      <c r="N11" s="461">
        <f t="shared" si="1"/>
        <v>3771</v>
      </c>
      <c r="O11" s="261">
        <f t="shared" si="2"/>
        <v>3771</v>
      </c>
      <c r="P11" s="261"/>
      <c r="Q11" s="626">
        <f t="shared" si="3"/>
        <v>3771</v>
      </c>
      <c r="R11" s="627"/>
      <c r="S11" s="628"/>
      <c r="T11" s="629">
        <f t="shared" si="4"/>
        <v>3771</v>
      </c>
      <c r="U11" s="618">
        <f t="shared" si="5"/>
        <v>3771</v>
      </c>
      <c r="V11" s="395">
        <f t="shared" si="11"/>
        <v>0</v>
      </c>
      <c r="W11" s="395"/>
      <c r="X11" s="396">
        <f t="shared" si="10"/>
        <v>3771</v>
      </c>
      <c r="Y11" s="790">
        <v>3155.57</v>
      </c>
      <c r="Z11" s="392">
        <f t="shared" si="13"/>
        <v>615.42999999999984</v>
      </c>
      <c r="AA11" s="392">
        <v>0</v>
      </c>
      <c r="AB11" s="877">
        <f t="shared" si="6"/>
        <v>615.42999999999984</v>
      </c>
      <c r="AC11" s="391">
        <f t="shared" si="12"/>
        <v>4056</v>
      </c>
      <c r="AD11" s="396">
        <f t="shared" si="7"/>
        <v>285</v>
      </c>
      <c r="AE11" s="397">
        <v>3156</v>
      </c>
      <c r="AF11" s="394"/>
      <c r="AG11" s="464"/>
      <c r="AH11" s="397">
        <f t="shared" si="8"/>
        <v>3441</v>
      </c>
      <c r="AI11" s="399">
        <f t="shared" si="9"/>
        <v>0.84837278106508873</v>
      </c>
      <c r="AJ11" s="402"/>
      <c r="AK11" s="224">
        <v>7</v>
      </c>
      <c r="AL11" s="402"/>
    </row>
    <row r="12" spans="1:38" ht="14.1" customHeight="1" x14ac:dyDescent="0.2">
      <c r="B12" s="238" t="s">
        <v>464</v>
      </c>
      <c r="C12" s="240" t="s">
        <v>77</v>
      </c>
      <c r="D12" s="239" t="s">
        <v>11</v>
      </c>
      <c r="E12" s="616" t="s">
        <v>11</v>
      </c>
      <c r="F12" s="239" t="s">
        <v>19</v>
      </c>
      <c r="G12" s="239" t="s">
        <v>132</v>
      </c>
      <c r="H12" s="241">
        <v>5500</v>
      </c>
      <c r="I12" s="241">
        <v>0</v>
      </c>
      <c r="J12" s="241">
        <v>0</v>
      </c>
      <c r="K12" s="241"/>
      <c r="L12" s="242">
        <f t="shared" si="0"/>
        <v>5500</v>
      </c>
      <c r="M12" s="456">
        <v>5494.46</v>
      </c>
      <c r="N12" s="461">
        <f t="shared" si="1"/>
        <v>5.5399999999999636</v>
      </c>
      <c r="O12" s="261">
        <f t="shared" si="2"/>
        <v>5.5399999999999636</v>
      </c>
      <c r="P12" s="261">
        <v>5500</v>
      </c>
      <c r="Q12" s="626">
        <f t="shared" si="3"/>
        <v>-5494.46</v>
      </c>
      <c r="R12" s="627">
        <v>-5494</v>
      </c>
      <c r="S12" s="626">
        <f t="shared" ref="S12:S32" si="14">+R12+P12</f>
        <v>6</v>
      </c>
      <c r="T12" s="629">
        <f t="shared" si="4"/>
        <v>-0.46000000000003638</v>
      </c>
      <c r="U12" s="618">
        <f t="shared" si="5"/>
        <v>5.5399999999999636</v>
      </c>
      <c r="V12" s="395">
        <f t="shared" si="11"/>
        <v>0</v>
      </c>
      <c r="W12" s="395"/>
      <c r="X12" s="396">
        <f t="shared" si="10"/>
        <v>5.5399999999999636</v>
      </c>
      <c r="Y12" s="790"/>
      <c r="Z12" s="788">
        <f t="shared" si="13"/>
        <v>5.5399999999999636</v>
      </c>
      <c r="AA12" s="392">
        <v>0</v>
      </c>
      <c r="AB12" s="877"/>
      <c r="AC12" s="391">
        <f t="shared" si="12"/>
        <v>5500</v>
      </c>
      <c r="AD12" s="396">
        <f t="shared" si="7"/>
        <v>5494.46</v>
      </c>
      <c r="AE12" s="397"/>
      <c r="AF12" s="394"/>
      <c r="AG12" s="464"/>
      <c r="AH12" s="397">
        <f t="shared" si="8"/>
        <v>5494.46</v>
      </c>
      <c r="AI12" s="399">
        <f t="shared" si="9"/>
        <v>0.99899272727272725</v>
      </c>
      <c r="AJ12" s="787"/>
      <c r="AK12" s="224">
        <v>8</v>
      </c>
    </row>
    <row r="13" spans="1:38" ht="14.1" customHeight="1" x14ac:dyDescent="0.2">
      <c r="B13" s="238" t="s">
        <v>464</v>
      </c>
      <c r="C13" s="240" t="s">
        <v>77</v>
      </c>
      <c r="D13" s="239" t="s">
        <v>11</v>
      </c>
      <c r="E13" s="252" t="s">
        <v>11</v>
      </c>
      <c r="F13" s="239" t="s">
        <v>38</v>
      </c>
      <c r="G13" s="239" t="s">
        <v>133</v>
      </c>
      <c r="H13" s="241">
        <v>35125</v>
      </c>
      <c r="I13" s="241">
        <v>0</v>
      </c>
      <c r="J13" s="241">
        <v>0</v>
      </c>
      <c r="K13" s="241"/>
      <c r="L13" s="242">
        <f t="shared" si="0"/>
        <v>35125</v>
      </c>
      <c r="M13" s="456">
        <v>35123.339999999997</v>
      </c>
      <c r="N13" s="461">
        <f t="shared" si="1"/>
        <v>1.6600000000034925</v>
      </c>
      <c r="O13" s="261">
        <f t="shared" si="2"/>
        <v>1.6600000000034925</v>
      </c>
      <c r="P13" s="261">
        <v>3669</v>
      </c>
      <c r="Q13" s="626">
        <f t="shared" si="3"/>
        <v>-3667.3399999999965</v>
      </c>
      <c r="R13" s="627">
        <v>-3667</v>
      </c>
      <c r="S13" s="626">
        <f t="shared" si="14"/>
        <v>2</v>
      </c>
      <c r="T13" s="629">
        <f t="shared" si="4"/>
        <v>-0.33999999999650754</v>
      </c>
      <c r="U13" s="618">
        <f t="shared" si="5"/>
        <v>1.6600000000034925</v>
      </c>
      <c r="V13" s="395">
        <f t="shared" si="11"/>
        <v>0</v>
      </c>
      <c r="W13" s="395"/>
      <c r="X13" s="396">
        <f t="shared" si="10"/>
        <v>1.6600000000034925</v>
      </c>
      <c r="Y13" s="790"/>
      <c r="Z13" s="788">
        <f t="shared" si="13"/>
        <v>1.6600000000034925</v>
      </c>
      <c r="AA13" s="392">
        <v>0</v>
      </c>
      <c r="AB13" s="877"/>
      <c r="AC13" s="391">
        <f t="shared" si="12"/>
        <v>35125</v>
      </c>
      <c r="AD13" s="396">
        <f t="shared" si="7"/>
        <v>35123.339999999997</v>
      </c>
      <c r="AE13" s="397"/>
      <c r="AF13" s="394"/>
      <c r="AG13" s="464"/>
      <c r="AH13" s="397">
        <f t="shared" si="8"/>
        <v>35123.339999999997</v>
      </c>
      <c r="AI13" s="399">
        <f t="shared" si="9"/>
        <v>0.99995274021352298</v>
      </c>
      <c r="AK13" s="224">
        <v>9</v>
      </c>
    </row>
    <row r="14" spans="1:38" ht="14.1" customHeight="1" x14ac:dyDescent="0.2">
      <c r="B14" s="238" t="s">
        <v>464</v>
      </c>
      <c r="C14" s="240" t="s">
        <v>77</v>
      </c>
      <c r="D14" s="239" t="s">
        <v>11</v>
      </c>
      <c r="E14" s="239" t="s">
        <v>11</v>
      </c>
      <c r="F14" s="239" t="s">
        <v>17</v>
      </c>
      <c r="G14" s="239" t="s">
        <v>134</v>
      </c>
      <c r="H14" s="241">
        <v>22500</v>
      </c>
      <c r="I14" s="241">
        <v>0</v>
      </c>
      <c r="J14" s="241">
        <v>0</v>
      </c>
      <c r="K14" s="241"/>
      <c r="L14" s="242">
        <f t="shared" si="0"/>
        <v>22500</v>
      </c>
      <c r="M14" s="456">
        <v>21432.67</v>
      </c>
      <c r="N14" s="461">
        <f t="shared" si="1"/>
        <v>1067.3300000000017</v>
      </c>
      <c r="O14" s="261">
        <f t="shared" si="2"/>
        <v>1067.3300000000017</v>
      </c>
      <c r="P14" s="261">
        <v>1272</v>
      </c>
      <c r="Q14" s="626">
        <f t="shared" si="3"/>
        <v>-204.66999999999825</v>
      </c>
      <c r="R14" s="627">
        <v>-205</v>
      </c>
      <c r="S14" s="626">
        <f t="shared" si="14"/>
        <v>1067</v>
      </c>
      <c r="T14" s="629">
        <f t="shared" si="4"/>
        <v>0.33000000000174623</v>
      </c>
      <c r="U14" s="618">
        <f t="shared" si="5"/>
        <v>1067.3300000000017</v>
      </c>
      <c r="V14" s="395">
        <f t="shared" si="11"/>
        <v>0</v>
      </c>
      <c r="W14" s="395"/>
      <c r="X14" s="396">
        <f t="shared" si="10"/>
        <v>1067.3300000000017</v>
      </c>
      <c r="Y14" s="790">
        <v>184.89</v>
      </c>
      <c r="Z14" s="392">
        <f t="shared" si="13"/>
        <v>882.44000000000176</v>
      </c>
      <c r="AA14" s="392">
        <v>0</v>
      </c>
      <c r="AB14" s="877">
        <f t="shared" ref="AB14:AB19" si="15">+AA14+Z14</f>
        <v>882.44000000000176</v>
      </c>
      <c r="AC14" s="391">
        <f t="shared" si="12"/>
        <v>22500</v>
      </c>
      <c r="AD14" s="396">
        <f t="shared" si="7"/>
        <v>21432.67</v>
      </c>
      <c r="AE14" s="397">
        <v>184.89</v>
      </c>
      <c r="AF14" s="394"/>
      <c r="AG14" s="464"/>
      <c r="AH14" s="397">
        <f t="shared" si="8"/>
        <v>21617.559999999998</v>
      </c>
      <c r="AI14" s="399">
        <f t="shared" si="9"/>
        <v>0.96078044444444433</v>
      </c>
      <c r="AK14" s="224">
        <v>10</v>
      </c>
    </row>
    <row r="15" spans="1:38" ht="14.1" customHeight="1" x14ac:dyDescent="0.2">
      <c r="B15" s="238" t="s">
        <v>464</v>
      </c>
      <c r="C15" s="240" t="s">
        <v>77</v>
      </c>
      <c r="D15" s="239" t="s">
        <v>11</v>
      </c>
      <c r="E15" s="239" t="s">
        <v>11</v>
      </c>
      <c r="F15" s="239" t="s">
        <v>10</v>
      </c>
      <c r="G15" s="239" t="s">
        <v>135</v>
      </c>
      <c r="H15" s="241">
        <v>15000</v>
      </c>
      <c r="I15" s="241">
        <v>0</v>
      </c>
      <c r="J15" s="241">
        <v>0</v>
      </c>
      <c r="K15" s="241"/>
      <c r="L15" s="242">
        <f t="shared" si="0"/>
        <v>15000</v>
      </c>
      <c r="M15" s="456">
        <v>4820</v>
      </c>
      <c r="N15" s="461">
        <f t="shared" si="1"/>
        <v>10180</v>
      </c>
      <c r="O15" s="261">
        <f t="shared" si="2"/>
        <v>10180</v>
      </c>
      <c r="P15" s="261">
        <v>10180</v>
      </c>
      <c r="Q15" s="626">
        <f t="shared" si="3"/>
        <v>0</v>
      </c>
      <c r="R15" s="627"/>
      <c r="S15" s="626">
        <f t="shared" si="14"/>
        <v>10180</v>
      </c>
      <c r="T15" s="629">
        <f t="shared" si="4"/>
        <v>0</v>
      </c>
      <c r="U15" s="618">
        <f t="shared" si="5"/>
        <v>10180</v>
      </c>
      <c r="V15" s="395">
        <f t="shared" si="11"/>
        <v>0</v>
      </c>
      <c r="W15" s="395"/>
      <c r="X15" s="396">
        <f t="shared" si="10"/>
        <v>10180</v>
      </c>
      <c r="Y15" s="790"/>
      <c r="Z15" s="392">
        <f t="shared" si="13"/>
        <v>10180</v>
      </c>
      <c r="AA15" s="392">
        <v>0</v>
      </c>
      <c r="AB15" s="877">
        <f t="shared" si="15"/>
        <v>10180</v>
      </c>
      <c r="AC15" s="391">
        <f t="shared" si="12"/>
        <v>15000</v>
      </c>
      <c r="AD15" s="396">
        <f t="shared" si="7"/>
        <v>4820</v>
      </c>
      <c r="AE15" s="397"/>
      <c r="AF15" s="394"/>
      <c r="AG15" s="464"/>
      <c r="AH15" s="397">
        <f t="shared" si="8"/>
        <v>4820</v>
      </c>
      <c r="AI15" s="399">
        <f t="shared" si="9"/>
        <v>0.32133333333333336</v>
      </c>
      <c r="AK15" s="224">
        <v>11</v>
      </c>
    </row>
    <row r="16" spans="1:38" ht="14.1" customHeight="1" x14ac:dyDescent="0.2">
      <c r="B16" s="238" t="s">
        <v>464</v>
      </c>
      <c r="C16" s="240" t="s">
        <v>77</v>
      </c>
      <c r="D16" s="239" t="s">
        <v>25</v>
      </c>
      <c r="E16" s="239" t="s">
        <v>25</v>
      </c>
      <c r="F16" s="239" t="s">
        <v>45</v>
      </c>
      <c r="G16" s="239" t="s">
        <v>136</v>
      </c>
      <c r="H16" s="241">
        <v>90500</v>
      </c>
      <c r="I16" s="241">
        <v>32500</v>
      </c>
      <c r="J16" s="241">
        <v>32500</v>
      </c>
      <c r="K16" s="241"/>
      <c r="L16" s="242">
        <f t="shared" si="0"/>
        <v>155500</v>
      </c>
      <c r="M16" s="456">
        <v>332.4</v>
      </c>
      <c r="N16" s="461">
        <f t="shared" si="1"/>
        <v>90167.6</v>
      </c>
      <c r="O16" s="261">
        <f t="shared" si="2"/>
        <v>90167.6</v>
      </c>
      <c r="P16" s="261"/>
      <c r="Q16" s="626">
        <f t="shared" si="3"/>
        <v>90167.6</v>
      </c>
      <c r="R16" s="627"/>
      <c r="S16" s="626">
        <f t="shared" si="14"/>
        <v>0</v>
      </c>
      <c r="T16" s="629">
        <f t="shared" si="4"/>
        <v>90167.6</v>
      </c>
      <c r="U16" s="618">
        <f t="shared" si="5"/>
        <v>90167.6</v>
      </c>
      <c r="V16" s="395">
        <f t="shared" si="11"/>
        <v>32500</v>
      </c>
      <c r="W16" s="395"/>
      <c r="X16" s="396">
        <f t="shared" si="10"/>
        <v>122667.6</v>
      </c>
      <c r="Y16" s="790">
        <v>90167.6</v>
      </c>
      <c r="Z16" s="392">
        <f t="shared" si="13"/>
        <v>32500</v>
      </c>
      <c r="AA16" s="392">
        <v>32500</v>
      </c>
      <c r="AB16" s="877">
        <f t="shared" si="15"/>
        <v>65000</v>
      </c>
      <c r="AC16" s="391">
        <f t="shared" si="12"/>
        <v>155500</v>
      </c>
      <c r="AD16" s="396">
        <f t="shared" si="7"/>
        <v>332.4</v>
      </c>
      <c r="AE16" s="397">
        <v>90167.6</v>
      </c>
      <c r="AF16" s="394"/>
      <c r="AG16" s="464"/>
      <c r="AH16" s="397">
        <f t="shared" si="8"/>
        <v>90500</v>
      </c>
      <c r="AI16" s="399">
        <f t="shared" si="9"/>
        <v>0.58199356913183276</v>
      </c>
      <c r="AK16" s="224">
        <v>12</v>
      </c>
    </row>
    <row r="17" spans="2:38" ht="14.1" customHeight="1" x14ac:dyDescent="0.2">
      <c r="B17" s="238" t="s">
        <v>464</v>
      </c>
      <c r="C17" s="240" t="s">
        <v>77</v>
      </c>
      <c r="D17" s="239" t="s">
        <v>25</v>
      </c>
      <c r="E17" s="239" t="s">
        <v>25</v>
      </c>
      <c r="F17" s="239" t="s">
        <v>47</v>
      </c>
      <c r="G17" s="239" t="s">
        <v>137</v>
      </c>
      <c r="H17" s="241">
        <v>4774.16</v>
      </c>
      <c r="I17" s="241">
        <v>4774.16</v>
      </c>
      <c r="J17" s="241">
        <v>4774.16</v>
      </c>
      <c r="K17" s="241"/>
      <c r="L17" s="242">
        <f t="shared" si="0"/>
        <v>14322.48</v>
      </c>
      <c r="M17" s="456">
        <v>4774</v>
      </c>
      <c r="N17" s="461">
        <f t="shared" si="1"/>
        <v>0.15999999999985448</v>
      </c>
      <c r="O17" s="261">
        <f t="shared" si="2"/>
        <v>0.15999999999985448</v>
      </c>
      <c r="P17" s="261"/>
      <c r="Q17" s="626">
        <f t="shared" si="3"/>
        <v>0.15999999999985448</v>
      </c>
      <c r="R17" s="627"/>
      <c r="S17" s="626">
        <f t="shared" si="14"/>
        <v>0</v>
      </c>
      <c r="T17" s="629">
        <f t="shared" si="4"/>
        <v>0.15999999999985448</v>
      </c>
      <c r="U17" s="618">
        <f t="shared" si="5"/>
        <v>0.15999999999985448</v>
      </c>
      <c r="V17" s="395">
        <f t="shared" si="11"/>
        <v>4774.16</v>
      </c>
      <c r="W17" s="395"/>
      <c r="X17" s="396">
        <f t="shared" si="10"/>
        <v>4774.32</v>
      </c>
      <c r="Y17" s="790">
        <v>4774.16</v>
      </c>
      <c r="Z17" s="392">
        <f t="shared" si="13"/>
        <v>0.15999999999985448</v>
      </c>
      <c r="AA17" s="392">
        <v>4774.16</v>
      </c>
      <c r="AB17" s="877">
        <f t="shared" si="15"/>
        <v>4774.32</v>
      </c>
      <c r="AC17" s="391">
        <f t="shared" si="12"/>
        <v>14322.48</v>
      </c>
      <c r="AD17" s="396">
        <f t="shared" si="7"/>
        <v>4774</v>
      </c>
      <c r="AE17" s="397">
        <v>4774.16</v>
      </c>
      <c r="AF17" s="394"/>
      <c r="AG17" s="464">
        <v>0</v>
      </c>
      <c r="AH17" s="397">
        <f t="shared" si="8"/>
        <v>9548.16</v>
      </c>
      <c r="AI17" s="399">
        <f t="shared" si="9"/>
        <v>0.66665549541699487</v>
      </c>
      <c r="AK17" s="224">
        <v>13</v>
      </c>
    </row>
    <row r="18" spans="2:38" ht="14.1" customHeight="1" x14ac:dyDescent="0.25">
      <c r="B18" s="238" t="s">
        <v>464</v>
      </c>
      <c r="C18" s="240" t="s">
        <v>77</v>
      </c>
      <c r="D18" s="239" t="s">
        <v>21</v>
      </c>
      <c r="E18" s="239" t="s">
        <v>21</v>
      </c>
      <c r="F18" s="239" t="s">
        <v>23</v>
      </c>
      <c r="G18" s="239" t="s">
        <v>144</v>
      </c>
      <c r="H18" s="241">
        <v>5142</v>
      </c>
      <c r="I18" s="241">
        <v>60000</v>
      </c>
      <c r="J18" s="241">
        <v>0</v>
      </c>
      <c r="K18" s="241"/>
      <c r="L18" s="242">
        <f t="shared" si="0"/>
        <v>65142</v>
      </c>
      <c r="M18" s="456">
        <v>3296.5</v>
      </c>
      <c r="N18" s="461">
        <f t="shared" si="1"/>
        <v>1845.5</v>
      </c>
      <c r="O18" s="261">
        <f t="shared" si="2"/>
        <v>1845.5</v>
      </c>
      <c r="P18" s="398"/>
      <c r="Q18" s="626">
        <f t="shared" si="3"/>
        <v>1845.5</v>
      </c>
      <c r="R18" s="627"/>
      <c r="S18" s="626">
        <f t="shared" si="14"/>
        <v>0</v>
      </c>
      <c r="T18" s="629">
        <f t="shared" si="4"/>
        <v>1845.5</v>
      </c>
      <c r="U18" s="618">
        <f t="shared" si="5"/>
        <v>1845.5</v>
      </c>
      <c r="V18" s="395">
        <f t="shared" si="11"/>
        <v>60000</v>
      </c>
      <c r="W18" s="395"/>
      <c r="X18" s="396">
        <f t="shared" si="10"/>
        <v>61845.5</v>
      </c>
      <c r="Y18" s="790">
        <v>48851.51</v>
      </c>
      <c r="Z18" s="392">
        <f t="shared" si="13"/>
        <v>12993.989999999998</v>
      </c>
      <c r="AA18" s="392">
        <v>0</v>
      </c>
      <c r="AB18" s="877">
        <f t="shared" si="15"/>
        <v>12993.989999999998</v>
      </c>
      <c r="AC18" s="391">
        <f t="shared" si="12"/>
        <v>65142</v>
      </c>
      <c r="AD18" s="396">
        <f t="shared" si="7"/>
        <v>3296.5</v>
      </c>
      <c r="AE18" s="397">
        <v>48852</v>
      </c>
      <c r="AF18" s="394">
        <v>7459</v>
      </c>
      <c r="AG18" s="464">
        <v>3153</v>
      </c>
      <c r="AH18" s="397">
        <f t="shared" si="8"/>
        <v>62760.5</v>
      </c>
      <c r="AI18" s="399">
        <f t="shared" si="9"/>
        <v>0.96344140493076669</v>
      </c>
      <c r="AJ18" s="402"/>
      <c r="AK18" s="224">
        <v>14</v>
      </c>
      <c r="AL18" s="402"/>
    </row>
    <row r="19" spans="2:38" ht="14.1" customHeight="1" x14ac:dyDescent="0.2">
      <c r="B19" s="238" t="s">
        <v>464</v>
      </c>
      <c r="C19" s="240" t="s">
        <v>77</v>
      </c>
      <c r="D19" s="239" t="s">
        <v>27</v>
      </c>
      <c r="E19" s="239" t="s">
        <v>27</v>
      </c>
      <c r="F19" s="239" t="s">
        <v>39</v>
      </c>
      <c r="G19" s="239" t="s">
        <v>145</v>
      </c>
      <c r="H19" s="241">
        <v>23036</v>
      </c>
      <c r="I19" s="241">
        <v>1836</v>
      </c>
      <c r="J19" s="241">
        <v>1836</v>
      </c>
      <c r="K19" s="241"/>
      <c r="L19" s="242">
        <f t="shared" si="0"/>
        <v>26708</v>
      </c>
      <c r="M19" s="456">
        <v>19624.740000000002</v>
      </c>
      <c r="N19" s="461">
        <f t="shared" si="1"/>
        <v>3411.2599999999984</v>
      </c>
      <c r="O19" s="261">
        <f t="shared" si="2"/>
        <v>3411.2599999999984</v>
      </c>
      <c r="P19" s="261">
        <v>2000</v>
      </c>
      <c r="Q19" s="626">
        <f t="shared" si="3"/>
        <v>1411.2599999999984</v>
      </c>
      <c r="R19" s="627"/>
      <c r="S19" s="626">
        <f t="shared" si="14"/>
        <v>2000</v>
      </c>
      <c r="T19" s="629">
        <f t="shared" si="4"/>
        <v>1411.2599999999984</v>
      </c>
      <c r="U19" s="618">
        <f t="shared" si="5"/>
        <v>3411.2599999999984</v>
      </c>
      <c r="V19" s="395">
        <f t="shared" si="11"/>
        <v>1836</v>
      </c>
      <c r="W19" s="395"/>
      <c r="X19" s="396">
        <f t="shared" si="10"/>
        <v>5247.2599999999984</v>
      </c>
      <c r="Y19" s="790">
        <v>3692.42</v>
      </c>
      <c r="Z19" s="392">
        <f t="shared" si="13"/>
        <v>1554.8399999999983</v>
      </c>
      <c r="AA19" s="392">
        <v>1836</v>
      </c>
      <c r="AB19" s="877">
        <f t="shared" si="15"/>
        <v>3390.8399999999983</v>
      </c>
      <c r="AC19" s="391">
        <f t="shared" si="12"/>
        <v>26708</v>
      </c>
      <c r="AD19" s="396">
        <f t="shared" si="7"/>
        <v>19624.740000000002</v>
      </c>
      <c r="AE19" s="397">
        <v>3692.42</v>
      </c>
      <c r="AF19" s="394"/>
      <c r="AG19" s="464"/>
      <c r="AH19" s="397">
        <f t="shared" si="8"/>
        <v>23317.160000000003</v>
      </c>
      <c r="AI19" s="399">
        <f t="shared" si="9"/>
        <v>0.87304028755429097</v>
      </c>
      <c r="AK19" s="224">
        <v>15</v>
      </c>
    </row>
    <row r="20" spans="2:38" ht="14.1" customHeight="1" x14ac:dyDescent="0.2">
      <c r="B20" s="238" t="s">
        <v>464</v>
      </c>
      <c r="C20" s="240" t="s">
        <v>77</v>
      </c>
      <c r="D20" s="239" t="s">
        <v>27</v>
      </c>
      <c r="E20" s="239" t="s">
        <v>27</v>
      </c>
      <c r="F20" s="239" t="s">
        <v>30</v>
      </c>
      <c r="G20" s="239" t="s">
        <v>146</v>
      </c>
      <c r="H20" s="241">
        <v>500</v>
      </c>
      <c r="I20" s="241">
        <v>0</v>
      </c>
      <c r="J20" s="241">
        <v>0</v>
      </c>
      <c r="K20" s="241"/>
      <c r="L20" s="242">
        <f t="shared" si="0"/>
        <v>500</v>
      </c>
      <c r="M20" s="456">
        <v>484.4</v>
      </c>
      <c r="N20" s="461">
        <f t="shared" si="1"/>
        <v>15.600000000000023</v>
      </c>
      <c r="O20" s="261">
        <f t="shared" si="2"/>
        <v>15.600000000000023</v>
      </c>
      <c r="P20" s="261"/>
      <c r="Q20" s="626">
        <f t="shared" si="3"/>
        <v>15.600000000000023</v>
      </c>
      <c r="R20" s="627"/>
      <c r="S20" s="626">
        <f t="shared" si="14"/>
        <v>0</v>
      </c>
      <c r="T20" s="629">
        <f t="shared" si="4"/>
        <v>15.600000000000023</v>
      </c>
      <c r="U20" s="618">
        <f t="shared" si="5"/>
        <v>15.600000000000023</v>
      </c>
      <c r="V20" s="395">
        <f t="shared" si="11"/>
        <v>0</v>
      </c>
      <c r="W20" s="395"/>
      <c r="X20" s="396">
        <f t="shared" si="10"/>
        <v>15.600000000000023</v>
      </c>
      <c r="Y20" s="790"/>
      <c r="Z20" s="788">
        <f t="shared" si="13"/>
        <v>15.600000000000023</v>
      </c>
      <c r="AA20" s="392">
        <v>0</v>
      </c>
      <c r="AB20" s="877"/>
      <c r="AC20" s="391">
        <f t="shared" si="12"/>
        <v>500</v>
      </c>
      <c r="AD20" s="396">
        <f t="shared" si="7"/>
        <v>484.4</v>
      </c>
      <c r="AE20" s="397"/>
      <c r="AF20" s="394"/>
      <c r="AG20" s="464"/>
      <c r="AH20" s="397">
        <f t="shared" si="8"/>
        <v>484.4</v>
      </c>
      <c r="AI20" s="399">
        <f t="shared" si="9"/>
        <v>0.96879999999999999</v>
      </c>
      <c r="AK20" s="224">
        <v>16</v>
      </c>
    </row>
    <row r="21" spans="2:38" ht="14.1" customHeight="1" x14ac:dyDescent="0.2">
      <c r="B21" s="238" t="s">
        <v>464</v>
      </c>
      <c r="C21" s="240" t="s">
        <v>77</v>
      </c>
      <c r="D21" s="239" t="s">
        <v>27</v>
      </c>
      <c r="E21" s="239" t="s">
        <v>27</v>
      </c>
      <c r="F21" s="239" t="s">
        <v>26</v>
      </c>
      <c r="G21" s="239" t="s">
        <v>147</v>
      </c>
      <c r="H21" s="241">
        <v>18990</v>
      </c>
      <c r="I21" s="241">
        <v>0</v>
      </c>
      <c r="J21" s="241">
        <v>0</v>
      </c>
      <c r="K21" s="241"/>
      <c r="L21" s="242">
        <f t="shared" si="0"/>
        <v>18990</v>
      </c>
      <c r="M21" s="456">
        <v>18990</v>
      </c>
      <c r="N21" s="461">
        <f t="shared" si="1"/>
        <v>0</v>
      </c>
      <c r="O21" s="261">
        <f t="shared" si="2"/>
        <v>0</v>
      </c>
      <c r="P21" s="261"/>
      <c r="Q21" s="626">
        <f t="shared" si="3"/>
        <v>0</v>
      </c>
      <c r="R21" s="627"/>
      <c r="S21" s="626">
        <f t="shared" si="14"/>
        <v>0</v>
      </c>
      <c r="T21" s="629">
        <f t="shared" si="4"/>
        <v>0</v>
      </c>
      <c r="U21" s="618">
        <f t="shared" si="5"/>
        <v>0</v>
      </c>
      <c r="V21" s="395">
        <f t="shared" si="11"/>
        <v>0</v>
      </c>
      <c r="W21" s="395"/>
      <c r="X21" s="396">
        <f t="shared" si="10"/>
        <v>0</v>
      </c>
      <c r="Y21" s="790"/>
      <c r="Z21" s="392">
        <f t="shared" si="13"/>
        <v>0</v>
      </c>
      <c r="AA21" s="392">
        <v>0</v>
      </c>
      <c r="AB21" s="877">
        <f t="shared" ref="AB21:AB32" si="16">+AA21+Z21</f>
        <v>0</v>
      </c>
      <c r="AC21" s="391">
        <f t="shared" si="12"/>
        <v>18990</v>
      </c>
      <c r="AD21" s="396">
        <f t="shared" si="7"/>
        <v>18990</v>
      </c>
      <c r="AE21" s="397"/>
      <c r="AF21" s="394"/>
      <c r="AG21" s="464"/>
      <c r="AH21" s="397">
        <f t="shared" si="8"/>
        <v>18990</v>
      </c>
      <c r="AI21" s="399">
        <f t="shared" si="9"/>
        <v>1</v>
      </c>
      <c r="AK21" s="224">
        <v>17</v>
      </c>
    </row>
    <row r="22" spans="2:38" ht="14.1" customHeight="1" x14ac:dyDescent="0.2">
      <c r="B22" s="238" t="s">
        <v>464</v>
      </c>
      <c r="C22" s="240" t="s">
        <v>77</v>
      </c>
      <c r="D22" s="239" t="s">
        <v>27</v>
      </c>
      <c r="E22" s="239" t="s">
        <v>27</v>
      </c>
      <c r="F22" s="239" t="s">
        <v>42</v>
      </c>
      <c r="G22" s="239" t="s">
        <v>148</v>
      </c>
      <c r="H22" s="241">
        <v>8389.35</v>
      </c>
      <c r="I22" s="241">
        <v>0</v>
      </c>
      <c r="J22" s="241">
        <v>0</v>
      </c>
      <c r="K22" s="241"/>
      <c r="L22" s="242">
        <f t="shared" si="0"/>
        <v>8389.35</v>
      </c>
      <c r="M22" s="456">
        <v>7933.39</v>
      </c>
      <c r="N22" s="461">
        <f t="shared" si="1"/>
        <v>455.96000000000004</v>
      </c>
      <c r="O22" s="261">
        <f t="shared" si="2"/>
        <v>455.96000000000004</v>
      </c>
      <c r="P22" s="261">
        <v>4195</v>
      </c>
      <c r="Q22" s="626">
        <f t="shared" si="3"/>
        <v>-3739.04</v>
      </c>
      <c r="R22" s="627">
        <v>-3739</v>
      </c>
      <c r="S22" s="626">
        <f t="shared" si="14"/>
        <v>456</v>
      </c>
      <c r="T22" s="629">
        <f t="shared" si="4"/>
        <v>-3.999999999996362E-2</v>
      </c>
      <c r="U22" s="618">
        <f t="shared" si="5"/>
        <v>455.96000000000004</v>
      </c>
      <c r="V22" s="395">
        <f t="shared" si="11"/>
        <v>0</v>
      </c>
      <c r="W22" s="395"/>
      <c r="X22" s="396">
        <f t="shared" si="10"/>
        <v>455.96000000000004</v>
      </c>
      <c r="Y22" s="790">
        <v>71.31</v>
      </c>
      <c r="Z22" s="392">
        <f t="shared" si="13"/>
        <v>384.65000000000003</v>
      </c>
      <c r="AA22" s="392">
        <v>0</v>
      </c>
      <c r="AB22" s="877">
        <f t="shared" si="16"/>
        <v>384.65000000000003</v>
      </c>
      <c r="AC22" s="391">
        <f t="shared" si="12"/>
        <v>8389.35</v>
      </c>
      <c r="AD22" s="396">
        <f t="shared" si="7"/>
        <v>7933.39</v>
      </c>
      <c r="AE22" s="397">
        <v>71</v>
      </c>
      <c r="AF22" s="394"/>
      <c r="AG22" s="464"/>
      <c r="AH22" s="397">
        <f t="shared" si="8"/>
        <v>8004.39</v>
      </c>
      <c r="AI22" s="399">
        <f t="shared" si="9"/>
        <v>0.95411325072860231</v>
      </c>
      <c r="AK22" s="224">
        <v>18</v>
      </c>
    </row>
    <row r="23" spans="2:38" ht="14.1" customHeight="1" x14ac:dyDescent="0.2">
      <c r="B23" s="238" t="s">
        <v>464</v>
      </c>
      <c r="C23" s="240" t="s">
        <v>77</v>
      </c>
      <c r="D23" s="243" t="s">
        <v>333</v>
      </c>
      <c r="E23" s="243" t="s">
        <v>12</v>
      </c>
      <c r="F23" s="243" t="s">
        <v>56</v>
      </c>
      <c r="G23" s="239" t="s">
        <v>156</v>
      </c>
      <c r="H23" s="241">
        <v>15000</v>
      </c>
      <c r="I23" s="241">
        <v>34000</v>
      </c>
      <c r="J23" s="241">
        <v>34000</v>
      </c>
      <c r="K23" s="241"/>
      <c r="L23" s="242">
        <f t="shared" si="0"/>
        <v>83000</v>
      </c>
      <c r="M23" s="456"/>
      <c r="N23" s="461">
        <f t="shared" si="1"/>
        <v>15000</v>
      </c>
      <c r="O23" s="261">
        <f t="shared" si="2"/>
        <v>15000</v>
      </c>
      <c r="P23" s="261">
        <v>15000</v>
      </c>
      <c r="Q23" s="626">
        <f t="shared" si="3"/>
        <v>0</v>
      </c>
      <c r="R23" s="627"/>
      <c r="S23" s="626">
        <f t="shared" si="14"/>
        <v>15000</v>
      </c>
      <c r="T23" s="629">
        <f t="shared" si="4"/>
        <v>0</v>
      </c>
      <c r="U23" s="618">
        <f t="shared" si="5"/>
        <v>15000</v>
      </c>
      <c r="V23" s="395">
        <f t="shared" si="11"/>
        <v>34000</v>
      </c>
      <c r="W23" s="395"/>
      <c r="X23" s="396">
        <f t="shared" si="10"/>
        <v>49000</v>
      </c>
      <c r="Y23" s="790"/>
      <c r="Z23" s="789">
        <f t="shared" si="13"/>
        <v>49000</v>
      </c>
      <c r="AA23" s="392">
        <v>34000</v>
      </c>
      <c r="AB23" s="877">
        <f t="shared" si="16"/>
        <v>83000</v>
      </c>
      <c r="AC23" s="391">
        <f t="shared" si="12"/>
        <v>83000</v>
      </c>
      <c r="AD23" s="396">
        <f t="shared" si="7"/>
        <v>0</v>
      </c>
      <c r="AE23" s="397"/>
      <c r="AF23" s="394"/>
      <c r="AG23" s="464"/>
      <c r="AH23" s="397">
        <f t="shared" si="8"/>
        <v>0</v>
      </c>
      <c r="AI23" s="399">
        <f t="shared" si="9"/>
        <v>0</v>
      </c>
      <c r="AK23" s="224">
        <v>19</v>
      </c>
    </row>
    <row r="24" spans="2:38" ht="14.1" customHeight="1" x14ac:dyDescent="0.2">
      <c r="B24" s="238" t="s">
        <v>464</v>
      </c>
      <c r="C24" s="240" t="s">
        <v>77</v>
      </c>
      <c r="D24" s="239" t="s">
        <v>420</v>
      </c>
      <c r="E24" s="239" t="s">
        <v>33</v>
      </c>
      <c r="F24" s="239" t="s">
        <v>40</v>
      </c>
      <c r="G24" s="239" t="s">
        <v>138</v>
      </c>
      <c r="H24" s="241">
        <v>22099</v>
      </c>
      <c r="I24" s="241">
        <v>2100</v>
      </c>
      <c r="J24" s="241">
        <v>2100</v>
      </c>
      <c r="K24" s="241"/>
      <c r="L24" s="242">
        <f t="shared" si="0"/>
        <v>26299</v>
      </c>
      <c r="M24" s="456">
        <v>21099</v>
      </c>
      <c r="N24" s="461">
        <f t="shared" si="1"/>
        <v>1000</v>
      </c>
      <c r="O24" s="261">
        <f t="shared" si="2"/>
        <v>1000</v>
      </c>
      <c r="P24" s="261">
        <v>1000</v>
      </c>
      <c r="Q24" s="626">
        <f t="shared" si="3"/>
        <v>0</v>
      </c>
      <c r="R24" s="627"/>
      <c r="S24" s="626">
        <f t="shared" si="14"/>
        <v>1000</v>
      </c>
      <c r="T24" s="629">
        <f t="shared" si="4"/>
        <v>0</v>
      </c>
      <c r="U24" s="618">
        <f t="shared" si="5"/>
        <v>1000</v>
      </c>
      <c r="V24" s="395">
        <f t="shared" si="11"/>
        <v>2100</v>
      </c>
      <c r="W24" s="395"/>
      <c r="X24" s="396">
        <f t="shared" si="10"/>
        <v>3100</v>
      </c>
      <c r="Y24" s="790"/>
      <c r="Z24" s="789">
        <f t="shared" si="13"/>
        <v>3100</v>
      </c>
      <c r="AA24" s="392">
        <v>2100</v>
      </c>
      <c r="AB24" s="877">
        <f t="shared" si="16"/>
        <v>5200</v>
      </c>
      <c r="AC24" s="391">
        <f t="shared" si="12"/>
        <v>26299</v>
      </c>
      <c r="AD24" s="396">
        <f t="shared" si="7"/>
        <v>21099</v>
      </c>
      <c r="AE24" s="397"/>
      <c r="AF24" s="394"/>
      <c r="AG24" s="464"/>
      <c r="AH24" s="397">
        <f t="shared" si="8"/>
        <v>21099</v>
      </c>
      <c r="AI24" s="399">
        <f t="shared" si="9"/>
        <v>0.80227385071675728</v>
      </c>
      <c r="AK24" s="224">
        <v>20</v>
      </c>
    </row>
    <row r="25" spans="2:38" ht="14.1" customHeight="1" x14ac:dyDescent="0.2">
      <c r="B25" s="238" t="s">
        <v>464</v>
      </c>
      <c r="C25" s="240" t="s">
        <v>77</v>
      </c>
      <c r="D25" s="239" t="s">
        <v>420</v>
      </c>
      <c r="E25" s="239" t="s">
        <v>33</v>
      </c>
      <c r="F25" s="239" t="s">
        <v>44</v>
      </c>
      <c r="G25" s="239" t="s">
        <v>139</v>
      </c>
      <c r="H25" s="241">
        <v>20460</v>
      </c>
      <c r="I25" s="241" t="s">
        <v>94</v>
      </c>
      <c r="J25" s="241" t="s">
        <v>94</v>
      </c>
      <c r="K25" s="241"/>
      <c r="L25" s="242">
        <f t="shared" si="0"/>
        <v>20460</v>
      </c>
      <c r="M25" s="456">
        <v>20059.68</v>
      </c>
      <c r="N25" s="461">
        <f t="shared" si="1"/>
        <v>400.31999999999971</v>
      </c>
      <c r="O25" s="261">
        <f t="shared" si="2"/>
        <v>400.31999999999971</v>
      </c>
      <c r="P25" s="261">
        <v>400</v>
      </c>
      <c r="Q25" s="626">
        <f t="shared" si="3"/>
        <v>0.31999999999970896</v>
      </c>
      <c r="R25" s="627"/>
      <c r="S25" s="626">
        <f t="shared" si="14"/>
        <v>400</v>
      </c>
      <c r="T25" s="629">
        <f t="shared" si="4"/>
        <v>0.31999999999970896</v>
      </c>
      <c r="U25" s="618">
        <f t="shared" si="5"/>
        <v>400.31999999999971</v>
      </c>
      <c r="V25" s="395"/>
      <c r="W25" s="395"/>
      <c r="X25" s="396">
        <f t="shared" si="10"/>
        <v>400.31999999999971</v>
      </c>
      <c r="Y25" s="790"/>
      <c r="Z25" s="789">
        <f t="shared" si="13"/>
        <v>400.31999999999971</v>
      </c>
      <c r="AA25" s="392">
        <v>0</v>
      </c>
      <c r="AB25" s="877">
        <f t="shared" si="16"/>
        <v>400.31999999999971</v>
      </c>
      <c r="AC25" s="391">
        <f>+H25</f>
        <v>20460</v>
      </c>
      <c r="AD25" s="396">
        <f t="shared" si="7"/>
        <v>20059.68</v>
      </c>
      <c r="AE25" s="397"/>
      <c r="AF25" s="394"/>
      <c r="AG25" s="464"/>
      <c r="AH25" s="397">
        <f t="shared" si="8"/>
        <v>20059.68</v>
      </c>
      <c r="AI25" s="399">
        <f t="shared" si="9"/>
        <v>0.98043401759530791</v>
      </c>
      <c r="AK25" s="224">
        <v>21</v>
      </c>
    </row>
    <row r="26" spans="2:38" ht="14.1" customHeight="1" x14ac:dyDescent="0.2">
      <c r="B26" s="238" t="s">
        <v>464</v>
      </c>
      <c r="C26" s="240" t="s">
        <v>77</v>
      </c>
      <c r="D26" s="239" t="s">
        <v>420</v>
      </c>
      <c r="E26" s="239" t="s">
        <v>33</v>
      </c>
      <c r="F26" s="239" t="s">
        <v>32</v>
      </c>
      <c r="G26" s="239" t="s">
        <v>140</v>
      </c>
      <c r="H26" s="241">
        <v>6812</v>
      </c>
      <c r="I26" s="241">
        <v>418</v>
      </c>
      <c r="J26" s="241">
        <v>418</v>
      </c>
      <c r="K26" s="241"/>
      <c r="L26" s="242">
        <f t="shared" si="0"/>
        <v>7648</v>
      </c>
      <c r="M26" s="456">
        <v>6052</v>
      </c>
      <c r="N26" s="461">
        <f t="shared" si="1"/>
        <v>760</v>
      </c>
      <c r="O26" s="261">
        <f t="shared" si="2"/>
        <v>760</v>
      </c>
      <c r="P26" s="261">
        <v>760</v>
      </c>
      <c r="Q26" s="626">
        <f t="shared" si="3"/>
        <v>0</v>
      </c>
      <c r="R26" s="627"/>
      <c r="S26" s="626">
        <f t="shared" si="14"/>
        <v>760</v>
      </c>
      <c r="T26" s="629">
        <f t="shared" si="4"/>
        <v>0</v>
      </c>
      <c r="U26" s="618">
        <f t="shared" si="5"/>
        <v>760</v>
      </c>
      <c r="V26" s="395">
        <f>+I26</f>
        <v>418</v>
      </c>
      <c r="W26" s="395"/>
      <c r="X26" s="396">
        <f t="shared" si="10"/>
        <v>1178</v>
      </c>
      <c r="Y26" s="790"/>
      <c r="Z26" s="392">
        <f t="shared" si="13"/>
        <v>1178</v>
      </c>
      <c r="AA26" s="392">
        <v>418</v>
      </c>
      <c r="AB26" s="877">
        <f t="shared" si="16"/>
        <v>1596</v>
      </c>
      <c r="AC26" s="391">
        <f>+H26+I26+J26</f>
        <v>7648</v>
      </c>
      <c r="AD26" s="396">
        <f t="shared" si="7"/>
        <v>6052</v>
      </c>
      <c r="AE26" s="397"/>
      <c r="AF26" s="394"/>
      <c r="AG26" s="464"/>
      <c r="AH26" s="397">
        <f t="shared" si="8"/>
        <v>6052</v>
      </c>
      <c r="AI26" s="399">
        <f t="shared" si="9"/>
        <v>0.79131799163179917</v>
      </c>
      <c r="AK26" s="224">
        <v>22</v>
      </c>
    </row>
    <row r="27" spans="2:38" ht="14.1" customHeight="1" x14ac:dyDescent="0.2">
      <c r="B27" s="238" t="s">
        <v>464</v>
      </c>
      <c r="C27" s="240" t="s">
        <v>77</v>
      </c>
      <c r="D27" s="239" t="s">
        <v>420</v>
      </c>
      <c r="E27" s="239" t="s">
        <v>33</v>
      </c>
      <c r="F27" s="239" t="s">
        <v>46</v>
      </c>
      <c r="G27" s="239" t="s">
        <v>141</v>
      </c>
      <c r="H27" s="241">
        <v>12096</v>
      </c>
      <c r="I27" s="241">
        <v>0</v>
      </c>
      <c r="J27" s="241">
        <v>0</v>
      </c>
      <c r="K27" s="241"/>
      <c r="L27" s="242">
        <f t="shared" si="0"/>
        <v>12096</v>
      </c>
      <c r="M27" s="456">
        <v>10633.36</v>
      </c>
      <c r="N27" s="461">
        <f t="shared" si="1"/>
        <v>1462.6399999999994</v>
      </c>
      <c r="O27" s="261">
        <f t="shared" si="2"/>
        <v>1462.6399999999994</v>
      </c>
      <c r="P27" s="261">
        <v>9841</v>
      </c>
      <c r="Q27" s="626">
        <f t="shared" si="3"/>
        <v>-8378.36</v>
      </c>
      <c r="R27" s="627">
        <v>-8378</v>
      </c>
      <c r="S27" s="626">
        <f t="shared" si="14"/>
        <v>1463</v>
      </c>
      <c r="T27" s="629">
        <f t="shared" si="4"/>
        <v>-0.36000000000058208</v>
      </c>
      <c r="U27" s="618">
        <f t="shared" si="5"/>
        <v>1462.6399999999994</v>
      </c>
      <c r="V27" s="395">
        <f>+I27</f>
        <v>0</v>
      </c>
      <c r="W27" s="395"/>
      <c r="X27" s="396">
        <f t="shared" si="10"/>
        <v>1462.6399999999994</v>
      </c>
      <c r="Y27" s="790">
        <v>1330.36</v>
      </c>
      <c r="Z27" s="789">
        <f>+X27-Y27+0.72</f>
        <v>132.99999999999952</v>
      </c>
      <c r="AA27" s="392">
        <v>0</v>
      </c>
      <c r="AB27" s="877">
        <f t="shared" si="16"/>
        <v>132.99999999999952</v>
      </c>
      <c r="AC27" s="391">
        <f>+H27+I27+J27</f>
        <v>12096</v>
      </c>
      <c r="AD27" s="396">
        <f t="shared" si="7"/>
        <v>10633.36</v>
      </c>
      <c r="AE27" s="397">
        <v>1330.36</v>
      </c>
      <c r="AF27" s="394"/>
      <c r="AG27" s="464"/>
      <c r="AH27" s="397">
        <f t="shared" si="8"/>
        <v>11963.720000000001</v>
      </c>
      <c r="AI27" s="399">
        <f t="shared" si="9"/>
        <v>0.98906415343915355</v>
      </c>
      <c r="AK27" s="224">
        <v>23</v>
      </c>
    </row>
    <row r="28" spans="2:38" ht="14.1" customHeight="1" x14ac:dyDescent="0.2">
      <c r="B28" s="238" t="s">
        <v>464</v>
      </c>
      <c r="C28" s="240" t="s">
        <v>77</v>
      </c>
      <c r="D28" s="239" t="s">
        <v>420</v>
      </c>
      <c r="E28" s="239" t="s">
        <v>33</v>
      </c>
      <c r="F28" s="239" t="s">
        <v>43</v>
      </c>
      <c r="G28" s="239" t="s">
        <v>142</v>
      </c>
      <c r="H28" s="241">
        <v>72000</v>
      </c>
      <c r="I28" s="241" t="s">
        <v>94</v>
      </c>
      <c r="J28" s="241" t="s">
        <v>94</v>
      </c>
      <c r="K28" s="241"/>
      <c r="L28" s="242">
        <f t="shared" si="0"/>
        <v>72000</v>
      </c>
      <c r="M28" s="456">
        <v>71716.2</v>
      </c>
      <c r="N28" s="461">
        <f t="shared" si="1"/>
        <v>283.80000000000291</v>
      </c>
      <c r="O28" s="261">
        <f t="shared" si="2"/>
        <v>283.80000000000291</v>
      </c>
      <c r="P28" s="261">
        <v>284</v>
      </c>
      <c r="Q28" s="626">
        <f t="shared" si="3"/>
        <v>-0.19999999999708962</v>
      </c>
      <c r="R28" s="627"/>
      <c r="S28" s="626">
        <f t="shared" si="14"/>
        <v>284</v>
      </c>
      <c r="T28" s="629">
        <f t="shared" si="4"/>
        <v>-0.19999999999708962</v>
      </c>
      <c r="U28" s="618">
        <f t="shared" si="5"/>
        <v>283.80000000000291</v>
      </c>
      <c r="V28" s="395"/>
      <c r="W28" s="395"/>
      <c r="X28" s="396">
        <f t="shared" si="10"/>
        <v>283.80000000000291</v>
      </c>
      <c r="Y28" s="790"/>
      <c r="Z28" s="392">
        <f>+X28-Y28</f>
        <v>283.80000000000291</v>
      </c>
      <c r="AA28" s="392">
        <v>0</v>
      </c>
      <c r="AB28" s="877">
        <f t="shared" si="16"/>
        <v>283.80000000000291</v>
      </c>
      <c r="AC28" s="391">
        <f>+H28</f>
        <v>72000</v>
      </c>
      <c r="AD28" s="396">
        <f t="shared" si="7"/>
        <v>71716.2</v>
      </c>
      <c r="AE28" s="397"/>
      <c r="AF28" s="394"/>
      <c r="AG28" s="464"/>
      <c r="AH28" s="397">
        <f t="shared" si="8"/>
        <v>71716.2</v>
      </c>
      <c r="AI28" s="399">
        <f t="shared" si="9"/>
        <v>0.99605833333333327</v>
      </c>
      <c r="AK28" s="224">
        <v>24</v>
      </c>
    </row>
    <row r="29" spans="2:38" ht="14.1" customHeight="1" x14ac:dyDescent="0.2">
      <c r="B29" s="238" t="s">
        <v>464</v>
      </c>
      <c r="C29" s="240" t="s">
        <v>77</v>
      </c>
      <c r="D29" s="239" t="s">
        <v>420</v>
      </c>
      <c r="E29" s="239" t="s">
        <v>33</v>
      </c>
      <c r="F29" s="239" t="s">
        <v>34</v>
      </c>
      <c r="G29" s="239" t="s">
        <v>143</v>
      </c>
      <c r="H29" s="241">
        <v>3898</v>
      </c>
      <c r="I29" s="241">
        <v>0</v>
      </c>
      <c r="J29" s="241">
        <v>0</v>
      </c>
      <c r="K29" s="241"/>
      <c r="L29" s="242">
        <f t="shared" si="0"/>
        <v>3898</v>
      </c>
      <c r="M29" s="456">
        <v>3898</v>
      </c>
      <c r="N29" s="461">
        <f t="shared" si="1"/>
        <v>0</v>
      </c>
      <c r="O29" s="261">
        <f t="shared" si="2"/>
        <v>0</v>
      </c>
      <c r="P29" s="261"/>
      <c r="Q29" s="626">
        <f t="shared" si="3"/>
        <v>0</v>
      </c>
      <c r="R29" s="627"/>
      <c r="S29" s="626">
        <f t="shared" si="14"/>
        <v>0</v>
      </c>
      <c r="T29" s="629">
        <f t="shared" si="4"/>
        <v>0</v>
      </c>
      <c r="U29" s="618">
        <f t="shared" si="5"/>
        <v>0</v>
      </c>
      <c r="V29" s="395">
        <f>+I29</f>
        <v>0</v>
      </c>
      <c r="W29" s="395"/>
      <c r="X29" s="396">
        <f t="shared" si="10"/>
        <v>0</v>
      </c>
      <c r="Y29" s="790"/>
      <c r="Z29" s="392">
        <f>+X29-Y29</f>
        <v>0</v>
      </c>
      <c r="AA29" s="392">
        <v>0</v>
      </c>
      <c r="AB29" s="877">
        <f t="shared" si="16"/>
        <v>0</v>
      </c>
      <c r="AC29" s="391">
        <f>+H29+I29+J29</f>
        <v>3898</v>
      </c>
      <c r="AD29" s="396">
        <f t="shared" si="7"/>
        <v>3898</v>
      </c>
      <c r="AE29" s="397"/>
      <c r="AF29" s="394"/>
      <c r="AG29" s="464"/>
      <c r="AH29" s="397">
        <f t="shared" si="8"/>
        <v>3898</v>
      </c>
      <c r="AI29" s="399">
        <f t="shared" si="9"/>
        <v>1</v>
      </c>
      <c r="AK29" s="224">
        <v>25</v>
      </c>
    </row>
    <row r="30" spans="2:38" ht="14.1" customHeight="1" x14ac:dyDescent="0.2">
      <c r="B30" s="238" t="s">
        <v>464</v>
      </c>
      <c r="C30" s="240" t="s">
        <v>419</v>
      </c>
      <c r="D30" s="480" t="s">
        <v>422</v>
      </c>
      <c r="E30" s="480" t="s">
        <v>160</v>
      </c>
      <c r="F30" s="480" t="s">
        <v>161</v>
      </c>
      <c r="G30" s="480" t="s">
        <v>165</v>
      </c>
      <c r="H30" s="481">
        <v>151250</v>
      </c>
      <c r="I30" s="481">
        <v>350000</v>
      </c>
      <c r="J30" s="481">
        <v>350000</v>
      </c>
      <c r="K30" s="481"/>
      <c r="L30" s="242">
        <f t="shared" si="0"/>
        <v>851250</v>
      </c>
      <c r="M30" s="482">
        <v>400.31</v>
      </c>
      <c r="N30" s="483">
        <f t="shared" si="1"/>
        <v>150849.69</v>
      </c>
      <c r="O30" s="484">
        <f t="shared" si="2"/>
        <v>150849.69</v>
      </c>
      <c r="P30" s="484">
        <v>151250</v>
      </c>
      <c r="Q30" s="630">
        <f t="shared" si="3"/>
        <v>-400.30999999999767</v>
      </c>
      <c r="R30" s="631">
        <v>-400.31</v>
      </c>
      <c r="S30" s="630">
        <f t="shared" si="14"/>
        <v>150849.69</v>
      </c>
      <c r="T30" s="632">
        <f t="shared" si="4"/>
        <v>0</v>
      </c>
      <c r="U30" s="618">
        <f t="shared" si="5"/>
        <v>150849.69</v>
      </c>
      <c r="V30" s="485">
        <f>+I30</f>
        <v>350000</v>
      </c>
      <c r="W30" s="485"/>
      <c r="X30" s="727">
        <f t="shared" si="10"/>
        <v>500849.69</v>
      </c>
      <c r="Y30" s="790">
        <v>180320.51</v>
      </c>
      <c r="Z30" s="789">
        <f>+X30-Y30</f>
        <v>320529.18</v>
      </c>
      <c r="AA30" s="789">
        <v>350000</v>
      </c>
      <c r="AB30" s="877">
        <f t="shared" si="16"/>
        <v>670529.17999999993</v>
      </c>
      <c r="AC30" s="391">
        <f>+H30+I30+J30</f>
        <v>851250</v>
      </c>
      <c r="AD30" s="396">
        <f t="shared" si="7"/>
        <v>400.31</v>
      </c>
      <c r="AE30" s="397">
        <v>180321</v>
      </c>
      <c r="AF30" s="394">
        <v>107154.24000000001</v>
      </c>
      <c r="AG30" s="464">
        <v>157828.43</v>
      </c>
      <c r="AH30" s="397">
        <f t="shared" si="8"/>
        <v>445703.98</v>
      </c>
      <c r="AI30" s="399">
        <f t="shared" si="9"/>
        <v>0.52358764170337735</v>
      </c>
      <c r="AK30" s="224">
        <v>26</v>
      </c>
    </row>
    <row r="31" spans="2:38" ht="14.1" customHeight="1" x14ac:dyDescent="0.2">
      <c r="B31" s="238" t="s">
        <v>464</v>
      </c>
      <c r="C31" s="240" t="s">
        <v>419</v>
      </c>
      <c r="D31" s="244" t="s">
        <v>422</v>
      </c>
      <c r="E31" s="244" t="s">
        <v>160</v>
      </c>
      <c r="F31" s="803" t="s">
        <v>162</v>
      </c>
      <c r="G31" s="239" t="s">
        <v>166</v>
      </c>
      <c r="H31" s="245">
        <v>350000</v>
      </c>
      <c r="I31" s="241"/>
      <c r="J31" s="241"/>
      <c r="K31" s="241"/>
      <c r="L31" s="242">
        <f t="shared" si="0"/>
        <v>350000</v>
      </c>
      <c r="M31" s="456">
        <v>216216.64</v>
      </c>
      <c r="N31" s="461">
        <f t="shared" si="1"/>
        <v>133783.35999999999</v>
      </c>
      <c r="O31" s="261">
        <f t="shared" si="2"/>
        <v>133783.35999999999</v>
      </c>
      <c r="P31" s="261">
        <v>153361</v>
      </c>
      <c r="Q31" s="626">
        <f t="shared" si="3"/>
        <v>-19577.640000000014</v>
      </c>
      <c r="R31" s="627">
        <v>-19578</v>
      </c>
      <c r="S31" s="626">
        <f t="shared" si="14"/>
        <v>133783</v>
      </c>
      <c r="T31" s="629">
        <f t="shared" si="4"/>
        <v>0.35999999998603016</v>
      </c>
      <c r="U31" s="618">
        <f t="shared" si="5"/>
        <v>133783.35999999999</v>
      </c>
      <c r="V31" s="395">
        <f>+I31</f>
        <v>0</v>
      </c>
      <c r="W31" s="395"/>
      <c r="X31" s="396">
        <f t="shared" si="10"/>
        <v>133783.35999999999</v>
      </c>
      <c r="Y31" s="790">
        <v>108068</v>
      </c>
      <c r="Z31" s="789">
        <f>+X31-Y31</f>
        <v>25715.359999999986</v>
      </c>
      <c r="AA31" s="392">
        <v>0</v>
      </c>
      <c r="AB31" s="877">
        <f t="shared" si="16"/>
        <v>25715.359999999986</v>
      </c>
      <c r="AC31" s="391">
        <f>+H31+I31+J31</f>
        <v>350000</v>
      </c>
      <c r="AD31" s="396">
        <f t="shared" si="7"/>
        <v>216216.64</v>
      </c>
      <c r="AE31" s="397">
        <v>108068</v>
      </c>
      <c r="AF31" s="394">
        <v>21213.4</v>
      </c>
      <c r="AG31" s="464">
        <v>3319.1</v>
      </c>
      <c r="AH31" s="397">
        <f t="shared" si="8"/>
        <v>348817.14</v>
      </c>
      <c r="AI31" s="399">
        <f t="shared" si="9"/>
        <v>0.99662040000000007</v>
      </c>
      <c r="AK31" s="224">
        <v>27</v>
      </c>
    </row>
    <row r="32" spans="2:38" ht="14.1" customHeight="1" x14ac:dyDescent="0.2">
      <c r="B32" s="238" t="s">
        <v>464</v>
      </c>
      <c r="C32" s="749" t="s">
        <v>77</v>
      </c>
      <c r="D32" s="796" t="s">
        <v>421</v>
      </c>
      <c r="E32" s="796" t="s">
        <v>12</v>
      </c>
      <c r="F32" s="804" t="s">
        <v>57</v>
      </c>
      <c r="G32" s="387" t="s">
        <v>157</v>
      </c>
      <c r="H32" s="760">
        <v>26669.17</v>
      </c>
      <c r="I32" s="760">
        <v>0</v>
      </c>
      <c r="J32" s="760">
        <v>4813.5</v>
      </c>
      <c r="K32" s="760"/>
      <c r="L32" s="747">
        <f t="shared" si="0"/>
        <v>31482.67</v>
      </c>
      <c r="M32" s="751">
        <v>25688.75</v>
      </c>
      <c r="N32" s="752">
        <f t="shared" si="1"/>
        <v>980.41999999999825</v>
      </c>
      <c r="O32" s="737">
        <f t="shared" si="2"/>
        <v>980.41999999999825</v>
      </c>
      <c r="P32" s="737"/>
      <c r="Q32" s="738">
        <f t="shared" si="3"/>
        <v>980.41999999999825</v>
      </c>
      <c r="R32" s="753"/>
      <c r="S32" s="738">
        <f t="shared" si="14"/>
        <v>0</v>
      </c>
      <c r="T32" s="761">
        <f t="shared" si="4"/>
        <v>980.41999999999825</v>
      </c>
      <c r="U32" s="741">
        <f t="shared" si="5"/>
        <v>980.41999999999825</v>
      </c>
      <c r="V32" s="756">
        <f>+I32</f>
        <v>0</v>
      </c>
      <c r="W32" s="756"/>
      <c r="X32" s="743">
        <f t="shared" si="10"/>
        <v>980.41999999999825</v>
      </c>
      <c r="Y32" s="888"/>
      <c r="Z32" s="742">
        <f>+X32-Y32</f>
        <v>980.41999999999825</v>
      </c>
      <c r="AA32" s="392">
        <v>4813.5</v>
      </c>
      <c r="AB32" s="879">
        <f t="shared" si="16"/>
        <v>5793.9199999999983</v>
      </c>
      <c r="AC32" s="391">
        <f>+H32+I32+J32</f>
        <v>31482.67</v>
      </c>
      <c r="AD32" s="743">
        <f t="shared" si="7"/>
        <v>25688.75</v>
      </c>
      <c r="AE32" s="757"/>
      <c r="AF32" s="736"/>
      <c r="AG32" s="758"/>
      <c r="AH32" s="757">
        <f t="shared" si="8"/>
        <v>25688.75</v>
      </c>
      <c r="AI32" s="748">
        <f t="shared" si="9"/>
        <v>0.81596478316483323</v>
      </c>
      <c r="AJ32" s="402"/>
      <c r="AK32" s="224">
        <v>28</v>
      </c>
      <c r="AL32" s="402"/>
    </row>
    <row r="33" spans="2:38" ht="14.1" customHeight="1" x14ac:dyDescent="0.2">
      <c r="B33" s="238"/>
      <c r="C33" s="791" t="s">
        <v>465</v>
      </c>
      <c r="D33" s="791"/>
      <c r="E33" s="791"/>
      <c r="F33" s="791"/>
      <c r="G33" s="791"/>
      <c r="H33" s="806">
        <f>SUM(H5:H32)-1</f>
        <v>1267509.68</v>
      </c>
      <c r="I33" s="806">
        <f t="shared" ref="I33:V33" si="17">SUM(I5:I32)</f>
        <v>636581.16</v>
      </c>
      <c r="J33" s="806">
        <f t="shared" si="17"/>
        <v>594633.66</v>
      </c>
      <c r="K33" s="806">
        <f t="shared" si="17"/>
        <v>0</v>
      </c>
      <c r="L33" s="806">
        <f t="shared" si="17"/>
        <v>2498725.5</v>
      </c>
      <c r="M33" s="819">
        <f t="shared" si="17"/>
        <v>706406.47</v>
      </c>
      <c r="N33" s="824">
        <f t="shared" si="17"/>
        <v>561104.21000000008</v>
      </c>
      <c r="O33" s="829">
        <f t="shared" si="17"/>
        <v>561104.21000000008</v>
      </c>
      <c r="P33" s="806">
        <f t="shared" si="17"/>
        <v>358712</v>
      </c>
      <c r="Q33" s="833">
        <f t="shared" si="17"/>
        <v>202392.21000000002</v>
      </c>
      <c r="R33" s="838">
        <f t="shared" si="17"/>
        <v>-41461.31</v>
      </c>
      <c r="S33" s="843">
        <f t="shared" si="17"/>
        <v>317250.69</v>
      </c>
      <c r="T33" s="843">
        <f t="shared" si="17"/>
        <v>243853.52000000002</v>
      </c>
      <c r="U33" s="848">
        <f t="shared" si="17"/>
        <v>561104.21000000008</v>
      </c>
      <c r="V33" s="850">
        <f t="shared" si="17"/>
        <v>636581.16</v>
      </c>
      <c r="W33" s="851"/>
      <c r="X33" s="851">
        <f t="shared" ref="X33:AH33" si="18">SUM(X5:X32)</f>
        <v>1197685.79</v>
      </c>
      <c r="Y33" s="859">
        <f t="shared" si="18"/>
        <v>621993.91999999993</v>
      </c>
      <c r="Z33" s="861">
        <f t="shared" si="18"/>
        <v>575693.82000000007</v>
      </c>
      <c r="AA33" s="863">
        <f t="shared" si="18"/>
        <v>594633.66</v>
      </c>
      <c r="AB33" s="880">
        <f t="shared" si="18"/>
        <v>1170304.6799999997</v>
      </c>
      <c r="AC33" s="867">
        <f t="shared" si="18"/>
        <v>2498725.5</v>
      </c>
      <c r="AD33" s="861">
        <f t="shared" si="18"/>
        <v>706406.47</v>
      </c>
      <c r="AE33" s="851">
        <f t="shared" si="18"/>
        <v>621994.84</v>
      </c>
      <c r="AF33" s="869">
        <f t="shared" si="18"/>
        <v>161400.82</v>
      </c>
      <c r="AG33" s="869">
        <f t="shared" si="18"/>
        <v>171411.76</v>
      </c>
      <c r="AH33" s="867">
        <f t="shared" si="18"/>
        <v>1661213.8900000001</v>
      </c>
      <c r="AI33" s="873">
        <f t="shared" si="9"/>
        <v>0.66482448352169943</v>
      </c>
      <c r="AJ33" s="402"/>
      <c r="AK33" s="224">
        <v>29</v>
      </c>
      <c r="AL33" s="596"/>
    </row>
    <row r="34" spans="2:38" ht="14.1" customHeight="1" x14ac:dyDescent="0.2">
      <c r="B34" s="238" t="s">
        <v>463</v>
      </c>
      <c r="C34" s="793" t="s">
        <v>194</v>
      </c>
      <c r="D34" s="252" t="s">
        <v>15</v>
      </c>
      <c r="E34" s="802" t="s">
        <v>192</v>
      </c>
      <c r="F34" s="802" t="s">
        <v>424</v>
      </c>
      <c r="G34" s="802" t="s">
        <v>310</v>
      </c>
      <c r="H34" s="810">
        <v>72100</v>
      </c>
      <c r="I34" s="810">
        <v>0</v>
      </c>
      <c r="J34" s="810">
        <v>0</v>
      </c>
      <c r="K34" s="810"/>
      <c r="L34" s="759">
        <f t="shared" ref="L34:L65" si="19">SUM(H34:K34)</f>
        <v>72100</v>
      </c>
      <c r="M34" s="457">
        <v>67576.7</v>
      </c>
      <c r="N34" s="462">
        <f t="shared" ref="N34:N65" si="20">+H34-M34</f>
        <v>4523.3000000000029</v>
      </c>
      <c r="O34" s="262">
        <f t="shared" ref="O34:O65" si="21">+N34</f>
        <v>4523.3000000000029</v>
      </c>
      <c r="P34" s="262"/>
      <c r="Q34" s="623">
        <f t="shared" ref="Q34:Q65" si="22">+O34-P34</f>
        <v>4523.3000000000029</v>
      </c>
      <c r="R34" s="624">
        <v>4523</v>
      </c>
      <c r="S34" s="623">
        <f t="shared" ref="S34:S65" si="23">+R34+P34</f>
        <v>4523</v>
      </c>
      <c r="T34" s="625">
        <f t="shared" ref="T34:T64" si="24">+O34-S34</f>
        <v>0.30000000000291038</v>
      </c>
      <c r="U34" s="617">
        <f t="shared" ref="U34:U65" si="25">+T34+S34</f>
        <v>4523.3000000000029</v>
      </c>
      <c r="V34" s="390">
        <f t="shared" ref="V34:V64" si="26">+I34</f>
        <v>0</v>
      </c>
      <c r="W34" s="390"/>
      <c r="X34" s="392">
        <f>+V34+U34</f>
        <v>4523.3000000000029</v>
      </c>
      <c r="Y34" s="885">
        <v>3597.25</v>
      </c>
      <c r="Z34" s="392">
        <f>+X34-Y34</f>
        <v>926.05000000000291</v>
      </c>
      <c r="AA34" s="392">
        <v>0</v>
      </c>
      <c r="AB34" s="878">
        <f t="shared" ref="AB34:AB39" si="27">+AA34+Z34</f>
        <v>926.05000000000291</v>
      </c>
      <c r="AC34" s="391">
        <f t="shared" ref="AC34:AC65" si="28">+H34+I34+J34</f>
        <v>72100</v>
      </c>
      <c r="AD34" s="392">
        <f t="shared" ref="AD34:AD65" si="29">+M34</f>
        <v>67576.7</v>
      </c>
      <c r="AE34" s="393">
        <v>3597.25</v>
      </c>
      <c r="AF34" s="389">
        <v>707.3</v>
      </c>
      <c r="AG34" s="463"/>
      <c r="AH34" s="393">
        <f t="shared" ref="AH34:AH65" si="30">SUM(AD34:AG34)</f>
        <v>71881.25</v>
      </c>
      <c r="AI34" s="467">
        <f t="shared" si="9"/>
        <v>0.99696601941747576</v>
      </c>
      <c r="AJ34" s="402"/>
      <c r="AK34" s="224">
        <v>30</v>
      </c>
      <c r="AL34" s="402"/>
    </row>
    <row r="35" spans="2:38" ht="14.1" customHeight="1" x14ac:dyDescent="0.2">
      <c r="B35" s="238" t="s">
        <v>463</v>
      </c>
      <c r="C35" s="248" t="s">
        <v>194</v>
      </c>
      <c r="D35" s="239" t="s">
        <v>15</v>
      </c>
      <c r="E35" s="247" t="s">
        <v>222</v>
      </c>
      <c r="F35" s="247" t="s">
        <v>425</v>
      </c>
      <c r="G35" s="247" t="s">
        <v>312</v>
      </c>
      <c r="H35" s="249">
        <v>103408</v>
      </c>
      <c r="I35" s="249">
        <v>0</v>
      </c>
      <c r="J35" s="249">
        <v>0</v>
      </c>
      <c r="K35" s="249"/>
      <c r="L35" s="242">
        <f t="shared" si="19"/>
        <v>103408</v>
      </c>
      <c r="M35" s="456"/>
      <c r="N35" s="461">
        <f t="shared" si="20"/>
        <v>103408</v>
      </c>
      <c r="O35" s="261">
        <f t="shared" si="21"/>
        <v>103408</v>
      </c>
      <c r="P35" s="261"/>
      <c r="Q35" s="626">
        <f t="shared" si="22"/>
        <v>103408</v>
      </c>
      <c r="R35" s="627">
        <v>103408</v>
      </c>
      <c r="S35" s="626">
        <f t="shared" si="23"/>
        <v>103408</v>
      </c>
      <c r="T35" s="629">
        <f t="shared" si="24"/>
        <v>0</v>
      </c>
      <c r="U35" s="618">
        <f t="shared" si="25"/>
        <v>103408</v>
      </c>
      <c r="V35" s="395">
        <f t="shared" si="26"/>
        <v>0</v>
      </c>
      <c r="W35" s="395"/>
      <c r="X35" s="396">
        <f>+V35+U35</f>
        <v>103408</v>
      </c>
      <c r="Y35" s="790">
        <v>103384.44</v>
      </c>
      <c r="Z35" s="392">
        <f>+X35-Y35</f>
        <v>23.559999999997672</v>
      </c>
      <c r="AA35" s="392">
        <v>0</v>
      </c>
      <c r="AB35" s="877">
        <f t="shared" si="27"/>
        <v>23.559999999997672</v>
      </c>
      <c r="AC35" s="391">
        <f t="shared" si="28"/>
        <v>103408</v>
      </c>
      <c r="AD35" s="396">
        <f t="shared" si="29"/>
        <v>0</v>
      </c>
      <c r="AE35" s="397">
        <v>103384.44</v>
      </c>
      <c r="AF35" s="394"/>
      <c r="AG35" s="464"/>
      <c r="AH35" s="397">
        <f t="shared" si="30"/>
        <v>103384.44</v>
      </c>
      <c r="AI35" s="399">
        <f t="shared" si="9"/>
        <v>0.99977216462942908</v>
      </c>
      <c r="AJ35" s="402"/>
      <c r="AK35" s="224">
        <v>31</v>
      </c>
      <c r="AL35" s="402"/>
    </row>
    <row r="36" spans="2:38" ht="14.1" customHeight="1" x14ac:dyDescent="0.2">
      <c r="B36" s="238" t="s">
        <v>463</v>
      </c>
      <c r="C36" s="248" t="s">
        <v>194</v>
      </c>
      <c r="D36" s="239" t="s">
        <v>15</v>
      </c>
      <c r="E36" s="247" t="s">
        <v>224</v>
      </c>
      <c r="F36" s="247" t="s">
        <v>426</v>
      </c>
      <c r="G36" s="247" t="s">
        <v>314</v>
      </c>
      <c r="H36" s="249">
        <v>13156</v>
      </c>
      <c r="I36" s="249">
        <v>0</v>
      </c>
      <c r="J36" s="249">
        <v>0</v>
      </c>
      <c r="K36" s="249"/>
      <c r="L36" s="242">
        <f t="shared" si="19"/>
        <v>13156</v>
      </c>
      <c r="M36" s="456">
        <v>4021</v>
      </c>
      <c r="N36" s="461">
        <f t="shared" si="20"/>
        <v>9135</v>
      </c>
      <c r="O36" s="261">
        <f t="shared" si="21"/>
        <v>9135</v>
      </c>
      <c r="P36" s="261"/>
      <c r="Q36" s="626">
        <f t="shared" si="22"/>
        <v>9135</v>
      </c>
      <c r="R36" s="627">
        <v>13156</v>
      </c>
      <c r="S36" s="626">
        <f t="shared" si="23"/>
        <v>13156</v>
      </c>
      <c r="T36" s="629">
        <f t="shared" si="24"/>
        <v>-4021</v>
      </c>
      <c r="U36" s="618">
        <f t="shared" si="25"/>
        <v>9135</v>
      </c>
      <c r="V36" s="395">
        <f t="shared" si="26"/>
        <v>0</v>
      </c>
      <c r="W36" s="395"/>
      <c r="X36" s="396">
        <f>+V36+U36</f>
        <v>9135</v>
      </c>
      <c r="Y36" s="790">
        <v>9084.94</v>
      </c>
      <c r="Z36" s="392">
        <f>+X36-Y36</f>
        <v>50.059999999999491</v>
      </c>
      <c r="AA36" s="392">
        <v>0</v>
      </c>
      <c r="AB36" s="877">
        <f t="shared" si="27"/>
        <v>50.059999999999491</v>
      </c>
      <c r="AC36" s="391">
        <f t="shared" si="28"/>
        <v>13156</v>
      </c>
      <c r="AD36" s="396">
        <f t="shared" si="29"/>
        <v>4021</v>
      </c>
      <c r="AE36" s="397">
        <v>9085</v>
      </c>
      <c r="AF36" s="394"/>
      <c r="AG36" s="464">
        <v>41</v>
      </c>
      <c r="AH36" s="397">
        <f t="shared" si="30"/>
        <v>13147</v>
      </c>
      <c r="AI36" s="399">
        <f t="shared" si="9"/>
        <v>0.99931590148981453</v>
      </c>
      <c r="AJ36" s="402"/>
      <c r="AK36" s="224">
        <v>32</v>
      </c>
      <c r="AL36" s="402"/>
    </row>
    <row r="37" spans="2:38" ht="14.1" customHeight="1" x14ac:dyDescent="0.2">
      <c r="B37" s="238" t="s">
        <v>463</v>
      </c>
      <c r="C37" s="248" t="s">
        <v>194</v>
      </c>
      <c r="D37" s="239" t="s">
        <v>15</v>
      </c>
      <c r="E37" s="247" t="s">
        <v>208</v>
      </c>
      <c r="F37" s="247" t="s">
        <v>427</v>
      </c>
      <c r="G37" s="247" t="s">
        <v>316</v>
      </c>
      <c r="H37" s="249">
        <v>16381.92</v>
      </c>
      <c r="I37" s="249">
        <v>125</v>
      </c>
      <c r="J37" s="249">
        <v>125</v>
      </c>
      <c r="K37" s="249"/>
      <c r="L37" s="242">
        <f t="shared" si="19"/>
        <v>16631.919999999998</v>
      </c>
      <c r="M37" s="456"/>
      <c r="N37" s="461">
        <f t="shared" si="20"/>
        <v>16381.92</v>
      </c>
      <c r="O37" s="261">
        <f t="shared" si="21"/>
        <v>16381.92</v>
      </c>
      <c r="P37" s="261"/>
      <c r="Q37" s="626">
        <f t="shared" si="22"/>
        <v>16381.92</v>
      </c>
      <c r="R37" s="627">
        <v>16382</v>
      </c>
      <c r="S37" s="626">
        <f t="shared" si="23"/>
        <v>16382</v>
      </c>
      <c r="T37" s="629">
        <f t="shared" si="24"/>
        <v>-7.999999999992724E-2</v>
      </c>
      <c r="U37" s="618">
        <f t="shared" si="25"/>
        <v>16381.92</v>
      </c>
      <c r="V37" s="395">
        <f t="shared" si="26"/>
        <v>125</v>
      </c>
      <c r="W37" s="395"/>
      <c r="X37" s="396">
        <f>+V37+U37</f>
        <v>16506.919999999998</v>
      </c>
      <c r="Y37" s="790">
        <v>16369.62</v>
      </c>
      <c r="Z37" s="392">
        <f>+X37-Y37</f>
        <v>137.29999999999745</v>
      </c>
      <c r="AA37" s="392">
        <v>125</v>
      </c>
      <c r="AB37" s="877">
        <f t="shared" si="27"/>
        <v>262.29999999999745</v>
      </c>
      <c r="AC37" s="391">
        <f t="shared" si="28"/>
        <v>16631.919999999998</v>
      </c>
      <c r="AD37" s="396">
        <f t="shared" si="29"/>
        <v>0</v>
      </c>
      <c r="AE37" s="397">
        <v>16369.62</v>
      </c>
      <c r="AF37" s="394">
        <v>169</v>
      </c>
      <c r="AG37" s="464"/>
      <c r="AH37" s="397">
        <f t="shared" si="30"/>
        <v>16538.620000000003</v>
      </c>
      <c r="AI37" s="399">
        <f t="shared" ref="AI37:AI68" si="31">+AH37/AC37</f>
        <v>0.99439030490767177</v>
      </c>
      <c r="AJ37" s="402"/>
      <c r="AK37" s="224">
        <v>33</v>
      </c>
      <c r="AL37" s="402"/>
    </row>
    <row r="38" spans="2:38" ht="14.1" customHeight="1" x14ac:dyDescent="0.2">
      <c r="B38" s="238" t="s">
        <v>463</v>
      </c>
      <c r="C38" s="248" t="s">
        <v>194</v>
      </c>
      <c r="D38" s="239" t="s">
        <v>15</v>
      </c>
      <c r="E38" s="247" t="s">
        <v>205</v>
      </c>
      <c r="F38" s="247" t="s">
        <v>428</v>
      </c>
      <c r="G38" s="247" t="s">
        <v>317</v>
      </c>
      <c r="H38" s="249">
        <v>13711</v>
      </c>
      <c r="I38" s="249">
        <v>0</v>
      </c>
      <c r="J38" s="249">
        <v>0</v>
      </c>
      <c r="K38" s="249"/>
      <c r="L38" s="242">
        <f t="shared" si="19"/>
        <v>13711</v>
      </c>
      <c r="M38" s="456"/>
      <c r="N38" s="461">
        <f t="shared" si="20"/>
        <v>13711</v>
      </c>
      <c r="O38" s="261">
        <f t="shared" si="21"/>
        <v>13711</v>
      </c>
      <c r="P38" s="261"/>
      <c r="Q38" s="626">
        <f t="shared" si="22"/>
        <v>13711</v>
      </c>
      <c r="R38" s="627">
        <v>13711</v>
      </c>
      <c r="S38" s="626">
        <f t="shared" si="23"/>
        <v>13711</v>
      </c>
      <c r="T38" s="629">
        <f t="shared" si="24"/>
        <v>0</v>
      </c>
      <c r="U38" s="618">
        <f t="shared" si="25"/>
        <v>13711</v>
      </c>
      <c r="V38" s="395">
        <f t="shared" si="26"/>
        <v>0</v>
      </c>
      <c r="W38" s="395"/>
      <c r="X38" s="396">
        <f>+V38+U38</f>
        <v>13711</v>
      </c>
      <c r="Y38" s="790">
        <v>13612.18</v>
      </c>
      <c r="Z38" s="392">
        <f>+X38-Y38</f>
        <v>98.819999999999709</v>
      </c>
      <c r="AA38" s="392">
        <v>0</v>
      </c>
      <c r="AB38" s="877">
        <f t="shared" si="27"/>
        <v>98.819999999999709</v>
      </c>
      <c r="AC38" s="391">
        <f t="shared" si="28"/>
        <v>13711</v>
      </c>
      <c r="AD38" s="396">
        <f t="shared" si="29"/>
        <v>0</v>
      </c>
      <c r="AE38" s="397">
        <v>13612.18</v>
      </c>
      <c r="AF38" s="394"/>
      <c r="AG38" s="464"/>
      <c r="AH38" s="397">
        <f t="shared" si="30"/>
        <v>13612.18</v>
      </c>
      <c r="AI38" s="399">
        <f t="shared" si="31"/>
        <v>0.99279264823864055</v>
      </c>
      <c r="AJ38" s="402"/>
      <c r="AK38" s="224">
        <v>34</v>
      </c>
      <c r="AL38" s="402"/>
    </row>
    <row r="39" spans="2:38" ht="14.1" customHeight="1" x14ac:dyDescent="0.2">
      <c r="B39" s="238" t="s">
        <v>463</v>
      </c>
      <c r="C39" s="248" t="s">
        <v>194</v>
      </c>
      <c r="D39" s="239" t="s">
        <v>15</v>
      </c>
      <c r="E39" s="247" t="s">
        <v>205</v>
      </c>
      <c r="F39" s="247" t="s">
        <v>429</v>
      </c>
      <c r="G39" s="247" t="s">
        <v>319</v>
      </c>
      <c r="H39" s="249">
        <v>25534.6</v>
      </c>
      <c r="I39" s="249">
        <v>25534.6</v>
      </c>
      <c r="J39" s="249">
        <v>25534.6</v>
      </c>
      <c r="K39" s="249"/>
      <c r="L39" s="242">
        <f t="shared" si="19"/>
        <v>76603.799999999988</v>
      </c>
      <c r="M39" s="456"/>
      <c r="N39" s="461">
        <f t="shared" si="20"/>
        <v>25534.6</v>
      </c>
      <c r="O39" s="261">
        <f t="shared" si="21"/>
        <v>25534.6</v>
      </c>
      <c r="P39" s="261"/>
      <c r="Q39" s="626">
        <f t="shared" si="22"/>
        <v>25534.6</v>
      </c>
      <c r="R39" s="627">
        <v>25535</v>
      </c>
      <c r="S39" s="626">
        <f t="shared" si="23"/>
        <v>25535</v>
      </c>
      <c r="T39" s="629">
        <f t="shared" si="24"/>
        <v>-0.40000000000145519</v>
      </c>
      <c r="U39" s="618">
        <f t="shared" si="25"/>
        <v>25534.6</v>
      </c>
      <c r="V39" s="395">
        <f t="shared" si="26"/>
        <v>25534.6</v>
      </c>
      <c r="W39" s="395"/>
      <c r="X39" s="396">
        <f>+V39+U39+0.8</f>
        <v>51070</v>
      </c>
      <c r="Y39" s="790">
        <v>17750</v>
      </c>
      <c r="Z39" s="789">
        <f>+X39-Y39+0.8</f>
        <v>33320.800000000003</v>
      </c>
      <c r="AA39" s="392">
        <v>25534.6</v>
      </c>
      <c r="AB39" s="877">
        <f t="shared" si="27"/>
        <v>58855.4</v>
      </c>
      <c r="AC39" s="391">
        <f t="shared" si="28"/>
        <v>76603.799999999988</v>
      </c>
      <c r="AD39" s="396">
        <f t="shared" si="29"/>
        <v>0</v>
      </c>
      <c r="AE39" s="397">
        <v>17750</v>
      </c>
      <c r="AF39" s="394">
        <v>8164.19</v>
      </c>
      <c r="AG39" s="464">
        <v>3448.82</v>
      </c>
      <c r="AH39" s="397">
        <f t="shared" si="30"/>
        <v>29363.01</v>
      </c>
      <c r="AI39" s="399">
        <f t="shared" si="31"/>
        <v>0.38331009688814399</v>
      </c>
      <c r="AJ39" s="402"/>
      <c r="AK39" s="224">
        <v>35</v>
      </c>
      <c r="AL39" s="402"/>
    </row>
    <row r="40" spans="2:38" ht="14.1" customHeight="1" x14ac:dyDescent="0.2">
      <c r="B40" s="238" t="s">
        <v>463</v>
      </c>
      <c r="C40" s="248" t="s">
        <v>194</v>
      </c>
      <c r="D40" s="239" t="s">
        <v>11</v>
      </c>
      <c r="E40" s="247" t="s">
        <v>196</v>
      </c>
      <c r="F40" s="247" t="s">
        <v>430</v>
      </c>
      <c r="G40" s="247" t="s">
        <v>353</v>
      </c>
      <c r="H40" s="249">
        <v>24000</v>
      </c>
      <c r="I40" s="249">
        <v>0</v>
      </c>
      <c r="J40" s="249">
        <v>0</v>
      </c>
      <c r="K40" s="249"/>
      <c r="L40" s="242">
        <f t="shared" si="19"/>
        <v>24000</v>
      </c>
      <c r="M40" s="456">
        <v>22551.29</v>
      </c>
      <c r="N40" s="461">
        <f t="shared" si="20"/>
        <v>1448.7099999999991</v>
      </c>
      <c r="O40" s="261">
        <f t="shared" si="21"/>
        <v>1448.7099999999991</v>
      </c>
      <c r="P40" s="261"/>
      <c r="Q40" s="626">
        <f t="shared" si="22"/>
        <v>1448.7099999999991</v>
      </c>
      <c r="R40" s="627">
        <v>24000</v>
      </c>
      <c r="S40" s="626">
        <f t="shared" si="23"/>
        <v>24000</v>
      </c>
      <c r="T40" s="629">
        <f t="shared" si="24"/>
        <v>-22551.29</v>
      </c>
      <c r="U40" s="618">
        <f t="shared" si="25"/>
        <v>1448.7099999999991</v>
      </c>
      <c r="V40" s="395">
        <f t="shared" si="26"/>
        <v>0</v>
      </c>
      <c r="W40" s="395"/>
      <c r="X40" s="396">
        <f t="shared" ref="X40:X65" si="32">+V40+U40</f>
        <v>1448.7099999999991</v>
      </c>
      <c r="Y40" s="790">
        <v>1414.36</v>
      </c>
      <c r="Z40" s="788">
        <f t="shared" ref="Z40:Z60" si="33">+X40-Y40</f>
        <v>34.349999999999227</v>
      </c>
      <c r="AA40" s="392">
        <v>0</v>
      </c>
      <c r="AB40" s="877">
        <v>0</v>
      </c>
      <c r="AC40" s="391">
        <f t="shared" si="28"/>
        <v>24000</v>
      </c>
      <c r="AD40" s="396">
        <f t="shared" si="29"/>
        <v>22551.29</v>
      </c>
      <c r="AE40" s="397">
        <v>1414.36</v>
      </c>
      <c r="AF40" s="394"/>
      <c r="AG40" s="464"/>
      <c r="AH40" s="397">
        <f t="shared" si="30"/>
        <v>23965.65</v>
      </c>
      <c r="AI40" s="399">
        <f t="shared" si="31"/>
        <v>0.99856875000000012</v>
      </c>
      <c r="AK40" s="224">
        <v>36</v>
      </c>
    </row>
    <row r="41" spans="2:38" ht="14.1" customHeight="1" x14ac:dyDescent="0.2">
      <c r="B41" s="238" t="s">
        <v>463</v>
      </c>
      <c r="C41" s="248" t="s">
        <v>194</v>
      </c>
      <c r="D41" s="239" t="s">
        <v>11</v>
      </c>
      <c r="E41" s="247" t="s">
        <v>234</v>
      </c>
      <c r="F41" s="247" t="s">
        <v>431</v>
      </c>
      <c r="G41" s="247" t="s">
        <v>354</v>
      </c>
      <c r="H41" s="249">
        <v>19500</v>
      </c>
      <c r="I41" s="249">
        <v>0</v>
      </c>
      <c r="J41" s="249">
        <v>0</v>
      </c>
      <c r="K41" s="249"/>
      <c r="L41" s="242">
        <f t="shared" si="19"/>
        <v>19500</v>
      </c>
      <c r="M41" s="456"/>
      <c r="N41" s="461">
        <f t="shared" si="20"/>
        <v>19500</v>
      </c>
      <c r="O41" s="261">
        <f t="shared" si="21"/>
        <v>19500</v>
      </c>
      <c r="P41" s="261"/>
      <c r="Q41" s="626">
        <f t="shared" si="22"/>
        <v>19500</v>
      </c>
      <c r="R41" s="627">
        <v>19500</v>
      </c>
      <c r="S41" s="626">
        <f t="shared" si="23"/>
        <v>19500</v>
      </c>
      <c r="T41" s="629">
        <f t="shared" si="24"/>
        <v>0</v>
      </c>
      <c r="U41" s="618">
        <f t="shared" si="25"/>
        <v>19500</v>
      </c>
      <c r="V41" s="395">
        <f t="shared" si="26"/>
        <v>0</v>
      </c>
      <c r="W41" s="395"/>
      <c r="X41" s="396">
        <f t="shared" si="32"/>
        <v>19500</v>
      </c>
      <c r="Y41" s="790">
        <v>19473.52</v>
      </c>
      <c r="Z41" s="392">
        <f t="shared" si="33"/>
        <v>26.479999999999563</v>
      </c>
      <c r="AA41" s="392">
        <v>0</v>
      </c>
      <c r="AB41" s="877">
        <f>+AA41+Z41</f>
        <v>26.479999999999563</v>
      </c>
      <c r="AC41" s="391">
        <f t="shared" si="28"/>
        <v>19500</v>
      </c>
      <c r="AD41" s="396">
        <f t="shared" si="29"/>
        <v>0</v>
      </c>
      <c r="AE41" s="397">
        <v>19473.52</v>
      </c>
      <c r="AF41" s="394"/>
      <c r="AG41" s="464">
        <v>26.48</v>
      </c>
      <c r="AH41" s="397">
        <f t="shared" si="30"/>
        <v>19500</v>
      </c>
      <c r="AI41" s="399">
        <f t="shared" si="31"/>
        <v>1</v>
      </c>
      <c r="AK41" s="224">
        <v>37</v>
      </c>
    </row>
    <row r="42" spans="2:38" ht="14.1" customHeight="1" x14ac:dyDescent="0.2">
      <c r="B42" s="238" t="s">
        <v>463</v>
      </c>
      <c r="C42" s="240" t="s">
        <v>194</v>
      </c>
      <c r="D42" s="239" t="s">
        <v>11</v>
      </c>
      <c r="E42" s="277" t="s">
        <v>234</v>
      </c>
      <c r="F42" s="250" t="s">
        <v>432</v>
      </c>
      <c r="G42" s="277" t="s">
        <v>325</v>
      </c>
      <c r="H42" s="242">
        <v>8000</v>
      </c>
      <c r="I42" s="242">
        <v>0</v>
      </c>
      <c r="J42" s="242">
        <v>0</v>
      </c>
      <c r="K42" s="242"/>
      <c r="L42" s="242">
        <f t="shared" si="19"/>
        <v>8000</v>
      </c>
      <c r="M42" s="456"/>
      <c r="N42" s="461">
        <f t="shared" si="20"/>
        <v>8000</v>
      </c>
      <c r="O42" s="261">
        <f t="shared" si="21"/>
        <v>8000</v>
      </c>
      <c r="P42" s="261"/>
      <c r="Q42" s="626">
        <f t="shared" si="22"/>
        <v>8000</v>
      </c>
      <c r="R42" s="627">
        <v>8000</v>
      </c>
      <c r="S42" s="626">
        <f t="shared" si="23"/>
        <v>8000</v>
      </c>
      <c r="T42" s="629">
        <f t="shared" si="24"/>
        <v>0</v>
      </c>
      <c r="U42" s="618">
        <f t="shared" si="25"/>
        <v>8000</v>
      </c>
      <c r="V42" s="395">
        <f t="shared" si="26"/>
        <v>0</v>
      </c>
      <c r="W42" s="395"/>
      <c r="X42" s="396">
        <f t="shared" si="32"/>
        <v>8000</v>
      </c>
      <c r="Y42" s="790">
        <v>8000</v>
      </c>
      <c r="Z42" s="392">
        <f t="shared" si="33"/>
        <v>0</v>
      </c>
      <c r="AA42" s="392">
        <v>0</v>
      </c>
      <c r="AB42" s="877">
        <f>+AA42+Z42</f>
        <v>0</v>
      </c>
      <c r="AC42" s="391">
        <f t="shared" si="28"/>
        <v>8000</v>
      </c>
      <c r="AD42" s="396">
        <f t="shared" si="29"/>
        <v>0</v>
      </c>
      <c r="AE42" s="397">
        <v>8000</v>
      </c>
      <c r="AF42" s="394"/>
      <c r="AG42" s="464"/>
      <c r="AH42" s="397">
        <f t="shared" si="30"/>
        <v>8000</v>
      </c>
      <c r="AI42" s="399">
        <f t="shared" si="31"/>
        <v>1</v>
      </c>
      <c r="AK42" s="224">
        <v>38</v>
      </c>
    </row>
    <row r="43" spans="2:38" ht="14.1" customHeight="1" x14ac:dyDescent="0.2">
      <c r="B43" s="238" t="s">
        <v>463</v>
      </c>
      <c r="C43" s="248" t="s">
        <v>194</v>
      </c>
      <c r="D43" s="239" t="s">
        <v>11</v>
      </c>
      <c r="E43" s="247" t="s">
        <v>236</v>
      </c>
      <c r="F43" s="247" t="s">
        <v>433</v>
      </c>
      <c r="G43" s="247" t="s">
        <v>326</v>
      </c>
      <c r="H43" s="249">
        <f>19002.26+1</f>
        <v>19003.259999999998</v>
      </c>
      <c r="I43" s="249">
        <v>0</v>
      </c>
      <c r="J43" s="249">
        <v>0</v>
      </c>
      <c r="K43" s="249"/>
      <c r="L43" s="242">
        <f t="shared" si="19"/>
        <v>19003.259999999998</v>
      </c>
      <c r="M43" s="456"/>
      <c r="N43" s="461">
        <f t="shared" si="20"/>
        <v>19003.259999999998</v>
      </c>
      <c r="O43" s="261">
        <f t="shared" si="21"/>
        <v>19003.259999999998</v>
      </c>
      <c r="P43" s="261"/>
      <c r="Q43" s="626">
        <f t="shared" si="22"/>
        <v>19003.259999999998</v>
      </c>
      <c r="R43" s="627">
        <v>19003</v>
      </c>
      <c r="S43" s="626">
        <f t="shared" si="23"/>
        <v>19003</v>
      </c>
      <c r="T43" s="629">
        <f t="shared" si="24"/>
        <v>0.25999999999839929</v>
      </c>
      <c r="U43" s="618">
        <f t="shared" si="25"/>
        <v>19003.259999999998</v>
      </c>
      <c r="V43" s="395">
        <f t="shared" si="26"/>
        <v>0</v>
      </c>
      <c r="W43" s="395"/>
      <c r="X43" s="396">
        <f t="shared" si="32"/>
        <v>19003.259999999998</v>
      </c>
      <c r="Y43" s="790">
        <v>18948.25</v>
      </c>
      <c r="Z43" s="788">
        <f t="shared" si="33"/>
        <v>55.009999999998399</v>
      </c>
      <c r="AA43" s="392">
        <v>0</v>
      </c>
      <c r="AB43" s="877">
        <v>0</v>
      </c>
      <c r="AC43" s="391">
        <f t="shared" si="28"/>
        <v>19003.259999999998</v>
      </c>
      <c r="AD43" s="396">
        <f t="shared" si="29"/>
        <v>0</v>
      </c>
      <c r="AE43" s="397">
        <v>18948.25</v>
      </c>
      <c r="AF43" s="394"/>
      <c r="AG43" s="464"/>
      <c r="AH43" s="397">
        <f t="shared" si="30"/>
        <v>18948.25</v>
      </c>
      <c r="AI43" s="399">
        <f t="shared" si="31"/>
        <v>0.99710523352309033</v>
      </c>
      <c r="AK43" s="224">
        <v>39</v>
      </c>
    </row>
    <row r="44" spans="2:38" ht="14.1" customHeight="1" x14ac:dyDescent="0.2">
      <c r="B44" s="238" t="s">
        <v>463</v>
      </c>
      <c r="C44" s="248" t="s">
        <v>194</v>
      </c>
      <c r="D44" s="239" t="s">
        <v>11</v>
      </c>
      <c r="E44" s="247" t="s">
        <v>236</v>
      </c>
      <c r="F44" s="247" t="s">
        <v>434</v>
      </c>
      <c r="G44" s="247" t="s">
        <v>378</v>
      </c>
      <c r="H44" s="249">
        <v>22444.95</v>
      </c>
      <c r="I44" s="249">
        <v>0</v>
      </c>
      <c r="J44" s="249">
        <v>0</v>
      </c>
      <c r="K44" s="249"/>
      <c r="L44" s="242">
        <f t="shared" si="19"/>
        <v>22444.95</v>
      </c>
      <c r="M44" s="456"/>
      <c r="N44" s="461">
        <f t="shared" si="20"/>
        <v>22444.95</v>
      </c>
      <c r="O44" s="261">
        <f t="shared" si="21"/>
        <v>22444.95</v>
      </c>
      <c r="P44" s="261"/>
      <c r="Q44" s="626">
        <f t="shared" si="22"/>
        <v>22444.95</v>
      </c>
      <c r="R44" s="627">
        <v>22445</v>
      </c>
      <c r="S44" s="626">
        <f t="shared" si="23"/>
        <v>22445</v>
      </c>
      <c r="T44" s="629">
        <f t="shared" si="24"/>
        <v>-4.9999999999272404E-2</v>
      </c>
      <c r="U44" s="618">
        <f t="shared" si="25"/>
        <v>22444.95</v>
      </c>
      <c r="V44" s="395">
        <f t="shared" si="26"/>
        <v>0</v>
      </c>
      <c r="W44" s="395"/>
      <c r="X44" s="396">
        <f t="shared" si="32"/>
        <v>22444.95</v>
      </c>
      <c r="Y44" s="790">
        <v>21743.52</v>
      </c>
      <c r="Z44" s="392">
        <f t="shared" si="33"/>
        <v>701.43000000000029</v>
      </c>
      <c r="AA44" s="392">
        <v>0</v>
      </c>
      <c r="AB44" s="877">
        <f t="shared" ref="AB44:AB50" si="34">+AA44+Z44</f>
        <v>701.43000000000029</v>
      </c>
      <c r="AC44" s="391">
        <f t="shared" si="28"/>
        <v>22444.95</v>
      </c>
      <c r="AD44" s="396">
        <f t="shared" si="29"/>
        <v>0</v>
      </c>
      <c r="AE44" s="397">
        <v>21743.52</v>
      </c>
      <c r="AF44" s="394"/>
      <c r="AG44" s="464">
        <v>250</v>
      </c>
      <c r="AH44" s="397">
        <f t="shared" si="30"/>
        <v>21993.52</v>
      </c>
      <c r="AI44" s="399">
        <f t="shared" si="31"/>
        <v>0.97988723521326626</v>
      </c>
      <c r="AK44" s="224">
        <v>40</v>
      </c>
    </row>
    <row r="45" spans="2:38" ht="14.1" customHeight="1" x14ac:dyDescent="0.2">
      <c r="B45" s="238" t="s">
        <v>463</v>
      </c>
      <c r="C45" s="248" t="s">
        <v>194</v>
      </c>
      <c r="D45" s="239" t="s">
        <v>25</v>
      </c>
      <c r="E45" s="247" t="s">
        <v>210</v>
      </c>
      <c r="F45" s="247" t="s">
        <v>435</v>
      </c>
      <c r="G45" s="247" t="s">
        <v>329</v>
      </c>
      <c r="H45" s="249">
        <v>8800</v>
      </c>
      <c r="I45" s="249">
        <v>3100</v>
      </c>
      <c r="J45" s="249">
        <v>3100</v>
      </c>
      <c r="K45" s="249"/>
      <c r="L45" s="242">
        <f t="shared" si="19"/>
        <v>15000</v>
      </c>
      <c r="M45" s="456">
        <v>3069.47</v>
      </c>
      <c r="N45" s="461">
        <f t="shared" si="20"/>
        <v>5730.5300000000007</v>
      </c>
      <c r="O45" s="261">
        <f t="shared" si="21"/>
        <v>5730.5300000000007</v>
      </c>
      <c r="P45" s="261"/>
      <c r="Q45" s="626">
        <f t="shared" si="22"/>
        <v>5730.5300000000007</v>
      </c>
      <c r="R45" s="627">
        <v>8800</v>
      </c>
      <c r="S45" s="626">
        <f t="shared" si="23"/>
        <v>8800</v>
      </c>
      <c r="T45" s="629">
        <f t="shared" si="24"/>
        <v>-3069.4699999999993</v>
      </c>
      <c r="U45" s="618">
        <f t="shared" si="25"/>
        <v>5730.5300000000007</v>
      </c>
      <c r="V45" s="395">
        <f t="shared" si="26"/>
        <v>3100</v>
      </c>
      <c r="W45" s="395"/>
      <c r="X45" s="396">
        <f t="shared" si="32"/>
        <v>8830.5300000000007</v>
      </c>
      <c r="Y45" s="790">
        <v>8523.64</v>
      </c>
      <c r="Z45" s="392">
        <f t="shared" si="33"/>
        <v>306.89000000000124</v>
      </c>
      <c r="AA45" s="392">
        <v>3100</v>
      </c>
      <c r="AB45" s="877">
        <f t="shared" si="34"/>
        <v>3406.8900000000012</v>
      </c>
      <c r="AC45" s="391">
        <f t="shared" si="28"/>
        <v>15000</v>
      </c>
      <c r="AD45" s="396">
        <f t="shared" si="29"/>
        <v>3069.47</v>
      </c>
      <c r="AE45" s="397">
        <v>8523.64</v>
      </c>
      <c r="AF45" s="394"/>
      <c r="AG45" s="464">
        <v>0</v>
      </c>
      <c r="AH45" s="397">
        <f t="shared" si="30"/>
        <v>11593.109999999999</v>
      </c>
      <c r="AI45" s="399">
        <f t="shared" si="31"/>
        <v>0.77287399999999995</v>
      </c>
      <c r="AK45" s="224">
        <v>41</v>
      </c>
    </row>
    <row r="46" spans="2:38" ht="14.1" customHeight="1" x14ac:dyDescent="0.2">
      <c r="B46" s="238" t="s">
        <v>463</v>
      </c>
      <c r="C46" s="240" t="s">
        <v>194</v>
      </c>
      <c r="D46" s="239" t="s">
        <v>25</v>
      </c>
      <c r="E46" s="277" t="s">
        <v>267</v>
      </c>
      <c r="F46" s="250" t="s">
        <v>436</v>
      </c>
      <c r="G46" s="277" t="s">
        <v>332</v>
      </c>
      <c r="H46" s="242">
        <v>7494</v>
      </c>
      <c r="I46" s="242">
        <v>7494</v>
      </c>
      <c r="J46" s="242">
        <v>7494</v>
      </c>
      <c r="K46" s="242"/>
      <c r="L46" s="242">
        <f t="shared" si="19"/>
        <v>22482</v>
      </c>
      <c r="M46" s="456"/>
      <c r="N46" s="461">
        <f t="shared" si="20"/>
        <v>7494</v>
      </c>
      <c r="O46" s="261">
        <f t="shared" si="21"/>
        <v>7494</v>
      </c>
      <c r="P46" s="261"/>
      <c r="Q46" s="626">
        <f t="shared" si="22"/>
        <v>7494</v>
      </c>
      <c r="R46" s="627">
        <v>7494</v>
      </c>
      <c r="S46" s="626">
        <f t="shared" si="23"/>
        <v>7494</v>
      </c>
      <c r="T46" s="629">
        <f t="shared" si="24"/>
        <v>0</v>
      </c>
      <c r="U46" s="618">
        <f t="shared" si="25"/>
        <v>7494</v>
      </c>
      <c r="V46" s="395">
        <f t="shared" si="26"/>
        <v>7494</v>
      </c>
      <c r="W46" s="395"/>
      <c r="X46" s="396">
        <f t="shared" si="32"/>
        <v>14988</v>
      </c>
      <c r="Y46" s="790">
        <v>22482</v>
      </c>
      <c r="Z46" s="392">
        <f t="shared" si="33"/>
        <v>-7494</v>
      </c>
      <c r="AA46" s="392">
        <v>7494</v>
      </c>
      <c r="AB46" s="877">
        <f t="shared" si="34"/>
        <v>0</v>
      </c>
      <c r="AC46" s="391">
        <f t="shared" si="28"/>
        <v>22482</v>
      </c>
      <c r="AD46" s="396">
        <f t="shared" si="29"/>
        <v>0</v>
      </c>
      <c r="AE46" s="397">
        <v>22482</v>
      </c>
      <c r="AF46" s="394"/>
      <c r="AG46" s="464"/>
      <c r="AH46" s="397">
        <f t="shared" si="30"/>
        <v>22482</v>
      </c>
      <c r="AI46" s="468">
        <f t="shared" si="31"/>
        <v>1</v>
      </c>
      <c r="AJ46" s="614"/>
      <c r="AK46" s="224">
        <v>42</v>
      </c>
    </row>
    <row r="47" spans="2:38" ht="14.1" customHeight="1" x14ac:dyDescent="0.2">
      <c r="B47" s="238" t="s">
        <v>463</v>
      </c>
      <c r="C47" s="248" t="s">
        <v>194</v>
      </c>
      <c r="D47" s="239" t="s">
        <v>27</v>
      </c>
      <c r="E47" s="247" t="s">
        <v>229</v>
      </c>
      <c r="F47" s="247" t="s">
        <v>437</v>
      </c>
      <c r="G47" s="247" t="s">
        <v>341</v>
      </c>
      <c r="H47" s="249">
        <f>16423-5265</f>
        <v>11158</v>
      </c>
      <c r="I47" s="249">
        <f>5765-5265</f>
        <v>500</v>
      </c>
      <c r="J47" s="249">
        <v>500</v>
      </c>
      <c r="K47" s="249"/>
      <c r="L47" s="242">
        <f t="shared" si="19"/>
        <v>12158</v>
      </c>
      <c r="M47" s="456"/>
      <c r="N47" s="461">
        <f t="shared" si="20"/>
        <v>11158</v>
      </c>
      <c r="O47" s="261">
        <f t="shared" si="21"/>
        <v>11158</v>
      </c>
      <c r="P47" s="261"/>
      <c r="Q47" s="626">
        <f t="shared" si="22"/>
        <v>11158</v>
      </c>
      <c r="R47" s="627">
        <v>11158</v>
      </c>
      <c r="S47" s="626">
        <f t="shared" si="23"/>
        <v>11158</v>
      </c>
      <c r="T47" s="629">
        <f t="shared" si="24"/>
        <v>0</v>
      </c>
      <c r="U47" s="618">
        <f t="shared" si="25"/>
        <v>11158</v>
      </c>
      <c r="V47" s="395">
        <f t="shared" si="26"/>
        <v>500</v>
      </c>
      <c r="W47" s="395"/>
      <c r="X47" s="396">
        <f t="shared" si="32"/>
        <v>11658</v>
      </c>
      <c r="Y47" s="790">
        <v>11119.93</v>
      </c>
      <c r="Z47" s="392">
        <f t="shared" si="33"/>
        <v>538.06999999999971</v>
      </c>
      <c r="AA47" s="392">
        <v>500</v>
      </c>
      <c r="AB47" s="877">
        <f t="shared" si="34"/>
        <v>1038.0699999999997</v>
      </c>
      <c r="AC47" s="391">
        <f t="shared" si="28"/>
        <v>12158</v>
      </c>
      <c r="AD47" s="396">
        <f t="shared" si="29"/>
        <v>0</v>
      </c>
      <c r="AE47" s="397">
        <v>11119.93</v>
      </c>
      <c r="AF47" s="394">
        <v>550</v>
      </c>
      <c r="AG47" s="464"/>
      <c r="AH47" s="397">
        <f t="shared" si="30"/>
        <v>11669.93</v>
      </c>
      <c r="AI47" s="399">
        <f t="shared" si="31"/>
        <v>0.95985606185227834</v>
      </c>
      <c r="AK47" s="224">
        <v>43</v>
      </c>
    </row>
    <row r="48" spans="2:38" ht="14.1" customHeight="1" x14ac:dyDescent="0.2">
      <c r="B48" s="238" t="s">
        <v>463</v>
      </c>
      <c r="C48" s="240" t="s">
        <v>194</v>
      </c>
      <c r="D48" s="277" t="s">
        <v>321</v>
      </c>
      <c r="E48" s="277" t="s">
        <v>274</v>
      </c>
      <c r="F48" s="277" t="s">
        <v>438</v>
      </c>
      <c r="G48" s="277" t="s">
        <v>322</v>
      </c>
      <c r="H48" s="242">
        <v>96075</v>
      </c>
      <c r="I48" s="242">
        <f>100000+8800+57952</f>
        <v>166752</v>
      </c>
      <c r="J48" s="242">
        <f>85850+600</f>
        <v>86450</v>
      </c>
      <c r="K48" s="242"/>
      <c r="L48" s="242">
        <f t="shared" si="19"/>
        <v>349277</v>
      </c>
      <c r="M48" s="456">
        <v>1990</v>
      </c>
      <c r="N48" s="461">
        <f t="shared" si="20"/>
        <v>94085</v>
      </c>
      <c r="O48" s="261">
        <f t="shared" si="21"/>
        <v>94085</v>
      </c>
      <c r="P48" s="261"/>
      <c r="Q48" s="626">
        <f t="shared" si="22"/>
        <v>94085</v>
      </c>
      <c r="R48" s="627">
        <v>94085</v>
      </c>
      <c r="S48" s="626">
        <f t="shared" si="23"/>
        <v>94085</v>
      </c>
      <c r="T48" s="629">
        <f t="shared" si="24"/>
        <v>0</v>
      </c>
      <c r="U48" s="618">
        <f t="shared" si="25"/>
        <v>94085</v>
      </c>
      <c r="V48" s="395">
        <f t="shared" si="26"/>
        <v>166752</v>
      </c>
      <c r="W48" s="395"/>
      <c r="X48" s="396">
        <f t="shared" si="32"/>
        <v>260837</v>
      </c>
      <c r="Y48" s="790">
        <v>258561.48</v>
      </c>
      <c r="Z48" s="392">
        <f t="shared" si="33"/>
        <v>2275.5199999999895</v>
      </c>
      <c r="AA48" s="392">
        <v>86450</v>
      </c>
      <c r="AB48" s="877">
        <f t="shared" si="34"/>
        <v>88725.51999999999</v>
      </c>
      <c r="AC48" s="391">
        <f t="shared" si="28"/>
        <v>349277</v>
      </c>
      <c r="AD48" s="396">
        <f t="shared" si="29"/>
        <v>1990</v>
      </c>
      <c r="AE48" s="397">
        <v>258561</v>
      </c>
      <c r="AF48" s="394">
        <v>59342.79</v>
      </c>
      <c r="AG48" s="464">
        <v>29382.94</v>
      </c>
      <c r="AH48" s="397">
        <f t="shared" si="30"/>
        <v>349276.73</v>
      </c>
      <c r="AI48" s="399">
        <f t="shared" si="31"/>
        <v>0.99999922697457888</v>
      </c>
      <c r="AK48" s="224">
        <v>44</v>
      </c>
    </row>
    <row r="49" spans="2:38" ht="14.1" customHeight="1" x14ac:dyDescent="0.2">
      <c r="B49" s="238" t="s">
        <v>463</v>
      </c>
      <c r="C49" s="248" t="s">
        <v>194</v>
      </c>
      <c r="D49" s="277" t="s">
        <v>323</v>
      </c>
      <c r="E49" s="247" t="s">
        <v>254</v>
      </c>
      <c r="F49" s="247" t="s">
        <v>439</v>
      </c>
      <c r="G49" s="247" t="s">
        <v>352</v>
      </c>
      <c r="H49" s="249">
        <v>9415</v>
      </c>
      <c r="I49" s="249">
        <v>0</v>
      </c>
      <c r="J49" s="249">
        <v>0</v>
      </c>
      <c r="K49" s="249"/>
      <c r="L49" s="242">
        <f t="shared" si="19"/>
        <v>9415</v>
      </c>
      <c r="M49" s="456">
        <v>64.08</v>
      </c>
      <c r="N49" s="461">
        <f t="shared" si="20"/>
        <v>9350.92</v>
      </c>
      <c r="O49" s="261">
        <f t="shared" si="21"/>
        <v>9350.92</v>
      </c>
      <c r="P49" s="261"/>
      <c r="Q49" s="626">
        <f t="shared" si="22"/>
        <v>9350.92</v>
      </c>
      <c r="R49" s="627">
        <v>9415</v>
      </c>
      <c r="S49" s="626">
        <f t="shared" si="23"/>
        <v>9415</v>
      </c>
      <c r="T49" s="629">
        <f t="shared" si="24"/>
        <v>-64.079999999999927</v>
      </c>
      <c r="U49" s="618">
        <f t="shared" si="25"/>
        <v>9350.92</v>
      </c>
      <c r="V49" s="395">
        <f t="shared" si="26"/>
        <v>0</v>
      </c>
      <c r="W49" s="395"/>
      <c r="X49" s="396">
        <f t="shared" si="32"/>
        <v>9350.92</v>
      </c>
      <c r="Y49" s="790">
        <v>7664.87</v>
      </c>
      <c r="Z49" s="392">
        <f t="shared" si="33"/>
        <v>1686.0500000000002</v>
      </c>
      <c r="AA49" s="392">
        <v>0</v>
      </c>
      <c r="AB49" s="877">
        <f t="shared" si="34"/>
        <v>1686.0500000000002</v>
      </c>
      <c r="AC49" s="391">
        <f t="shared" si="28"/>
        <v>9415</v>
      </c>
      <c r="AD49" s="396">
        <f t="shared" si="29"/>
        <v>64.08</v>
      </c>
      <c r="AE49" s="397">
        <v>7664.87</v>
      </c>
      <c r="AF49" s="394"/>
      <c r="AG49" s="464">
        <v>268.97000000000003</v>
      </c>
      <c r="AH49" s="397">
        <f t="shared" si="30"/>
        <v>7997.92</v>
      </c>
      <c r="AI49" s="399">
        <f t="shared" si="31"/>
        <v>0.84948698884758367</v>
      </c>
      <c r="AJ49" s="402"/>
      <c r="AK49" s="224">
        <v>45</v>
      </c>
      <c r="AL49" s="402"/>
    </row>
    <row r="50" spans="2:38" ht="14.1" customHeight="1" x14ac:dyDescent="0.2">
      <c r="B50" s="238" t="s">
        <v>463</v>
      </c>
      <c r="C50" s="248" t="s">
        <v>194</v>
      </c>
      <c r="D50" s="277" t="s">
        <v>350</v>
      </c>
      <c r="E50" s="247" t="s">
        <v>247</v>
      </c>
      <c r="F50" s="247" t="s">
        <v>440</v>
      </c>
      <c r="G50" s="247" t="s">
        <v>351</v>
      </c>
      <c r="H50" s="249">
        <v>32805</v>
      </c>
      <c r="I50" s="249">
        <v>614</v>
      </c>
      <c r="J50" s="249">
        <v>614</v>
      </c>
      <c r="K50" s="249"/>
      <c r="L50" s="242">
        <f t="shared" si="19"/>
        <v>34033</v>
      </c>
      <c r="M50" s="456"/>
      <c r="N50" s="461">
        <f t="shared" si="20"/>
        <v>32805</v>
      </c>
      <c r="O50" s="261">
        <f t="shared" si="21"/>
        <v>32805</v>
      </c>
      <c r="P50" s="261"/>
      <c r="Q50" s="626">
        <f t="shared" si="22"/>
        <v>32805</v>
      </c>
      <c r="R50" s="627">
        <v>32805</v>
      </c>
      <c r="S50" s="626">
        <f t="shared" si="23"/>
        <v>32805</v>
      </c>
      <c r="T50" s="629">
        <f t="shared" si="24"/>
        <v>0</v>
      </c>
      <c r="U50" s="618">
        <f t="shared" si="25"/>
        <v>32805</v>
      </c>
      <c r="V50" s="395">
        <f t="shared" si="26"/>
        <v>614</v>
      </c>
      <c r="W50" s="395"/>
      <c r="X50" s="396">
        <f t="shared" si="32"/>
        <v>33419</v>
      </c>
      <c r="Y50" s="790">
        <v>27588.01</v>
      </c>
      <c r="Z50" s="392">
        <f t="shared" si="33"/>
        <v>5830.9900000000016</v>
      </c>
      <c r="AA50" s="392">
        <v>614</v>
      </c>
      <c r="AB50" s="877">
        <f t="shared" si="34"/>
        <v>6444.9900000000016</v>
      </c>
      <c r="AC50" s="391">
        <f t="shared" si="28"/>
        <v>34033</v>
      </c>
      <c r="AD50" s="396">
        <f t="shared" si="29"/>
        <v>0</v>
      </c>
      <c r="AE50" s="397">
        <v>27588</v>
      </c>
      <c r="AF50" s="394"/>
      <c r="AG50" s="464"/>
      <c r="AH50" s="397">
        <f t="shared" si="30"/>
        <v>27588</v>
      </c>
      <c r="AI50" s="399">
        <f t="shared" si="31"/>
        <v>0.81062498163547148</v>
      </c>
      <c r="AJ50" s="402"/>
      <c r="AK50" s="224">
        <v>46</v>
      </c>
      <c r="AL50" s="402"/>
    </row>
    <row r="51" spans="2:38" ht="14.1" customHeight="1" x14ac:dyDescent="0.2">
      <c r="B51" s="238" t="s">
        <v>463</v>
      </c>
      <c r="C51" s="240" t="s">
        <v>194</v>
      </c>
      <c r="D51" s="277" t="s">
        <v>333</v>
      </c>
      <c r="E51" s="277" t="s">
        <v>279</v>
      </c>
      <c r="F51" s="277" t="s">
        <v>278</v>
      </c>
      <c r="G51" s="277" t="s">
        <v>355</v>
      </c>
      <c r="H51" s="242">
        <v>12200</v>
      </c>
      <c r="I51" s="242">
        <v>79300</v>
      </c>
      <c r="J51" s="242">
        <v>0</v>
      </c>
      <c r="K51" s="242"/>
      <c r="L51" s="242">
        <f t="shared" si="19"/>
        <v>91500</v>
      </c>
      <c r="M51" s="456">
        <v>6751.38</v>
      </c>
      <c r="N51" s="461">
        <f t="shared" si="20"/>
        <v>5448.62</v>
      </c>
      <c r="O51" s="261">
        <f t="shared" si="21"/>
        <v>5448.62</v>
      </c>
      <c r="P51" s="261"/>
      <c r="Q51" s="626">
        <f t="shared" si="22"/>
        <v>5448.62</v>
      </c>
      <c r="R51" s="627">
        <v>6374</v>
      </c>
      <c r="S51" s="626">
        <f t="shared" si="23"/>
        <v>6374</v>
      </c>
      <c r="T51" s="629">
        <f t="shared" si="24"/>
        <v>-925.38000000000011</v>
      </c>
      <c r="U51" s="618">
        <f t="shared" si="25"/>
        <v>5448.62</v>
      </c>
      <c r="V51" s="395">
        <f t="shared" si="26"/>
        <v>79300</v>
      </c>
      <c r="W51" s="395"/>
      <c r="X51" s="856">
        <f t="shared" si="32"/>
        <v>84748.62</v>
      </c>
      <c r="Y51" s="790">
        <v>79541.929999999993</v>
      </c>
      <c r="Z51" s="789">
        <f t="shared" si="33"/>
        <v>5206.6900000000023</v>
      </c>
      <c r="AA51" s="392">
        <v>0</v>
      </c>
      <c r="AB51" s="877">
        <v>5207</v>
      </c>
      <c r="AC51" s="391">
        <f t="shared" si="28"/>
        <v>91500</v>
      </c>
      <c r="AD51" s="396">
        <f t="shared" si="29"/>
        <v>6751.38</v>
      </c>
      <c r="AE51" s="397">
        <v>79542</v>
      </c>
      <c r="AF51" s="394">
        <v>-4897.76</v>
      </c>
      <c r="AG51" s="464">
        <v>0</v>
      </c>
      <c r="AH51" s="397">
        <f t="shared" si="30"/>
        <v>81395.62000000001</v>
      </c>
      <c r="AI51" s="399">
        <f t="shared" si="31"/>
        <v>0.88956961748633889</v>
      </c>
      <c r="AK51" s="224">
        <v>47</v>
      </c>
    </row>
    <row r="52" spans="2:38" ht="14.1" customHeight="1" x14ac:dyDescent="0.2">
      <c r="B52" s="238" t="s">
        <v>463</v>
      </c>
      <c r="C52" s="248" t="s">
        <v>194</v>
      </c>
      <c r="D52" s="277" t="s">
        <v>333</v>
      </c>
      <c r="E52" s="247" t="s">
        <v>217</v>
      </c>
      <c r="F52" s="247" t="s">
        <v>441</v>
      </c>
      <c r="G52" s="247" t="s">
        <v>356</v>
      </c>
      <c r="H52" s="249">
        <v>22385</v>
      </c>
      <c r="I52" s="249">
        <v>2049</v>
      </c>
      <c r="J52" s="249">
        <v>2439</v>
      </c>
      <c r="K52" s="249"/>
      <c r="L52" s="242">
        <f t="shared" si="19"/>
        <v>26873</v>
      </c>
      <c r="M52" s="456"/>
      <c r="N52" s="461">
        <f t="shared" si="20"/>
        <v>22385</v>
      </c>
      <c r="O52" s="261">
        <f t="shared" si="21"/>
        <v>22385</v>
      </c>
      <c r="P52" s="261"/>
      <c r="Q52" s="626">
        <f t="shared" si="22"/>
        <v>22385</v>
      </c>
      <c r="R52" s="627">
        <v>22385</v>
      </c>
      <c r="S52" s="626">
        <f t="shared" si="23"/>
        <v>22385</v>
      </c>
      <c r="T52" s="629">
        <f t="shared" si="24"/>
        <v>0</v>
      </c>
      <c r="U52" s="618">
        <f t="shared" si="25"/>
        <v>22385</v>
      </c>
      <c r="V52" s="395">
        <f t="shared" si="26"/>
        <v>2049</v>
      </c>
      <c r="W52" s="395"/>
      <c r="X52" s="396">
        <f t="shared" si="32"/>
        <v>24434</v>
      </c>
      <c r="Y52" s="790">
        <v>17590</v>
      </c>
      <c r="Z52" s="392">
        <f t="shared" si="33"/>
        <v>6844</v>
      </c>
      <c r="AA52" s="392">
        <v>2439</v>
      </c>
      <c r="AB52" s="877">
        <f t="shared" ref="AB52:AB64" si="35">+AA52+Z52</f>
        <v>9283</v>
      </c>
      <c r="AC52" s="391">
        <f t="shared" si="28"/>
        <v>26873</v>
      </c>
      <c r="AD52" s="396">
        <f t="shared" si="29"/>
        <v>0</v>
      </c>
      <c r="AE52" s="397">
        <v>17590</v>
      </c>
      <c r="AF52" s="394"/>
      <c r="AG52" s="464"/>
      <c r="AH52" s="397">
        <f t="shared" si="30"/>
        <v>17590</v>
      </c>
      <c r="AI52" s="399">
        <f t="shared" si="31"/>
        <v>0.65456033937409297</v>
      </c>
      <c r="AK52" s="224">
        <v>48</v>
      </c>
    </row>
    <row r="53" spans="2:38" ht="14.1" customHeight="1" x14ac:dyDescent="0.2">
      <c r="B53" s="238" t="s">
        <v>463</v>
      </c>
      <c r="C53" s="240" t="s">
        <v>194</v>
      </c>
      <c r="D53" s="277" t="s">
        <v>336</v>
      </c>
      <c r="E53" s="277" t="s">
        <v>261</v>
      </c>
      <c r="F53" s="250" t="s">
        <v>442</v>
      </c>
      <c r="G53" s="277" t="s">
        <v>337</v>
      </c>
      <c r="H53" s="242">
        <v>77674</v>
      </c>
      <c r="I53" s="242">
        <v>5254</v>
      </c>
      <c r="J53" s="242">
        <v>5254</v>
      </c>
      <c r="K53" s="242"/>
      <c r="L53" s="242">
        <f t="shared" si="19"/>
        <v>88182</v>
      </c>
      <c r="M53" s="456"/>
      <c r="N53" s="461">
        <f t="shared" si="20"/>
        <v>77674</v>
      </c>
      <c r="O53" s="261">
        <f t="shared" si="21"/>
        <v>77674</v>
      </c>
      <c r="P53" s="261"/>
      <c r="Q53" s="626">
        <f t="shared" si="22"/>
        <v>77674</v>
      </c>
      <c r="R53" s="627">
        <v>77674</v>
      </c>
      <c r="S53" s="626">
        <f t="shared" si="23"/>
        <v>77674</v>
      </c>
      <c r="T53" s="629">
        <f t="shared" si="24"/>
        <v>0</v>
      </c>
      <c r="U53" s="618">
        <f t="shared" si="25"/>
        <v>77674</v>
      </c>
      <c r="V53" s="395">
        <f t="shared" si="26"/>
        <v>5254</v>
      </c>
      <c r="W53" s="395"/>
      <c r="X53" s="396">
        <f t="shared" si="32"/>
        <v>82928</v>
      </c>
      <c r="Y53" s="790">
        <v>80815.13</v>
      </c>
      <c r="Z53" s="392">
        <f t="shared" si="33"/>
        <v>2112.8699999999953</v>
      </c>
      <c r="AA53" s="392">
        <v>5254</v>
      </c>
      <c r="AB53" s="877">
        <f t="shared" si="35"/>
        <v>7366.8699999999953</v>
      </c>
      <c r="AC53" s="391">
        <f t="shared" si="28"/>
        <v>88182</v>
      </c>
      <c r="AD53" s="396">
        <f t="shared" si="29"/>
        <v>0</v>
      </c>
      <c r="AE53" s="397">
        <v>80815.13</v>
      </c>
      <c r="AF53" s="394"/>
      <c r="AG53" s="464"/>
      <c r="AH53" s="397">
        <f t="shared" si="30"/>
        <v>80815.13</v>
      </c>
      <c r="AI53" s="399">
        <f t="shared" si="31"/>
        <v>0.91645834750856192</v>
      </c>
      <c r="AK53" s="224">
        <v>49</v>
      </c>
    </row>
    <row r="54" spans="2:38" ht="14.1" customHeight="1" x14ac:dyDescent="0.2">
      <c r="B54" s="238" t="s">
        <v>463</v>
      </c>
      <c r="C54" s="240" t="s">
        <v>194</v>
      </c>
      <c r="D54" s="277" t="s">
        <v>336</v>
      </c>
      <c r="E54" s="277" t="s">
        <v>272</v>
      </c>
      <c r="F54" s="277" t="s">
        <v>443</v>
      </c>
      <c r="G54" s="277" t="s">
        <v>339</v>
      </c>
      <c r="H54" s="242">
        <v>26500</v>
      </c>
      <c r="I54" s="242">
        <v>0</v>
      </c>
      <c r="J54" s="242">
        <v>0</v>
      </c>
      <c r="K54" s="242"/>
      <c r="L54" s="242">
        <f t="shared" si="19"/>
        <v>26500</v>
      </c>
      <c r="M54" s="456">
        <v>17006</v>
      </c>
      <c r="N54" s="461">
        <f t="shared" si="20"/>
        <v>9494</v>
      </c>
      <c r="O54" s="261">
        <f t="shared" si="21"/>
        <v>9494</v>
      </c>
      <c r="P54" s="261"/>
      <c r="Q54" s="626">
        <f t="shared" si="22"/>
        <v>9494</v>
      </c>
      <c r="R54" s="627">
        <v>20343</v>
      </c>
      <c r="S54" s="626">
        <f t="shared" si="23"/>
        <v>20343</v>
      </c>
      <c r="T54" s="629">
        <f t="shared" si="24"/>
        <v>-10849</v>
      </c>
      <c r="U54" s="618">
        <f t="shared" si="25"/>
        <v>9494</v>
      </c>
      <c r="V54" s="395">
        <f t="shared" si="26"/>
        <v>0</v>
      </c>
      <c r="W54" s="395"/>
      <c r="X54" s="396">
        <f t="shared" si="32"/>
        <v>9494</v>
      </c>
      <c r="Y54" s="790">
        <v>1276.2</v>
      </c>
      <c r="Z54" s="392">
        <f t="shared" si="33"/>
        <v>8217.7999999999993</v>
      </c>
      <c r="AA54" s="392">
        <v>0</v>
      </c>
      <c r="AB54" s="877">
        <f t="shared" si="35"/>
        <v>8217.7999999999993</v>
      </c>
      <c r="AC54" s="391">
        <f t="shared" si="28"/>
        <v>26500</v>
      </c>
      <c r="AD54" s="396">
        <f t="shared" si="29"/>
        <v>17006</v>
      </c>
      <c r="AE54" s="397">
        <v>1276.2</v>
      </c>
      <c r="AF54" s="394"/>
      <c r="AG54" s="464"/>
      <c r="AH54" s="397">
        <f t="shared" si="30"/>
        <v>18282.2</v>
      </c>
      <c r="AI54" s="399">
        <f t="shared" si="31"/>
        <v>0.68989433962264157</v>
      </c>
      <c r="AK54" s="224">
        <v>50</v>
      </c>
    </row>
    <row r="55" spans="2:38" ht="14.1" customHeight="1" x14ac:dyDescent="0.2">
      <c r="B55" s="238" t="s">
        <v>463</v>
      </c>
      <c r="C55" s="240" t="s">
        <v>194</v>
      </c>
      <c r="D55" s="277" t="s">
        <v>336</v>
      </c>
      <c r="E55" s="277" t="s">
        <v>269</v>
      </c>
      <c r="F55" s="250" t="s">
        <v>444</v>
      </c>
      <c r="G55" s="277" t="s">
        <v>342</v>
      </c>
      <c r="H55" s="242">
        <v>13117</v>
      </c>
      <c r="I55" s="242">
        <v>0</v>
      </c>
      <c r="J55" s="242">
        <v>0</v>
      </c>
      <c r="K55" s="242"/>
      <c r="L55" s="242">
        <f t="shared" si="19"/>
        <v>13117</v>
      </c>
      <c r="M55" s="456"/>
      <c r="N55" s="461">
        <f t="shared" si="20"/>
        <v>13117</v>
      </c>
      <c r="O55" s="261">
        <f t="shared" si="21"/>
        <v>13117</v>
      </c>
      <c r="P55" s="261"/>
      <c r="Q55" s="626">
        <f t="shared" si="22"/>
        <v>13117</v>
      </c>
      <c r="R55" s="627">
        <v>13117</v>
      </c>
      <c r="S55" s="626">
        <f t="shared" si="23"/>
        <v>13117</v>
      </c>
      <c r="T55" s="629">
        <f t="shared" si="24"/>
        <v>0</v>
      </c>
      <c r="U55" s="618">
        <f t="shared" si="25"/>
        <v>13117</v>
      </c>
      <c r="V55" s="395">
        <f t="shared" si="26"/>
        <v>0</v>
      </c>
      <c r="W55" s="395"/>
      <c r="X55" s="396">
        <f t="shared" si="32"/>
        <v>13117</v>
      </c>
      <c r="Y55" s="790">
        <v>4993.42</v>
      </c>
      <c r="Z55" s="392">
        <f t="shared" si="33"/>
        <v>8123.58</v>
      </c>
      <c r="AA55" s="392">
        <v>0</v>
      </c>
      <c r="AB55" s="877">
        <f t="shared" si="35"/>
        <v>8123.58</v>
      </c>
      <c r="AC55" s="391">
        <f t="shared" si="28"/>
        <v>13117</v>
      </c>
      <c r="AD55" s="396">
        <f t="shared" si="29"/>
        <v>0</v>
      </c>
      <c r="AE55" s="397">
        <v>4993.42</v>
      </c>
      <c r="AF55" s="394">
        <v>8120.92</v>
      </c>
      <c r="AG55" s="464"/>
      <c r="AH55" s="397">
        <f t="shared" si="30"/>
        <v>13114.34</v>
      </c>
      <c r="AI55" s="399">
        <f t="shared" si="31"/>
        <v>0.99979720972783415</v>
      </c>
      <c r="AK55" s="224">
        <v>51</v>
      </c>
    </row>
    <row r="56" spans="2:38" ht="14.1" customHeight="1" x14ac:dyDescent="0.2">
      <c r="B56" s="238" t="s">
        <v>463</v>
      </c>
      <c r="C56" s="248" t="s">
        <v>194</v>
      </c>
      <c r="D56" s="277" t="s">
        <v>336</v>
      </c>
      <c r="E56" s="247" t="s">
        <v>257</v>
      </c>
      <c r="F56" s="247" t="s">
        <v>445</v>
      </c>
      <c r="G56" s="247" t="s">
        <v>386</v>
      </c>
      <c r="H56" s="249">
        <v>55625</v>
      </c>
      <c r="I56" s="249">
        <v>2000</v>
      </c>
      <c r="J56" s="249">
        <v>2000</v>
      </c>
      <c r="K56" s="249"/>
      <c r="L56" s="242">
        <f t="shared" si="19"/>
        <v>59625</v>
      </c>
      <c r="M56" s="456"/>
      <c r="N56" s="461">
        <f t="shared" si="20"/>
        <v>55625</v>
      </c>
      <c r="O56" s="261">
        <f t="shared" si="21"/>
        <v>55625</v>
      </c>
      <c r="P56" s="261"/>
      <c r="Q56" s="626">
        <f t="shared" si="22"/>
        <v>55625</v>
      </c>
      <c r="R56" s="627">
        <v>55625</v>
      </c>
      <c r="S56" s="626">
        <f t="shared" si="23"/>
        <v>55625</v>
      </c>
      <c r="T56" s="629">
        <f t="shared" si="24"/>
        <v>0</v>
      </c>
      <c r="U56" s="618">
        <f t="shared" si="25"/>
        <v>55625</v>
      </c>
      <c r="V56" s="395">
        <f t="shared" si="26"/>
        <v>2000</v>
      </c>
      <c r="W56" s="395"/>
      <c r="X56" s="396">
        <f t="shared" si="32"/>
        <v>57625</v>
      </c>
      <c r="Y56" s="790">
        <v>54454.89</v>
      </c>
      <c r="Z56" s="392">
        <f t="shared" si="33"/>
        <v>3170.1100000000006</v>
      </c>
      <c r="AA56" s="392">
        <v>2000</v>
      </c>
      <c r="AB56" s="877">
        <f t="shared" si="35"/>
        <v>5170.1100000000006</v>
      </c>
      <c r="AC56" s="391">
        <f t="shared" si="28"/>
        <v>59625</v>
      </c>
      <c r="AD56" s="396">
        <f t="shared" si="29"/>
        <v>0</v>
      </c>
      <c r="AE56" s="397">
        <v>54455</v>
      </c>
      <c r="AF56" s="394"/>
      <c r="AG56" s="464"/>
      <c r="AH56" s="397">
        <f t="shared" si="30"/>
        <v>54455</v>
      </c>
      <c r="AI56" s="399">
        <f t="shared" si="31"/>
        <v>0.9132914046121593</v>
      </c>
      <c r="AK56" s="224">
        <v>52</v>
      </c>
    </row>
    <row r="57" spans="2:38" ht="14.1" customHeight="1" x14ac:dyDescent="0.2">
      <c r="B57" s="238" t="s">
        <v>463</v>
      </c>
      <c r="C57" s="248" t="s">
        <v>194</v>
      </c>
      <c r="D57" s="277" t="s">
        <v>196</v>
      </c>
      <c r="E57" s="247" t="s">
        <v>226</v>
      </c>
      <c r="F57" s="251" t="s">
        <v>446</v>
      </c>
      <c r="G57" s="247" t="s">
        <v>492</v>
      </c>
      <c r="H57" s="249">
        <v>0</v>
      </c>
      <c r="I57" s="249">
        <v>5080</v>
      </c>
      <c r="J57" s="249">
        <v>0</v>
      </c>
      <c r="K57" s="249"/>
      <c r="L57" s="242">
        <f t="shared" si="19"/>
        <v>5080</v>
      </c>
      <c r="M57" s="456"/>
      <c r="N57" s="461">
        <f t="shared" si="20"/>
        <v>0</v>
      </c>
      <c r="O57" s="261">
        <f t="shared" si="21"/>
        <v>0</v>
      </c>
      <c r="P57" s="261"/>
      <c r="Q57" s="626">
        <f t="shared" si="22"/>
        <v>0</v>
      </c>
      <c r="R57" s="627"/>
      <c r="S57" s="626">
        <f t="shared" si="23"/>
        <v>0</v>
      </c>
      <c r="T57" s="629">
        <f t="shared" si="24"/>
        <v>0</v>
      </c>
      <c r="U57" s="618">
        <f t="shared" si="25"/>
        <v>0</v>
      </c>
      <c r="V57" s="395">
        <f t="shared" si="26"/>
        <v>5080</v>
      </c>
      <c r="W57" s="395"/>
      <c r="X57" s="396">
        <f t="shared" si="32"/>
        <v>5080</v>
      </c>
      <c r="Y57" s="790">
        <v>4763.4399999999996</v>
      </c>
      <c r="Z57" s="392">
        <f t="shared" si="33"/>
        <v>316.5600000000004</v>
      </c>
      <c r="AA57" s="392">
        <v>0</v>
      </c>
      <c r="AB57" s="877">
        <f t="shared" si="35"/>
        <v>316.5600000000004</v>
      </c>
      <c r="AC57" s="391">
        <f t="shared" si="28"/>
        <v>5080</v>
      </c>
      <c r="AD57" s="396">
        <f t="shared" si="29"/>
        <v>0</v>
      </c>
      <c r="AE57" s="397">
        <v>4763.4399999999996</v>
      </c>
      <c r="AF57" s="394"/>
      <c r="AG57" s="464">
        <v>222.73</v>
      </c>
      <c r="AH57" s="397">
        <f t="shared" si="30"/>
        <v>4986.1699999999992</v>
      </c>
      <c r="AI57" s="399">
        <f t="shared" si="31"/>
        <v>0.98152952755905498</v>
      </c>
      <c r="AK57" s="224">
        <v>53</v>
      </c>
    </row>
    <row r="58" spans="2:38" ht="14.1" customHeight="1" x14ac:dyDescent="0.2">
      <c r="B58" s="238" t="s">
        <v>463</v>
      </c>
      <c r="C58" s="248" t="s">
        <v>194</v>
      </c>
      <c r="D58" s="277" t="s">
        <v>196</v>
      </c>
      <c r="E58" s="247" t="s">
        <v>200</v>
      </c>
      <c r="F58" s="247" t="s">
        <v>447</v>
      </c>
      <c r="G58" s="247" t="s">
        <v>493</v>
      </c>
      <c r="H58" s="249">
        <v>0</v>
      </c>
      <c r="I58" s="249">
        <v>900</v>
      </c>
      <c r="J58" s="249">
        <v>0</v>
      </c>
      <c r="K58" s="249"/>
      <c r="L58" s="242">
        <f t="shared" si="19"/>
        <v>900</v>
      </c>
      <c r="M58" s="456"/>
      <c r="N58" s="461">
        <f t="shared" si="20"/>
        <v>0</v>
      </c>
      <c r="O58" s="261">
        <f t="shared" si="21"/>
        <v>0</v>
      </c>
      <c r="P58" s="261"/>
      <c r="Q58" s="626">
        <f t="shared" si="22"/>
        <v>0</v>
      </c>
      <c r="R58" s="627"/>
      <c r="S58" s="626">
        <f t="shared" si="23"/>
        <v>0</v>
      </c>
      <c r="T58" s="629">
        <f t="shared" si="24"/>
        <v>0</v>
      </c>
      <c r="U58" s="618">
        <f t="shared" si="25"/>
        <v>0</v>
      </c>
      <c r="V58" s="395">
        <f t="shared" si="26"/>
        <v>900</v>
      </c>
      <c r="W58" s="395"/>
      <c r="X58" s="396">
        <f t="shared" si="32"/>
        <v>900</v>
      </c>
      <c r="Y58" s="790"/>
      <c r="Z58" s="392">
        <f t="shared" si="33"/>
        <v>900</v>
      </c>
      <c r="AA58" s="392">
        <v>0</v>
      </c>
      <c r="AB58" s="877">
        <f t="shared" si="35"/>
        <v>900</v>
      </c>
      <c r="AC58" s="391">
        <f t="shared" si="28"/>
        <v>900</v>
      </c>
      <c r="AD58" s="396">
        <f t="shared" si="29"/>
        <v>0</v>
      </c>
      <c r="AE58" s="397"/>
      <c r="AF58" s="394"/>
      <c r="AG58" s="464"/>
      <c r="AH58" s="397">
        <f t="shared" si="30"/>
        <v>0</v>
      </c>
      <c r="AI58" s="399">
        <f t="shared" si="31"/>
        <v>0</v>
      </c>
      <c r="AK58" s="224">
        <v>54</v>
      </c>
    </row>
    <row r="59" spans="2:38" ht="14.1" customHeight="1" x14ac:dyDescent="0.2">
      <c r="B59" s="238" t="s">
        <v>463</v>
      </c>
      <c r="C59" s="248" t="s">
        <v>194</v>
      </c>
      <c r="D59" s="277" t="s">
        <v>473</v>
      </c>
      <c r="E59" s="247" t="s">
        <v>217</v>
      </c>
      <c r="F59" s="247" t="s">
        <v>448</v>
      </c>
      <c r="G59" s="247" t="s">
        <v>494</v>
      </c>
      <c r="H59" s="249">
        <v>0</v>
      </c>
      <c r="I59" s="249">
        <v>8094.66</v>
      </c>
      <c r="J59" s="249">
        <v>0</v>
      </c>
      <c r="K59" s="249"/>
      <c r="L59" s="242">
        <f t="shared" si="19"/>
        <v>8094.66</v>
      </c>
      <c r="M59" s="456"/>
      <c r="N59" s="461">
        <f t="shared" si="20"/>
        <v>0</v>
      </c>
      <c r="O59" s="261">
        <f t="shared" si="21"/>
        <v>0</v>
      </c>
      <c r="P59" s="261"/>
      <c r="Q59" s="626">
        <f t="shared" si="22"/>
        <v>0</v>
      </c>
      <c r="R59" s="627"/>
      <c r="S59" s="626">
        <f t="shared" si="23"/>
        <v>0</v>
      </c>
      <c r="T59" s="629">
        <f t="shared" si="24"/>
        <v>0</v>
      </c>
      <c r="U59" s="618">
        <f t="shared" si="25"/>
        <v>0</v>
      </c>
      <c r="V59" s="395">
        <f t="shared" si="26"/>
        <v>8094.66</v>
      </c>
      <c r="W59" s="395"/>
      <c r="X59" s="396">
        <f t="shared" si="32"/>
        <v>8094.66</v>
      </c>
      <c r="Y59" s="790">
        <v>6599.26</v>
      </c>
      <c r="Z59" s="392">
        <f t="shared" si="33"/>
        <v>1495.3999999999996</v>
      </c>
      <c r="AA59" s="392">
        <v>0</v>
      </c>
      <c r="AB59" s="877">
        <f t="shared" si="35"/>
        <v>1495.3999999999996</v>
      </c>
      <c r="AC59" s="391">
        <f t="shared" si="28"/>
        <v>8094.66</v>
      </c>
      <c r="AD59" s="396">
        <f t="shared" si="29"/>
        <v>0</v>
      </c>
      <c r="AE59" s="397">
        <v>6599</v>
      </c>
      <c r="AF59" s="394"/>
      <c r="AG59" s="464">
        <v>89.91</v>
      </c>
      <c r="AH59" s="397">
        <f t="shared" si="30"/>
        <v>6688.91</v>
      </c>
      <c r="AI59" s="399">
        <f t="shared" si="31"/>
        <v>0.82633612776818299</v>
      </c>
      <c r="AK59" s="224">
        <v>55</v>
      </c>
    </row>
    <row r="60" spans="2:38" ht="14.1" customHeight="1" x14ac:dyDescent="0.2">
      <c r="B60" s="238" t="s">
        <v>463</v>
      </c>
      <c r="C60" s="248" t="s">
        <v>194</v>
      </c>
      <c r="D60" s="277" t="s">
        <v>473</v>
      </c>
      <c r="E60" s="247" t="s">
        <v>217</v>
      </c>
      <c r="F60" s="247" t="s">
        <v>449</v>
      </c>
      <c r="G60" s="247" t="s">
        <v>495</v>
      </c>
      <c r="H60" s="249">
        <v>0</v>
      </c>
      <c r="I60" s="249">
        <v>4231</v>
      </c>
      <c r="J60" s="249">
        <v>0</v>
      </c>
      <c r="K60" s="249"/>
      <c r="L60" s="242">
        <f t="shared" si="19"/>
        <v>4231</v>
      </c>
      <c r="M60" s="456"/>
      <c r="N60" s="461">
        <f t="shared" si="20"/>
        <v>0</v>
      </c>
      <c r="O60" s="261">
        <f t="shared" si="21"/>
        <v>0</v>
      </c>
      <c r="P60" s="261"/>
      <c r="Q60" s="626">
        <f t="shared" si="22"/>
        <v>0</v>
      </c>
      <c r="R60" s="627"/>
      <c r="S60" s="626">
        <f t="shared" si="23"/>
        <v>0</v>
      </c>
      <c r="T60" s="629">
        <f t="shared" si="24"/>
        <v>0</v>
      </c>
      <c r="U60" s="618">
        <f t="shared" si="25"/>
        <v>0</v>
      </c>
      <c r="V60" s="395">
        <f t="shared" si="26"/>
        <v>4231</v>
      </c>
      <c r="W60" s="395"/>
      <c r="X60" s="396">
        <f t="shared" si="32"/>
        <v>4231</v>
      </c>
      <c r="Y60" s="790">
        <v>4197</v>
      </c>
      <c r="Z60" s="392">
        <f t="shared" si="33"/>
        <v>34</v>
      </c>
      <c r="AA60" s="392">
        <v>0</v>
      </c>
      <c r="AB60" s="877">
        <f t="shared" si="35"/>
        <v>34</v>
      </c>
      <c r="AC60" s="391">
        <f t="shared" si="28"/>
        <v>4231</v>
      </c>
      <c r="AD60" s="396">
        <f t="shared" si="29"/>
        <v>0</v>
      </c>
      <c r="AE60" s="397">
        <v>4197</v>
      </c>
      <c r="AF60" s="394"/>
      <c r="AG60" s="464"/>
      <c r="AH60" s="397">
        <f t="shared" si="30"/>
        <v>4197</v>
      </c>
      <c r="AI60" s="399">
        <f t="shared" si="31"/>
        <v>0.99196407468683523</v>
      </c>
      <c r="AK60" s="224">
        <v>56</v>
      </c>
    </row>
    <row r="61" spans="2:38" ht="14.1" customHeight="1" x14ac:dyDescent="0.2">
      <c r="B61" s="238" t="s">
        <v>463</v>
      </c>
      <c r="C61" s="248" t="s">
        <v>194</v>
      </c>
      <c r="D61" s="276" t="s">
        <v>473</v>
      </c>
      <c r="E61" s="247" t="s">
        <v>217</v>
      </c>
      <c r="F61" s="247" t="s">
        <v>450</v>
      </c>
      <c r="G61" s="247" t="s">
        <v>496</v>
      </c>
      <c r="H61" s="249">
        <v>0</v>
      </c>
      <c r="I61" s="249">
        <v>15566.6</v>
      </c>
      <c r="J61" s="249">
        <v>0</v>
      </c>
      <c r="K61" s="249"/>
      <c r="L61" s="242">
        <f t="shared" si="19"/>
        <v>15566.6</v>
      </c>
      <c r="M61" s="456"/>
      <c r="N61" s="461">
        <f t="shared" si="20"/>
        <v>0</v>
      </c>
      <c r="O61" s="261">
        <f t="shared" si="21"/>
        <v>0</v>
      </c>
      <c r="P61" s="261"/>
      <c r="Q61" s="626">
        <f t="shared" si="22"/>
        <v>0</v>
      </c>
      <c r="R61" s="627"/>
      <c r="S61" s="626">
        <f t="shared" si="23"/>
        <v>0</v>
      </c>
      <c r="T61" s="629">
        <f t="shared" si="24"/>
        <v>0</v>
      </c>
      <c r="U61" s="618">
        <f t="shared" si="25"/>
        <v>0</v>
      </c>
      <c r="V61" s="395">
        <f t="shared" si="26"/>
        <v>15566.6</v>
      </c>
      <c r="W61" s="395"/>
      <c r="X61" s="396">
        <f t="shared" si="32"/>
        <v>15566.6</v>
      </c>
      <c r="Y61" s="790">
        <v>14834.2</v>
      </c>
      <c r="Z61" s="789">
        <f>+X61-Y61+0.6</f>
        <v>732.99999999999966</v>
      </c>
      <c r="AA61" s="392">
        <v>0</v>
      </c>
      <c r="AB61" s="877">
        <f t="shared" si="35"/>
        <v>732.99999999999966</v>
      </c>
      <c r="AC61" s="391">
        <f t="shared" si="28"/>
        <v>15566.6</v>
      </c>
      <c r="AD61" s="396">
        <f t="shared" si="29"/>
        <v>0</v>
      </c>
      <c r="AE61" s="397">
        <v>14834.2</v>
      </c>
      <c r="AF61" s="394"/>
      <c r="AG61" s="464"/>
      <c r="AH61" s="397">
        <f t="shared" si="30"/>
        <v>14834.2</v>
      </c>
      <c r="AI61" s="399">
        <f t="shared" si="31"/>
        <v>0.95295054796808554</v>
      </c>
      <c r="AK61" s="224">
        <v>57</v>
      </c>
    </row>
    <row r="62" spans="2:38" ht="14.1" customHeight="1" x14ac:dyDescent="0.2">
      <c r="B62" s="238" t="s">
        <v>463</v>
      </c>
      <c r="C62" s="248" t="s">
        <v>194</v>
      </c>
      <c r="D62" s="277" t="s">
        <v>473</v>
      </c>
      <c r="E62" s="247" t="s">
        <v>217</v>
      </c>
      <c r="F62" s="247" t="s">
        <v>451</v>
      </c>
      <c r="G62" s="247" t="s">
        <v>497</v>
      </c>
      <c r="H62" s="249">
        <v>0</v>
      </c>
      <c r="I62" s="249">
        <v>62224.35</v>
      </c>
      <c r="J62" s="249">
        <v>0</v>
      </c>
      <c r="K62" s="249"/>
      <c r="L62" s="242">
        <f t="shared" si="19"/>
        <v>62224.35</v>
      </c>
      <c r="M62" s="456"/>
      <c r="N62" s="461">
        <f t="shared" si="20"/>
        <v>0</v>
      </c>
      <c r="O62" s="261">
        <f t="shared" si="21"/>
        <v>0</v>
      </c>
      <c r="P62" s="261"/>
      <c r="Q62" s="626">
        <f t="shared" si="22"/>
        <v>0</v>
      </c>
      <c r="R62" s="627"/>
      <c r="S62" s="626">
        <f t="shared" si="23"/>
        <v>0</v>
      </c>
      <c r="T62" s="629">
        <f t="shared" si="24"/>
        <v>0</v>
      </c>
      <c r="U62" s="618">
        <f t="shared" si="25"/>
        <v>0</v>
      </c>
      <c r="V62" s="395">
        <f t="shared" si="26"/>
        <v>62224.35</v>
      </c>
      <c r="W62" s="395"/>
      <c r="X62" s="396">
        <f t="shared" si="32"/>
        <v>62224.35</v>
      </c>
      <c r="Y62" s="790">
        <v>62123.61</v>
      </c>
      <c r="Z62" s="789">
        <f>+X62-Y62-0.74</f>
        <v>99.999999999997968</v>
      </c>
      <c r="AA62" s="392">
        <v>0</v>
      </c>
      <c r="AB62" s="877">
        <f t="shared" si="35"/>
        <v>99.999999999997968</v>
      </c>
      <c r="AC62" s="391">
        <f t="shared" si="28"/>
        <v>62224.35</v>
      </c>
      <c r="AD62" s="396">
        <f t="shared" si="29"/>
        <v>0</v>
      </c>
      <c r="AE62" s="397">
        <v>62123.61</v>
      </c>
      <c r="AF62" s="394"/>
      <c r="AG62" s="464"/>
      <c r="AH62" s="397">
        <f t="shared" si="30"/>
        <v>62123.61</v>
      </c>
      <c r="AI62" s="399">
        <f t="shared" si="31"/>
        <v>0.99838101964906023</v>
      </c>
      <c r="AK62" s="224">
        <v>58</v>
      </c>
      <c r="AL62" s="224" t="s">
        <v>834</v>
      </c>
    </row>
    <row r="63" spans="2:38" ht="14.1" customHeight="1" x14ac:dyDescent="0.2">
      <c r="B63" s="238" t="s">
        <v>463</v>
      </c>
      <c r="C63" s="240" t="s">
        <v>194</v>
      </c>
      <c r="D63" s="277" t="s">
        <v>323</v>
      </c>
      <c r="E63" s="277" t="s">
        <v>263</v>
      </c>
      <c r="F63" s="250" t="s">
        <v>452</v>
      </c>
      <c r="G63" s="277" t="s">
        <v>498</v>
      </c>
      <c r="H63" s="242">
        <v>0</v>
      </c>
      <c r="I63" s="242">
        <v>21300</v>
      </c>
      <c r="J63" s="242">
        <v>0</v>
      </c>
      <c r="K63" s="242"/>
      <c r="L63" s="242">
        <f t="shared" si="19"/>
        <v>21300</v>
      </c>
      <c r="M63" s="456"/>
      <c r="N63" s="461">
        <f t="shared" si="20"/>
        <v>0</v>
      </c>
      <c r="O63" s="261">
        <f t="shared" si="21"/>
        <v>0</v>
      </c>
      <c r="P63" s="261"/>
      <c r="Q63" s="626">
        <f t="shared" si="22"/>
        <v>0</v>
      </c>
      <c r="R63" s="627"/>
      <c r="S63" s="626">
        <f t="shared" si="23"/>
        <v>0</v>
      </c>
      <c r="T63" s="629">
        <f t="shared" si="24"/>
        <v>0</v>
      </c>
      <c r="U63" s="618">
        <f t="shared" si="25"/>
        <v>0</v>
      </c>
      <c r="V63" s="395">
        <f t="shared" si="26"/>
        <v>21300</v>
      </c>
      <c r="W63" s="395"/>
      <c r="X63" s="396">
        <f t="shared" si="32"/>
        <v>21300</v>
      </c>
      <c r="Y63" s="790">
        <v>17717.95</v>
      </c>
      <c r="Z63" s="392">
        <f>+X63-Y63</f>
        <v>3582.0499999999993</v>
      </c>
      <c r="AA63" s="392">
        <v>0</v>
      </c>
      <c r="AB63" s="877">
        <f t="shared" si="35"/>
        <v>3582.0499999999993</v>
      </c>
      <c r="AC63" s="391">
        <f t="shared" si="28"/>
        <v>21300</v>
      </c>
      <c r="AD63" s="396">
        <f t="shared" si="29"/>
        <v>0</v>
      </c>
      <c r="AE63" s="397">
        <v>17717.95</v>
      </c>
      <c r="AF63" s="394"/>
      <c r="AG63" s="464"/>
      <c r="AH63" s="397">
        <f t="shared" si="30"/>
        <v>17717.95</v>
      </c>
      <c r="AI63" s="399">
        <f t="shared" si="31"/>
        <v>0.83182863849765265</v>
      </c>
      <c r="AJ63" s="402"/>
      <c r="AK63" s="224">
        <v>59</v>
      </c>
      <c r="AL63" s="402"/>
    </row>
    <row r="64" spans="2:38" ht="14.1" customHeight="1" x14ac:dyDescent="0.2">
      <c r="B64" s="238" t="s">
        <v>463</v>
      </c>
      <c r="C64" s="240" t="s">
        <v>194</v>
      </c>
      <c r="D64" s="277" t="s">
        <v>323</v>
      </c>
      <c r="E64" s="277" t="s">
        <v>263</v>
      </c>
      <c r="F64" s="250" t="s">
        <v>453</v>
      </c>
      <c r="G64" s="277" t="s">
        <v>499</v>
      </c>
      <c r="H64" s="242">
        <v>0</v>
      </c>
      <c r="I64" s="242">
        <v>6708</v>
      </c>
      <c r="J64" s="242">
        <v>600</v>
      </c>
      <c r="K64" s="242"/>
      <c r="L64" s="242">
        <f t="shared" si="19"/>
        <v>7308</v>
      </c>
      <c r="M64" s="456"/>
      <c r="N64" s="461">
        <f t="shared" si="20"/>
        <v>0</v>
      </c>
      <c r="O64" s="261">
        <f t="shared" si="21"/>
        <v>0</v>
      </c>
      <c r="P64" s="261"/>
      <c r="Q64" s="626">
        <f t="shared" si="22"/>
        <v>0</v>
      </c>
      <c r="R64" s="627"/>
      <c r="S64" s="626">
        <f t="shared" si="23"/>
        <v>0</v>
      </c>
      <c r="T64" s="629">
        <f t="shared" si="24"/>
        <v>0</v>
      </c>
      <c r="U64" s="618">
        <f t="shared" si="25"/>
        <v>0</v>
      </c>
      <c r="V64" s="395">
        <f t="shared" si="26"/>
        <v>6708</v>
      </c>
      <c r="W64" s="395"/>
      <c r="X64" s="396">
        <f t="shared" si="32"/>
        <v>6708</v>
      </c>
      <c r="Y64" s="790">
        <v>6708</v>
      </c>
      <c r="Z64" s="392">
        <f>+X64-Y64</f>
        <v>0</v>
      </c>
      <c r="AA64" s="392">
        <v>600</v>
      </c>
      <c r="AB64" s="877">
        <f t="shared" si="35"/>
        <v>600</v>
      </c>
      <c r="AC64" s="391">
        <f t="shared" si="28"/>
        <v>7308</v>
      </c>
      <c r="AD64" s="396">
        <f t="shared" si="29"/>
        <v>0</v>
      </c>
      <c r="AE64" s="397">
        <v>6708</v>
      </c>
      <c r="AF64" s="394"/>
      <c r="AG64" s="464"/>
      <c r="AH64" s="397">
        <f t="shared" si="30"/>
        <v>6708</v>
      </c>
      <c r="AI64" s="399">
        <f t="shared" si="31"/>
        <v>0.91789819376026272</v>
      </c>
      <c r="AJ64" s="402"/>
      <c r="AK64" s="224">
        <v>60</v>
      </c>
      <c r="AL64" s="402"/>
    </row>
    <row r="65" spans="1:38" ht="14.1" customHeight="1" x14ac:dyDescent="0.2">
      <c r="B65" s="238" t="s">
        <v>463</v>
      </c>
      <c r="C65" s="749" t="s">
        <v>194</v>
      </c>
      <c r="D65" s="797" t="s">
        <v>333</v>
      </c>
      <c r="E65" s="797" t="s">
        <v>297</v>
      </c>
      <c r="F65" s="797" t="s">
        <v>296</v>
      </c>
      <c r="G65" s="797" t="s">
        <v>479</v>
      </c>
      <c r="H65" s="747">
        <v>0</v>
      </c>
      <c r="I65" s="747">
        <v>6800</v>
      </c>
      <c r="J65" s="747">
        <v>0</v>
      </c>
      <c r="K65" s="747"/>
      <c r="L65" s="750">
        <f t="shared" si="19"/>
        <v>6800</v>
      </c>
      <c r="M65" s="751"/>
      <c r="N65" s="752">
        <f t="shared" si="20"/>
        <v>0</v>
      </c>
      <c r="O65" s="737">
        <f t="shared" si="21"/>
        <v>0</v>
      </c>
      <c r="P65" s="737"/>
      <c r="Q65" s="738">
        <f t="shared" si="22"/>
        <v>0</v>
      </c>
      <c r="R65" s="753"/>
      <c r="S65" s="754">
        <f t="shared" si="23"/>
        <v>0</v>
      </c>
      <c r="T65" s="846">
        <v>6800</v>
      </c>
      <c r="U65" s="741">
        <f t="shared" si="25"/>
        <v>6800</v>
      </c>
      <c r="V65" s="755">
        <v>0</v>
      </c>
      <c r="W65" s="756"/>
      <c r="X65" s="743">
        <f t="shared" si="32"/>
        <v>6800</v>
      </c>
      <c r="Y65" s="888">
        <v>6799.4</v>
      </c>
      <c r="Z65" s="894">
        <f>+X65-Y65</f>
        <v>0.6000000000003638</v>
      </c>
      <c r="AA65" s="392">
        <v>0</v>
      </c>
      <c r="AB65" s="879">
        <v>0</v>
      </c>
      <c r="AC65" s="391">
        <f t="shared" si="28"/>
        <v>6800</v>
      </c>
      <c r="AD65" s="743">
        <f t="shared" si="29"/>
        <v>0</v>
      </c>
      <c r="AE65" s="757">
        <v>6799.4</v>
      </c>
      <c r="AF65" s="736"/>
      <c r="AG65" s="758"/>
      <c r="AH65" s="757">
        <f t="shared" si="30"/>
        <v>6799.4</v>
      </c>
      <c r="AI65" s="748">
        <f t="shared" si="31"/>
        <v>0.99991176470588228</v>
      </c>
      <c r="AK65" s="224">
        <v>61</v>
      </c>
    </row>
    <row r="66" spans="1:38" ht="14.1" customHeight="1" x14ac:dyDescent="0.2">
      <c r="B66" s="586"/>
      <c r="C66" s="791" t="s">
        <v>466</v>
      </c>
      <c r="D66" s="791"/>
      <c r="E66" s="798"/>
      <c r="F66" s="798"/>
      <c r="G66" s="798"/>
      <c r="H66" s="805">
        <f t="shared" ref="H66:AH66" si="36">SUM(H34:H65)</f>
        <v>710487.73</v>
      </c>
      <c r="I66" s="805">
        <f t="shared" si="36"/>
        <v>423627.2099999999</v>
      </c>
      <c r="J66" s="805">
        <f t="shared" si="36"/>
        <v>134110.6</v>
      </c>
      <c r="K66" s="805">
        <f t="shared" si="36"/>
        <v>0</v>
      </c>
      <c r="L66" s="805">
        <f t="shared" si="36"/>
        <v>1268225.54</v>
      </c>
      <c r="M66" s="818">
        <f t="shared" si="36"/>
        <v>123029.92</v>
      </c>
      <c r="N66" s="823">
        <f t="shared" si="36"/>
        <v>587457.81000000006</v>
      </c>
      <c r="O66" s="828">
        <f t="shared" si="36"/>
        <v>587457.81000000006</v>
      </c>
      <c r="P66" s="805">
        <f t="shared" si="36"/>
        <v>0</v>
      </c>
      <c r="Q66" s="832">
        <f t="shared" si="36"/>
        <v>587457.81000000006</v>
      </c>
      <c r="R66" s="837">
        <f t="shared" si="36"/>
        <v>628938</v>
      </c>
      <c r="S66" s="832">
        <f t="shared" si="36"/>
        <v>628938</v>
      </c>
      <c r="T66" s="832">
        <f t="shared" si="36"/>
        <v>-34680.19</v>
      </c>
      <c r="U66" s="847">
        <f t="shared" si="36"/>
        <v>594257.81000000006</v>
      </c>
      <c r="V66" s="849">
        <f t="shared" si="36"/>
        <v>416827.2099999999</v>
      </c>
      <c r="W66" s="847">
        <f t="shared" si="36"/>
        <v>0</v>
      </c>
      <c r="X66" s="847">
        <f t="shared" si="36"/>
        <v>1011085.8200000001</v>
      </c>
      <c r="Y66" s="837">
        <f t="shared" si="36"/>
        <v>931732.43999999983</v>
      </c>
      <c r="Z66" s="823">
        <f t="shared" si="36"/>
        <v>79354.039999999979</v>
      </c>
      <c r="AA66" s="823">
        <f t="shared" si="36"/>
        <v>134110.6</v>
      </c>
      <c r="AB66" s="881">
        <f t="shared" si="36"/>
        <v>213374.9899999999</v>
      </c>
      <c r="AC66" s="866">
        <f t="shared" si="36"/>
        <v>1268225.54</v>
      </c>
      <c r="AD66" s="823">
        <f t="shared" si="36"/>
        <v>123029.92</v>
      </c>
      <c r="AE66" s="847">
        <f t="shared" si="36"/>
        <v>931731.92999999982</v>
      </c>
      <c r="AF66" s="805">
        <f t="shared" si="36"/>
        <v>72156.44</v>
      </c>
      <c r="AG66" s="805">
        <f t="shared" si="36"/>
        <v>33730.850000000006</v>
      </c>
      <c r="AH66" s="866">
        <f t="shared" si="36"/>
        <v>1160649.1399999999</v>
      </c>
      <c r="AI66" s="873">
        <f t="shared" si="31"/>
        <v>0.91517565558567748</v>
      </c>
      <c r="AJ66" s="402"/>
      <c r="AK66" s="224">
        <v>62</v>
      </c>
      <c r="AL66" s="596"/>
    </row>
    <row r="67" spans="1:38" s="402" customFormat="1" ht="14.1" customHeight="1" x14ac:dyDescent="0.2">
      <c r="A67" s="400"/>
      <c r="B67" s="437" t="s">
        <v>619</v>
      </c>
      <c r="C67" s="438" t="s">
        <v>194</v>
      </c>
      <c r="D67" s="439" t="s">
        <v>196</v>
      </c>
      <c r="E67" s="440" t="str">
        <f t="shared" ref="E67:E101" si="37">VLOOKUP(D67,$D$5:$E$65,2)</f>
        <v>SURP</v>
      </c>
      <c r="F67" s="439" t="s">
        <v>624</v>
      </c>
      <c r="G67" s="439" t="s">
        <v>625</v>
      </c>
      <c r="H67" s="441"/>
      <c r="I67" s="591">
        <v>17000</v>
      </c>
      <c r="J67" s="441">
        <v>0</v>
      </c>
      <c r="K67" s="442">
        <v>0</v>
      </c>
      <c r="L67" s="759">
        <f t="shared" ref="L67:L102" si="38">SUM(H67:K67)</f>
        <v>17000</v>
      </c>
      <c r="M67" s="458"/>
      <c r="N67" s="462">
        <f t="shared" ref="N67:N102" si="39">+H67-M67</f>
        <v>0</v>
      </c>
      <c r="O67" s="262">
        <f t="shared" ref="O67:O102" si="40">+N67</f>
        <v>0</v>
      </c>
      <c r="P67" s="443"/>
      <c r="Q67" s="623">
        <f t="shared" ref="Q67:Q102" si="41">+O67-P67</f>
        <v>0</v>
      </c>
      <c r="R67" s="633"/>
      <c r="S67" s="634"/>
      <c r="T67" s="633"/>
      <c r="U67" s="617">
        <f t="shared" ref="U67:U102" si="42">+T67+S67</f>
        <v>0</v>
      </c>
      <c r="V67" s="458">
        <v>0</v>
      </c>
      <c r="W67" s="443">
        <f>+I67</f>
        <v>17000</v>
      </c>
      <c r="X67" s="444">
        <f t="shared" ref="X67:X102" si="43">+W67+V67</f>
        <v>17000</v>
      </c>
      <c r="Y67" s="889">
        <v>12999.62</v>
      </c>
      <c r="Z67" s="392">
        <f t="shared" ref="Z67:Z73" si="44">+X67-Y67</f>
        <v>4000.3799999999992</v>
      </c>
      <c r="AA67" s="392">
        <v>0</v>
      </c>
      <c r="AB67" s="878">
        <f t="shared" ref="AB67:AB74" si="45">+AA67+Z67</f>
        <v>4000.3799999999992</v>
      </c>
      <c r="AC67" s="391">
        <f t="shared" ref="AC67:AC102" si="46">+H67+I67+J67</f>
        <v>17000</v>
      </c>
      <c r="AD67" s="392">
        <f t="shared" ref="AD67:AD102" si="47">+M67</f>
        <v>0</v>
      </c>
      <c r="AE67" s="443">
        <v>12999.62</v>
      </c>
      <c r="AF67" s="444"/>
      <c r="AG67" s="465">
        <v>778</v>
      </c>
      <c r="AH67" s="759">
        <f t="shared" ref="AH67:AH102" si="48">SUM(AD67:AG67)</f>
        <v>13777.62</v>
      </c>
      <c r="AI67" s="467">
        <f t="shared" si="31"/>
        <v>0.81044823529411769</v>
      </c>
      <c r="AJ67" s="224"/>
      <c r="AK67" s="224">
        <v>63</v>
      </c>
      <c r="AL67" s="224"/>
    </row>
    <row r="68" spans="1:38" s="402" customFormat="1" ht="14.1" customHeight="1" x14ac:dyDescent="0.2">
      <c r="A68" s="400"/>
      <c r="B68" s="445" t="s">
        <v>619</v>
      </c>
      <c r="C68" s="446" t="s">
        <v>194</v>
      </c>
      <c r="D68" s="244" t="s">
        <v>196</v>
      </c>
      <c r="E68" s="447" t="str">
        <f t="shared" si="37"/>
        <v>SURP</v>
      </c>
      <c r="F68" s="244" t="s">
        <v>626</v>
      </c>
      <c r="G68" s="244" t="s">
        <v>627</v>
      </c>
      <c r="H68" s="448"/>
      <c r="I68" s="449">
        <v>11500</v>
      </c>
      <c r="J68" s="448">
        <v>0</v>
      </c>
      <c r="K68" s="450">
        <v>0</v>
      </c>
      <c r="L68" s="242">
        <f t="shared" si="38"/>
        <v>11500</v>
      </c>
      <c r="M68" s="459"/>
      <c r="N68" s="461">
        <f t="shared" si="39"/>
        <v>0</v>
      </c>
      <c r="O68" s="261">
        <f t="shared" si="40"/>
        <v>0</v>
      </c>
      <c r="P68" s="451"/>
      <c r="Q68" s="626">
        <f t="shared" si="41"/>
        <v>0</v>
      </c>
      <c r="R68" s="635"/>
      <c r="S68" s="636"/>
      <c r="T68" s="635"/>
      <c r="U68" s="618">
        <f t="shared" si="42"/>
        <v>0</v>
      </c>
      <c r="V68" s="459">
        <v>0</v>
      </c>
      <c r="W68" s="443">
        <f>+I68</f>
        <v>11500</v>
      </c>
      <c r="X68" s="444">
        <f t="shared" si="43"/>
        <v>11500</v>
      </c>
      <c r="Y68" s="886">
        <v>7030.06</v>
      </c>
      <c r="Z68" s="392">
        <f t="shared" si="44"/>
        <v>4469.9399999999996</v>
      </c>
      <c r="AA68" s="392">
        <v>0</v>
      </c>
      <c r="AB68" s="877">
        <f t="shared" si="45"/>
        <v>4469.9399999999996</v>
      </c>
      <c r="AC68" s="391">
        <f t="shared" si="46"/>
        <v>11500</v>
      </c>
      <c r="AD68" s="396">
        <f t="shared" si="47"/>
        <v>0</v>
      </c>
      <c r="AE68" s="451">
        <v>7030.06</v>
      </c>
      <c r="AF68" s="452">
        <v>2169.6799999999998</v>
      </c>
      <c r="AG68" s="466">
        <v>126.07</v>
      </c>
      <c r="AH68" s="242">
        <f t="shared" si="48"/>
        <v>9325.81</v>
      </c>
      <c r="AI68" s="399">
        <f t="shared" si="31"/>
        <v>0.81093999999999999</v>
      </c>
      <c r="AJ68" s="224"/>
      <c r="AK68" s="224">
        <v>64</v>
      </c>
      <c r="AL68" s="224"/>
    </row>
    <row r="69" spans="1:38" s="402" customFormat="1" ht="14.1" customHeight="1" x14ac:dyDescent="0.2">
      <c r="A69" s="400"/>
      <c r="B69" s="445" t="s">
        <v>619</v>
      </c>
      <c r="C69" s="446" t="s">
        <v>194</v>
      </c>
      <c r="D69" s="244" t="s">
        <v>196</v>
      </c>
      <c r="E69" s="447" t="str">
        <f t="shared" si="37"/>
        <v>SURP</v>
      </c>
      <c r="F69" s="244" t="s">
        <v>628</v>
      </c>
      <c r="G69" s="244" t="s">
        <v>629</v>
      </c>
      <c r="H69" s="448"/>
      <c r="I69" s="449">
        <v>4000</v>
      </c>
      <c r="J69" s="448">
        <v>0</v>
      </c>
      <c r="K69" s="450">
        <v>0</v>
      </c>
      <c r="L69" s="242">
        <f t="shared" si="38"/>
        <v>4000</v>
      </c>
      <c r="M69" s="459"/>
      <c r="N69" s="461">
        <f t="shared" si="39"/>
        <v>0</v>
      </c>
      <c r="O69" s="261">
        <f t="shared" si="40"/>
        <v>0</v>
      </c>
      <c r="P69" s="451"/>
      <c r="Q69" s="626">
        <f t="shared" si="41"/>
        <v>0</v>
      </c>
      <c r="R69" s="635"/>
      <c r="S69" s="636"/>
      <c r="T69" s="635"/>
      <c r="U69" s="618">
        <f t="shared" si="42"/>
        <v>0</v>
      </c>
      <c r="V69" s="459">
        <v>0</v>
      </c>
      <c r="W69" s="443">
        <f>+I69</f>
        <v>4000</v>
      </c>
      <c r="X69" s="444">
        <f t="shared" si="43"/>
        <v>4000</v>
      </c>
      <c r="Y69" s="886">
        <v>2472.41</v>
      </c>
      <c r="Z69" s="392">
        <f t="shared" si="44"/>
        <v>1527.5900000000001</v>
      </c>
      <c r="AA69" s="392">
        <v>0</v>
      </c>
      <c r="AB69" s="877">
        <f t="shared" si="45"/>
        <v>1527.5900000000001</v>
      </c>
      <c r="AC69" s="391">
        <f t="shared" si="46"/>
        <v>4000</v>
      </c>
      <c r="AD69" s="396">
        <f t="shared" si="47"/>
        <v>0</v>
      </c>
      <c r="AE69" s="451">
        <v>2472</v>
      </c>
      <c r="AF69" s="452">
        <v>901.98</v>
      </c>
      <c r="AG69" s="466"/>
      <c r="AH69" s="242">
        <f t="shared" si="48"/>
        <v>3373.98</v>
      </c>
      <c r="AI69" s="399">
        <f t="shared" ref="AI69:AI98" si="49">+AH69/AC69</f>
        <v>0.84349499999999999</v>
      </c>
      <c r="AJ69" s="224"/>
      <c r="AK69" s="224">
        <v>65</v>
      </c>
      <c r="AL69" s="224"/>
    </row>
    <row r="70" spans="1:38" s="402" customFormat="1" ht="14.1" customHeight="1" x14ac:dyDescent="0.2">
      <c r="A70" s="400"/>
      <c r="B70" s="445" t="s">
        <v>619</v>
      </c>
      <c r="C70" s="446" t="s">
        <v>194</v>
      </c>
      <c r="D70" s="244" t="s">
        <v>631</v>
      </c>
      <c r="E70" s="447" t="str">
        <f t="shared" si="37"/>
        <v>psychology</v>
      </c>
      <c r="F70" s="244" t="s">
        <v>630</v>
      </c>
      <c r="G70" s="244" t="s">
        <v>632</v>
      </c>
      <c r="H70" s="448"/>
      <c r="I70" s="449">
        <v>95000</v>
      </c>
      <c r="J70" s="448">
        <v>70500</v>
      </c>
      <c r="K70" s="450">
        <v>11000</v>
      </c>
      <c r="L70" s="242">
        <f t="shared" si="38"/>
        <v>176500</v>
      </c>
      <c r="M70" s="459"/>
      <c r="N70" s="461">
        <f t="shared" si="39"/>
        <v>0</v>
      </c>
      <c r="O70" s="261">
        <f t="shared" si="40"/>
        <v>0</v>
      </c>
      <c r="P70" s="451"/>
      <c r="Q70" s="626">
        <f t="shared" si="41"/>
        <v>0</v>
      </c>
      <c r="R70" s="635"/>
      <c r="S70" s="636"/>
      <c r="T70" s="635"/>
      <c r="U70" s="618">
        <f t="shared" si="42"/>
        <v>0</v>
      </c>
      <c r="V70" s="459">
        <v>0</v>
      </c>
      <c r="W70" s="443">
        <f>+I70</f>
        <v>95000</v>
      </c>
      <c r="X70" s="444">
        <f t="shared" si="43"/>
        <v>95000</v>
      </c>
      <c r="Y70" s="886">
        <v>81450.61</v>
      </c>
      <c r="Z70" s="392">
        <f t="shared" si="44"/>
        <v>13549.39</v>
      </c>
      <c r="AA70" s="392">
        <v>70500</v>
      </c>
      <c r="AB70" s="877">
        <f t="shared" si="45"/>
        <v>84049.39</v>
      </c>
      <c r="AC70" s="391">
        <f t="shared" si="46"/>
        <v>165500</v>
      </c>
      <c r="AD70" s="396">
        <f t="shared" si="47"/>
        <v>0</v>
      </c>
      <c r="AE70" s="451">
        <v>81450.61</v>
      </c>
      <c r="AF70" s="452">
        <v>12774.71</v>
      </c>
      <c r="AG70" s="466">
        <v>57645.75</v>
      </c>
      <c r="AH70" s="242">
        <f t="shared" si="48"/>
        <v>151871.07</v>
      </c>
      <c r="AI70" s="399">
        <f t="shared" si="49"/>
        <v>0.91764996978851965</v>
      </c>
      <c r="AK70" s="224">
        <v>66</v>
      </c>
    </row>
    <row r="71" spans="1:38" s="402" customFormat="1" ht="14.1" customHeight="1" x14ac:dyDescent="0.2">
      <c r="A71" s="400"/>
      <c r="B71" s="445" t="s">
        <v>619</v>
      </c>
      <c r="C71" s="446" t="s">
        <v>194</v>
      </c>
      <c r="D71" s="244" t="s">
        <v>336</v>
      </c>
      <c r="E71" s="447" t="str">
        <f t="shared" si="37"/>
        <v>Center for Learning And Student Success</v>
      </c>
      <c r="F71" s="244" t="s">
        <v>633</v>
      </c>
      <c r="G71" s="244" t="s">
        <v>634</v>
      </c>
      <c r="H71" s="448"/>
      <c r="I71" s="449">
        <v>64182.64</v>
      </c>
      <c r="J71" s="448">
        <v>53973.48</v>
      </c>
      <c r="K71" s="450">
        <v>43764.32</v>
      </c>
      <c r="L71" s="242">
        <f t="shared" si="38"/>
        <v>161920.44</v>
      </c>
      <c r="M71" s="459"/>
      <c r="N71" s="461">
        <f t="shared" si="39"/>
        <v>0</v>
      </c>
      <c r="O71" s="261">
        <f t="shared" si="40"/>
        <v>0</v>
      </c>
      <c r="P71" s="451"/>
      <c r="Q71" s="626">
        <f t="shared" si="41"/>
        <v>0</v>
      </c>
      <c r="R71" s="635"/>
      <c r="S71" s="636"/>
      <c r="T71" s="635"/>
      <c r="U71" s="618">
        <f t="shared" si="42"/>
        <v>0</v>
      </c>
      <c r="V71" s="459">
        <v>0</v>
      </c>
      <c r="W71" s="443">
        <f>+I71</f>
        <v>64182.64</v>
      </c>
      <c r="X71" s="444">
        <f t="shared" si="43"/>
        <v>64182.64</v>
      </c>
      <c r="Y71" s="886">
        <v>64467.32</v>
      </c>
      <c r="Z71" s="392">
        <f t="shared" si="44"/>
        <v>-284.68000000000029</v>
      </c>
      <c r="AA71" s="392">
        <v>53973.48</v>
      </c>
      <c r="AB71" s="877">
        <f t="shared" si="45"/>
        <v>53688.800000000003</v>
      </c>
      <c r="AC71" s="391">
        <f t="shared" si="46"/>
        <v>118156.12</v>
      </c>
      <c r="AD71" s="396">
        <f t="shared" si="47"/>
        <v>0</v>
      </c>
      <c r="AE71" s="451">
        <v>64467.32</v>
      </c>
      <c r="AF71" s="452"/>
      <c r="AG71" s="466"/>
      <c r="AH71" s="242">
        <f t="shared" si="48"/>
        <v>64467.32</v>
      </c>
      <c r="AI71" s="399">
        <f t="shared" si="49"/>
        <v>0.54561134878159512</v>
      </c>
      <c r="AJ71" s="224"/>
      <c r="AK71" s="224">
        <v>67</v>
      </c>
      <c r="AL71" s="224"/>
    </row>
    <row r="72" spans="1:38" s="402" customFormat="1" ht="14.1" customHeight="1" x14ac:dyDescent="0.2">
      <c r="A72" s="400"/>
      <c r="B72" s="445" t="s">
        <v>619</v>
      </c>
      <c r="C72" s="446" t="s">
        <v>194</v>
      </c>
      <c r="D72" s="244" t="s">
        <v>336</v>
      </c>
      <c r="E72" s="447" t="str">
        <f t="shared" si="37"/>
        <v>Center for Learning And Student Success</v>
      </c>
      <c r="F72" s="244" t="s">
        <v>635</v>
      </c>
      <c r="G72" s="244" t="s">
        <v>636</v>
      </c>
      <c r="H72" s="448"/>
      <c r="I72" s="453">
        <f>20519+21230</f>
        <v>41749</v>
      </c>
      <c r="J72" s="499">
        <f>41749-21230</f>
        <v>20519</v>
      </c>
      <c r="K72" s="450">
        <v>20519</v>
      </c>
      <c r="L72" s="242">
        <f t="shared" si="38"/>
        <v>82787</v>
      </c>
      <c r="M72" s="459"/>
      <c r="N72" s="461">
        <f t="shared" si="39"/>
        <v>0</v>
      </c>
      <c r="O72" s="261">
        <f t="shared" si="40"/>
        <v>0</v>
      </c>
      <c r="P72" s="451"/>
      <c r="Q72" s="626">
        <f t="shared" si="41"/>
        <v>0</v>
      </c>
      <c r="R72" s="635"/>
      <c r="S72" s="636"/>
      <c r="T72" s="635"/>
      <c r="U72" s="618">
        <f t="shared" si="42"/>
        <v>0</v>
      </c>
      <c r="V72" s="459">
        <v>0</v>
      </c>
      <c r="W72" s="855">
        <f>20519+21230</f>
        <v>41749</v>
      </c>
      <c r="X72" s="444">
        <f t="shared" si="43"/>
        <v>41749</v>
      </c>
      <c r="Y72" s="886">
        <v>13398.74</v>
      </c>
      <c r="Z72" s="392">
        <f t="shared" si="44"/>
        <v>28350.260000000002</v>
      </c>
      <c r="AA72" s="392">
        <v>20519</v>
      </c>
      <c r="AB72" s="877">
        <f t="shared" si="45"/>
        <v>48869.26</v>
      </c>
      <c r="AC72" s="391">
        <f t="shared" si="46"/>
        <v>62268</v>
      </c>
      <c r="AD72" s="396">
        <f t="shared" si="47"/>
        <v>0</v>
      </c>
      <c r="AE72" s="451">
        <v>13399</v>
      </c>
      <c r="AF72" s="452">
        <v>15459.47</v>
      </c>
      <c r="AG72" s="466">
        <v>13296.58</v>
      </c>
      <c r="AH72" s="242">
        <f t="shared" si="48"/>
        <v>42155.05</v>
      </c>
      <c r="AI72" s="399">
        <f t="shared" si="49"/>
        <v>0.6769938009892722</v>
      </c>
      <c r="AJ72" s="224"/>
      <c r="AK72" s="224">
        <v>68</v>
      </c>
      <c r="AL72" s="224"/>
    </row>
    <row r="73" spans="1:38" s="402" customFormat="1" ht="14.1" customHeight="1" x14ac:dyDescent="0.2">
      <c r="A73" s="400"/>
      <c r="B73" s="445" t="s">
        <v>619</v>
      </c>
      <c r="C73" s="446" t="s">
        <v>194</v>
      </c>
      <c r="D73" s="244" t="s">
        <v>474</v>
      </c>
      <c r="E73" s="447" t="str">
        <f t="shared" si="37"/>
        <v>Counselor Education</v>
      </c>
      <c r="F73" s="244" t="s">
        <v>637</v>
      </c>
      <c r="G73" s="244" t="s">
        <v>638</v>
      </c>
      <c r="H73" s="448"/>
      <c r="I73" s="449">
        <v>36389</v>
      </c>
      <c r="J73" s="448">
        <v>0</v>
      </c>
      <c r="K73" s="450">
        <v>0</v>
      </c>
      <c r="L73" s="242">
        <f t="shared" si="38"/>
        <v>36389</v>
      </c>
      <c r="M73" s="459"/>
      <c r="N73" s="461">
        <f t="shared" si="39"/>
        <v>0</v>
      </c>
      <c r="O73" s="261">
        <f t="shared" si="40"/>
        <v>0</v>
      </c>
      <c r="P73" s="451"/>
      <c r="Q73" s="626">
        <f t="shared" si="41"/>
        <v>0</v>
      </c>
      <c r="R73" s="635"/>
      <c r="S73" s="636"/>
      <c r="T73" s="635"/>
      <c r="U73" s="618">
        <f t="shared" si="42"/>
        <v>0</v>
      </c>
      <c r="V73" s="459">
        <v>0</v>
      </c>
      <c r="W73" s="443">
        <f t="shared" ref="W73:W102" si="50">+I73</f>
        <v>36389</v>
      </c>
      <c r="X73" s="444">
        <f t="shared" si="43"/>
        <v>36389</v>
      </c>
      <c r="Y73" s="886">
        <v>12298.35</v>
      </c>
      <c r="Z73" s="392">
        <f t="shared" si="44"/>
        <v>24090.65</v>
      </c>
      <c r="AA73" s="392">
        <v>0</v>
      </c>
      <c r="AB73" s="877">
        <f t="shared" si="45"/>
        <v>24090.65</v>
      </c>
      <c r="AC73" s="391">
        <f t="shared" si="46"/>
        <v>36389</v>
      </c>
      <c r="AD73" s="396">
        <f t="shared" si="47"/>
        <v>0</v>
      </c>
      <c r="AE73" s="451">
        <v>12298.35</v>
      </c>
      <c r="AF73" s="452">
        <v>15635.04</v>
      </c>
      <c r="AG73" s="466"/>
      <c r="AH73" s="242">
        <f t="shared" si="48"/>
        <v>27933.39</v>
      </c>
      <c r="AI73" s="399">
        <f t="shared" si="49"/>
        <v>0.7676328011212179</v>
      </c>
      <c r="AJ73" s="224"/>
      <c r="AK73" s="224">
        <v>69</v>
      </c>
      <c r="AL73" s="224"/>
    </row>
    <row r="74" spans="1:38" s="402" customFormat="1" ht="14.1" customHeight="1" x14ac:dyDescent="0.2">
      <c r="A74" s="400"/>
      <c r="B74" s="445" t="s">
        <v>619</v>
      </c>
      <c r="C74" s="446" t="s">
        <v>194</v>
      </c>
      <c r="D74" s="244" t="s">
        <v>474</v>
      </c>
      <c r="E74" s="447" t="str">
        <f t="shared" si="37"/>
        <v>Counselor Education</v>
      </c>
      <c r="F74" s="244" t="s">
        <v>639</v>
      </c>
      <c r="G74" s="244" t="s">
        <v>640</v>
      </c>
      <c r="H74" s="448"/>
      <c r="I74" s="449">
        <v>1300</v>
      </c>
      <c r="J74" s="448">
        <v>0</v>
      </c>
      <c r="K74" s="450">
        <v>0</v>
      </c>
      <c r="L74" s="242">
        <f t="shared" si="38"/>
        <v>1300</v>
      </c>
      <c r="M74" s="459"/>
      <c r="N74" s="461">
        <f t="shared" si="39"/>
        <v>0</v>
      </c>
      <c r="O74" s="261">
        <f t="shared" si="40"/>
        <v>0</v>
      </c>
      <c r="P74" s="451"/>
      <c r="Q74" s="626">
        <f t="shared" si="41"/>
        <v>0</v>
      </c>
      <c r="R74" s="635"/>
      <c r="S74" s="636"/>
      <c r="T74" s="635"/>
      <c r="U74" s="618">
        <f t="shared" si="42"/>
        <v>0</v>
      </c>
      <c r="V74" s="459">
        <v>0</v>
      </c>
      <c r="W74" s="443">
        <f t="shared" si="50"/>
        <v>1300</v>
      </c>
      <c r="X74" s="444">
        <f t="shared" si="43"/>
        <v>1300</v>
      </c>
      <c r="Y74" s="886">
        <v>0</v>
      </c>
      <c r="Z74" s="392">
        <f>+X74-Y74+68-138</f>
        <v>1230</v>
      </c>
      <c r="AA74" s="392">
        <v>0</v>
      </c>
      <c r="AB74" s="877">
        <f t="shared" si="45"/>
        <v>1230</v>
      </c>
      <c r="AC74" s="391">
        <f t="shared" si="46"/>
        <v>1300</v>
      </c>
      <c r="AD74" s="396">
        <f t="shared" si="47"/>
        <v>0</v>
      </c>
      <c r="AE74" s="451">
        <v>0</v>
      </c>
      <c r="AF74" s="452">
        <v>1048.23</v>
      </c>
      <c r="AG74" s="466"/>
      <c r="AH74" s="242">
        <f t="shared" si="48"/>
        <v>1048.23</v>
      </c>
      <c r="AI74" s="399">
        <f t="shared" si="49"/>
        <v>0.8063307692307693</v>
      </c>
      <c r="AJ74" s="224"/>
      <c r="AK74" s="224">
        <v>70</v>
      </c>
      <c r="AL74" s="224"/>
    </row>
    <row r="75" spans="1:38" s="402" customFormat="1" ht="14.1" customHeight="1" x14ac:dyDescent="0.2">
      <c r="A75" s="400"/>
      <c r="B75" s="445" t="s">
        <v>619</v>
      </c>
      <c r="C75" s="446" t="s">
        <v>194</v>
      </c>
      <c r="D75" s="244" t="s">
        <v>474</v>
      </c>
      <c r="E75" s="447" t="str">
        <f t="shared" si="37"/>
        <v>Counselor Education</v>
      </c>
      <c r="F75" s="244" t="s">
        <v>641</v>
      </c>
      <c r="G75" s="244" t="s">
        <v>642</v>
      </c>
      <c r="H75" s="448"/>
      <c r="I75" s="449">
        <v>1210</v>
      </c>
      <c r="J75" s="448">
        <v>0</v>
      </c>
      <c r="K75" s="450">
        <v>0</v>
      </c>
      <c r="L75" s="242">
        <f t="shared" si="38"/>
        <v>1210</v>
      </c>
      <c r="M75" s="459"/>
      <c r="N75" s="461">
        <f t="shared" si="39"/>
        <v>0</v>
      </c>
      <c r="O75" s="261">
        <f t="shared" si="40"/>
        <v>0</v>
      </c>
      <c r="P75" s="451"/>
      <c r="Q75" s="626">
        <f t="shared" si="41"/>
        <v>0</v>
      </c>
      <c r="R75" s="635"/>
      <c r="S75" s="636"/>
      <c r="T75" s="635"/>
      <c r="U75" s="618">
        <f t="shared" si="42"/>
        <v>0</v>
      </c>
      <c r="V75" s="459">
        <v>0</v>
      </c>
      <c r="W75" s="443">
        <f t="shared" si="50"/>
        <v>1210</v>
      </c>
      <c r="X75" s="444">
        <f t="shared" si="43"/>
        <v>1210</v>
      </c>
      <c r="Y75" s="886">
        <v>1141.6600000000001</v>
      </c>
      <c r="Z75" s="788"/>
      <c r="AA75" s="392">
        <v>0</v>
      </c>
      <c r="AB75" s="877">
        <v>0</v>
      </c>
      <c r="AC75" s="391">
        <f t="shared" si="46"/>
        <v>1210</v>
      </c>
      <c r="AD75" s="396">
        <f t="shared" si="47"/>
        <v>0</v>
      </c>
      <c r="AE75" s="451">
        <v>1142</v>
      </c>
      <c r="AF75" s="452"/>
      <c r="AG75" s="466"/>
      <c r="AH75" s="242">
        <f t="shared" si="48"/>
        <v>1142</v>
      </c>
      <c r="AI75" s="399">
        <f t="shared" si="49"/>
        <v>0.94380165289256202</v>
      </c>
      <c r="AJ75" s="224"/>
      <c r="AK75" s="224">
        <v>71</v>
      </c>
      <c r="AL75" s="224"/>
    </row>
    <row r="76" spans="1:38" s="402" customFormat="1" ht="14.1" customHeight="1" x14ac:dyDescent="0.2">
      <c r="A76" s="400"/>
      <c r="B76" s="445" t="s">
        <v>619</v>
      </c>
      <c r="C76" s="446" t="s">
        <v>194</v>
      </c>
      <c r="D76" s="244" t="s">
        <v>474</v>
      </c>
      <c r="E76" s="447" t="str">
        <f t="shared" si="37"/>
        <v>Counselor Education</v>
      </c>
      <c r="F76" s="244" t="s">
        <v>643</v>
      </c>
      <c r="G76" s="244" t="s">
        <v>644</v>
      </c>
      <c r="H76" s="448"/>
      <c r="I76" s="449">
        <v>500</v>
      </c>
      <c r="J76" s="448">
        <v>100</v>
      </c>
      <c r="K76" s="450">
        <v>0</v>
      </c>
      <c r="L76" s="242">
        <f t="shared" si="38"/>
        <v>600</v>
      </c>
      <c r="M76" s="459"/>
      <c r="N76" s="461">
        <f t="shared" si="39"/>
        <v>0</v>
      </c>
      <c r="O76" s="261">
        <f t="shared" si="40"/>
        <v>0</v>
      </c>
      <c r="P76" s="451"/>
      <c r="Q76" s="626">
        <f t="shared" si="41"/>
        <v>0</v>
      </c>
      <c r="R76" s="635"/>
      <c r="S76" s="636"/>
      <c r="T76" s="635"/>
      <c r="U76" s="618">
        <f t="shared" si="42"/>
        <v>0</v>
      </c>
      <c r="V76" s="459">
        <v>0</v>
      </c>
      <c r="W76" s="443">
        <f t="shared" si="50"/>
        <v>500</v>
      </c>
      <c r="X76" s="444">
        <f t="shared" si="43"/>
        <v>500</v>
      </c>
      <c r="Y76" s="886">
        <v>0</v>
      </c>
      <c r="Z76" s="392">
        <f>+X76-Y76</f>
        <v>500</v>
      </c>
      <c r="AA76" s="392">
        <v>100</v>
      </c>
      <c r="AB76" s="877">
        <f>+AA76+Z76</f>
        <v>600</v>
      </c>
      <c r="AC76" s="391">
        <f t="shared" si="46"/>
        <v>600</v>
      </c>
      <c r="AD76" s="396">
        <f t="shared" si="47"/>
        <v>0</v>
      </c>
      <c r="AE76" s="451">
        <v>0</v>
      </c>
      <c r="AF76" s="452">
        <v>500</v>
      </c>
      <c r="AG76" s="466"/>
      <c r="AH76" s="242">
        <f t="shared" si="48"/>
        <v>500</v>
      </c>
      <c r="AI76" s="399">
        <f t="shared" si="49"/>
        <v>0.83333333333333337</v>
      </c>
      <c r="AJ76" s="224"/>
      <c r="AK76" s="224">
        <v>72</v>
      </c>
      <c r="AL76" s="224"/>
    </row>
    <row r="77" spans="1:38" s="402" customFormat="1" ht="14.1" customHeight="1" x14ac:dyDescent="0.2">
      <c r="A77" s="400"/>
      <c r="B77" s="445" t="s">
        <v>619</v>
      </c>
      <c r="C77" s="446" t="s">
        <v>194</v>
      </c>
      <c r="D77" s="244" t="s">
        <v>474</v>
      </c>
      <c r="E77" s="447" t="str">
        <f t="shared" si="37"/>
        <v>Counselor Education</v>
      </c>
      <c r="F77" s="244" t="s">
        <v>645</v>
      </c>
      <c r="G77" s="244" t="s">
        <v>646</v>
      </c>
      <c r="H77" s="448"/>
      <c r="I77" s="449">
        <v>1412</v>
      </c>
      <c r="J77" s="448">
        <v>0</v>
      </c>
      <c r="K77" s="450">
        <v>0</v>
      </c>
      <c r="L77" s="242">
        <f t="shared" si="38"/>
        <v>1412</v>
      </c>
      <c r="M77" s="459"/>
      <c r="N77" s="461">
        <f t="shared" si="39"/>
        <v>0</v>
      </c>
      <c r="O77" s="261">
        <f t="shared" si="40"/>
        <v>0</v>
      </c>
      <c r="P77" s="451"/>
      <c r="Q77" s="626">
        <f t="shared" si="41"/>
        <v>0</v>
      </c>
      <c r="R77" s="635"/>
      <c r="S77" s="636"/>
      <c r="T77" s="635"/>
      <c r="U77" s="618">
        <f t="shared" si="42"/>
        <v>0</v>
      </c>
      <c r="V77" s="459">
        <v>0</v>
      </c>
      <c r="W77" s="443">
        <f t="shared" si="50"/>
        <v>1412</v>
      </c>
      <c r="X77" s="444">
        <f t="shared" si="43"/>
        <v>1412</v>
      </c>
      <c r="Y77" s="886">
        <v>0</v>
      </c>
      <c r="Z77" s="392">
        <f>+X77-Y77</f>
        <v>1412</v>
      </c>
      <c r="AA77" s="392">
        <v>0</v>
      </c>
      <c r="AB77" s="877">
        <f>+AA77+Z77</f>
        <v>1412</v>
      </c>
      <c r="AC77" s="391">
        <f t="shared" si="46"/>
        <v>1412</v>
      </c>
      <c r="AD77" s="396">
        <f t="shared" si="47"/>
        <v>0</v>
      </c>
      <c r="AE77" s="451">
        <v>0</v>
      </c>
      <c r="AF77" s="452">
        <v>1412</v>
      </c>
      <c r="AG77" s="466"/>
      <c r="AH77" s="242">
        <f t="shared" si="48"/>
        <v>1412</v>
      </c>
      <c r="AI77" s="399">
        <f t="shared" si="49"/>
        <v>1</v>
      </c>
      <c r="AJ77" s="224"/>
      <c r="AK77" s="224">
        <v>73</v>
      </c>
      <c r="AL77" s="224"/>
    </row>
    <row r="78" spans="1:38" s="402" customFormat="1" ht="14.1" customHeight="1" x14ac:dyDescent="0.2">
      <c r="A78" s="400"/>
      <c r="B78" s="445" t="s">
        <v>619</v>
      </c>
      <c r="C78" s="446" t="s">
        <v>194</v>
      </c>
      <c r="D78" s="244" t="s">
        <v>474</v>
      </c>
      <c r="E78" s="447" t="str">
        <f t="shared" si="37"/>
        <v>Counselor Education</v>
      </c>
      <c r="F78" s="244" t="s">
        <v>647</v>
      </c>
      <c r="G78" s="244" t="s">
        <v>648</v>
      </c>
      <c r="H78" s="448"/>
      <c r="I78" s="449">
        <v>510</v>
      </c>
      <c r="J78" s="448">
        <v>0</v>
      </c>
      <c r="K78" s="450">
        <v>0</v>
      </c>
      <c r="L78" s="242">
        <f t="shared" si="38"/>
        <v>510</v>
      </c>
      <c r="M78" s="459"/>
      <c r="N78" s="461">
        <f t="shared" si="39"/>
        <v>0</v>
      </c>
      <c r="O78" s="261">
        <f t="shared" si="40"/>
        <v>0</v>
      </c>
      <c r="P78" s="451"/>
      <c r="Q78" s="626">
        <f t="shared" si="41"/>
        <v>0</v>
      </c>
      <c r="R78" s="635"/>
      <c r="S78" s="636"/>
      <c r="T78" s="635"/>
      <c r="U78" s="618">
        <f t="shared" si="42"/>
        <v>0</v>
      </c>
      <c r="V78" s="459">
        <v>0</v>
      </c>
      <c r="W78" s="443">
        <f t="shared" si="50"/>
        <v>510</v>
      </c>
      <c r="X78" s="444">
        <f t="shared" si="43"/>
        <v>510</v>
      </c>
      <c r="Y78" s="886">
        <v>647.70000000000005</v>
      </c>
      <c r="Z78" s="788"/>
      <c r="AA78" s="392">
        <v>0</v>
      </c>
      <c r="AB78" s="877">
        <v>0</v>
      </c>
      <c r="AC78" s="391">
        <f t="shared" si="46"/>
        <v>510</v>
      </c>
      <c r="AD78" s="396">
        <f t="shared" si="47"/>
        <v>0</v>
      </c>
      <c r="AE78" s="451">
        <v>647.70000000000005</v>
      </c>
      <c r="AF78" s="452"/>
      <c r="AG78" s="466"/>
      <c r="AH78" s="242">
        <f t="shared" si="48"/>
        <v>647.70000000000005</v>
      </c>
      <c r="AI78" s="786">
        <f t="shared" si="49"/>
        <v>1.27</v>
      </c>
      <c r="AJ78" s="224"/>
      <c r="AK78" s="224">
        <v>74</v>
      </c>
      <c r="AL78" s="224"/>
    </row>
    <row r="79" spans="1:38" s="402" customFormat="1" ht="14.1" customHeight="1" x14ac:dyDescent="0.2">
      <c r="A79" s="400"/>
      <c r="B79" s="445" t="s">
        <v>619</v>
      </c>
      <c r="C79" s="446" t="s">
        <v>194</v>
      </c>
      <c r="D79" s="244" t="s">
        <v>336</v>
      </c>
      <c r="E79" s="447" t="str">
        <f t="shared" si="37"/>
        <v>Center for Learning And Student Success</v>
      </c>
      <c r="F79" s="244" t="s">
        <v>649</v>
      </c>
      <c r="G79" s="244" t="s">
        <v>650</v>
      </c>
      <c r="H79" s="448"/>
      <c r="I79" s="449">
        <v>5900</v>
      </c>
      <c r="J79" s="448">
        <v>0</v>
      </c>
      <c r="K79" s="450">
        <v>0</v>
      </c>
      <c r="L79" s="242">
        <f t="shared" si="38"/>
        <v>5900</v>
      </c>
      <c r="M79" s="459"/>
      <c r="N79" s="461">
        <f t="shared" si="39"/>
        <v>0</v>
      </c>
      <c r="O79" s="261">
        <f t="shared" si="40"/>
        <v>0</v>
      </c>
      <c r="P79" s="451"/>
      <c r="Q79" s="626">
        <f t="shared" si="41"/>
        <v>0</v>
      </c>
      <c r="R79" s="635"/>
      <c r="S79" s="636"/>
      <c r="T79" s="635"/>
      <c r="U79" s="618">
        <f t="shared" si="42"/>
        <v>0</v>
      </c>
      <c r="V79" s="459">
        <v>0</v>
      </c>
      <c r="W79" s="443">
        <f t="shared" si="50"/>
        <v>5900</v>
      </c>
      <c r="X79" s="444">
        <f t="shared" si="43"/>
        <v>5900</v>
      </c>
      <c r="Y79" s="886">
        <v>4189.78</v>
      </c>
      <c r="Z79" s="392">
        <f t="shared" ref="Z79:Z102" si="51">+X79-Y79</f>
        <v>1710.2200000000003</v>
      </c>
      <c r="AA79" s="392">
        <v>0</v>
      </c>
      <c r="AB79" s="877">
        <f t="shared" ref="AB79:AB102" si="52">+AA79+Z79</f>
        <v>1710.2200000000003</v>
      </c>
      <c r="AC79" s="391">
        <f t="shared" si="46"/>
        <v>5900</v>
      </c>
      <c r="AD79" s="396">
        <f t="shared" si="47"/>
        <v>0</v>
      </c>
      <c r="AE79" s="451">
        <v>4190</v>
      </c>
      <c r="AF79" s="452">
        <v>1750.48</v>
      </c>
      <c r="AG79" s="466"/>
      <c r="AH79" s="242">
        <f t="shared" si="48"/>
        <v>5940.48</v>
      </c>
      <c r="AI79" s="399">
        <f t="shared" si="49"/>
        <v>1.0068610169491525</v>
      </c>
      <c r="AJ79" s="224"/>
      <c r="AK79" s="224">
        <v>75</v>
      </c>
      <c r="AL79" s="224"/>
    </row>
    <row r="80" spans="1:38" s="402" customFormat="1" ht="14.1" customHeight="1" x14ac:dyDescent="0.2">
      <c r="A80" s="400"/>
      <c r="B80" s="445" t="s">
        <v>619</v>
      </c>
      <c r="C80" s="446" t="s">
        <v>194</v>
      </c>
      <c r="D80" s="244" t="s">
        <v>323</v>
      </c>
      <c r="E80" s="447" t="str">
        <f t="shared" si="37"/>
        <v>SURP</v>
      </c>
      <c r="F80" s="244" t="s">
        <v>651</v>
      </c>
      <c r="G80" s="244" t="s">
        <v>652</v>
      </c>
      <c r="H80" s="448"/>
      <c r="I80" s="449">
        <v>30330</v>
      </c>
      <c r="J80" s="448">
        <v>0</v>
      </c>
      <c r="K80" s="450">
        <v>0</v>
      </c>
      <c r="L80" s="242">
        <f t="shared" si="38"/>
        <v>30330</v>
      </c>
      <c r="M80" s="459"/>
      <c r="N80" s="461">
        <f t="shared" si="39"/>
        <v>0</v>
      </c>
      <c r="O80" s="261">
        <f t="shared" si="40"/>
        <v>0</v>
      </c>
      <c r="P80" s="451"/>
      <c r="Q80" s="626">
        <f t="shared" si="41"/>
        <v>0</v>
      </c>
      <c r="R80" s="635"/>
      <c r="S80" s="636"/>
      <c r="T80" s="635"/>
      <c r="U80" s="618">
        <f t="shared" si="42"/>
        <v>0</v>
      </c>
      <c r="V80" s="459">
        <v>0</v>
      </c>
      <c r="W80" s="443">
        <f t="shared" si="50"/>
        <v>30330</v>
      </c>
      <c r="X80" s="444">
        <f t="shared" si="43"/>
        <v>30330</v>
      </c>
      <c r="Y80" s="886">
        <v>29320</v>
      </c>
      <c r="Z80" s="392">
        <f t="shared" si="51"/>
        <v>1010</v>
      </c>
      <c r="AA80" s="392">
        <v>0</v>
      </c>
      <c r="AB80" s="877">
        <f t="shared" si="52"/>
        <v>1010</v>
      </c>
      <c r="AC80" s="391">
        <f t="shared" si="46"/>
        <v>30330</v>
      </c>
      <c r="AD80" s="396">
        <f t="shared" si="47"/>
        <v>0</v>
      </c>
      <c r="AE80" s="451">
        <v>29320</v>
      </c>
      <c r="AF80" s="452"/>
      <c r="AG80" s="466"/>
      <c r="AH80" s="242">
        <f t="shared" si="48"/>
        <v>29320</v>
      </c>
      <c r="AI80" s="399">
        <f t="shared" si="49"/>
        <v>0.96669963732278275</v>
      </c>
      <c r="AK80" s="224">
        <v>76</v>
      </c>
    </row>
    <row r="81" spans="1:38" s="402" customFormat="1" ht="14.1" customHeight="1" x14ac:dyDescent="0.2">
      <c r="A81" s="400"/>
      <c r="B81" s="445" t="s">
        <v>619</v>
      </c>
      <c r="C81" s="446" t="s">
        <v>194</v>
      </c>
      <c r="D81" s="244" t="s">
        <v>631</v>
      </c>
      <c r="E81" s="447" t="str">
        <f t="shared" si="37"/>
        <v>psychology</v>
      </c>
      <c r="F81" s="244" t="s">
        <v>653</v>
      </c>
      <c r="G81" s="244" t="s">
        <v>654</v>
      </c>
      <c r="H81" s="448"/>
      <c r="I81" s="449">
        <v>77678</v>
      </c>
      <c r="J81" s="448">
        <v>2250</v>
      </c>
      <c r="K81" s="450">
        <v>2250</v>
      </c>
      <c r="L81" s="242">
        <f t="shared" si="38"/>
        <v>82178</v>
      </c>
      <c r="M81" s="459"/>
      <c r="N81" s="461">
        <f t="shared" si="39"/>
        <v>0</v>
      </c>
      <c r="O81" s="261">
        <f t="shared" si="40"/>
        <v>0</v>
      </c>
      <c r="P81" s="451"/>
      <c r="Q81" s="626">
        <f t="shared" si="41"/>
        <v>0</v>
      </c>
      <c r="R81" s="635"/>
      <c r="S81" s="636"/>
      <c r="T81" s="635"/>
      <c r="U81" s="618">
        <f t="shared" si="42"/>
        <v>0</v>
      </c>
      <c r="V81" s="459">
        <v>0</v>
      </c>
      <c r="W81" s="443">
        <f t="shared" si="50"/>
        <v>77678</v>
      </c>
      <c r="X81" s="444">
        <f t="shared" si="43"/>
        <v>77678</v>
      </c>
      <c r="Y81" s="886">
        <v>36057.599999999999</v>
      </c>
      <c r="Z81" s="392">
        <f t="shared" si="51"/>
        <v>41620.400000000001</v>
      </c>
      <c r="AA81" s="392">
        <v>2250</v>
      </c>
      <c r="AB81" s="877">
        <f t="shared" si="52"/>
        <v>43870.400000000001</v>
      </c>
      <c r="AC81" s="391">
        <f t="shared" si="46"/>
        <v>79928</v>
      </c>
      <c r="AD81" s="396">
        <f t="shared" si="47"/>
        <v>0</v>
      </c>
      <c r="AE81" s="451">
        <v>36058</v>
      </c>
      <c r="AF81" s="452">
        <v>23083.48</v>
      </c>
      <c r="AG81" s="466"/>
      <c r="AH81" s="242">
        <f t="shared" si="48"/>
        <v>59141.479999999996</v>
      </c>
      <c r="AI81" s="399">
        <f t="shared" si="49"/>
        <v>0.7399344409968972</v>
      </c>
      <c r="AK81" s="224">
        <v>77</v>
      </c>
    </row>
    <row r="82" spans="1:38" s="402" customFormat="1" ht="14.1" customHeight="1" x14ac:dyDescent="0.2">
      <c r="A82" s="400"/>
      <c r="B82" s="445" t="s">
        <v>619</v>
      </c>
      <c r="C82" s="446" t="s">
        <v>194</v>
      </c>
      <c r="D82" s="244" t="s">
        <v>551</v>
      </c>
      <c r="E82" s="447" t="str">
        <f t="shared" si="37"/>
        <v>Counselor Education</v>
      </c>
      <c r="F82" s="244" t="s">
        <v>655</v>
      </c>
      <c r="G82" s="244" t="s">
        <v>656</v>
      </c>
      <c r="H82" s="448"/>
      <c r="I82" s="449">
        <v>46000</v>
      </c>
      <c r="J82" s="448">
        <v>0</v>
      </c>
      <c r="K82" s="450">
        <v>0</v>
      </c>
      <c r="L82" s="242">
        <f t="shared" si="38"/>
        <v>46000</v>
      </c>
      <c r="M82" s="459"/>
      <c r="N82" s="461">
        <f t="shared" si="39"/>
        <v>0</v>
      </c>
      <c r="O82" s="261">
        <f t="shared" si="40"/>
        <v>0</v>
      </c>
      <c r="P82" s="451"/>
      <c r="Q82" s="626">
        <f t="shared" si="41"/>
        <v>0</v>
      </c>
      <c r="R82" s="635"/>
      <c r="S82" s="636"/>
      <c r="T82" s="635"/>
      <c r="U82" s="618">
        <f t="shared" si="42"/>
        <v>0</v>
      </c>
      <c r="V82" s="459">
        <v>0</v>
      </c>
      <c r="W82" s="443">
        <f t="shared" si="50"/>
        <v>46000</v>
      </c>
      <c r="X82" s="444">
        <f t="shared" si="43"/>
        <v>46000</v>
      </c>
      <c r="Y82" s="886">
        <v>32109.34</v>
      </c>
      <c r="Z82" s="392">
        <f t="shared" si="51"/>
        <v>13890.66</v>
      </c>
      <c r="AA82" s="392">
        <v>0</v>
      </c>
      <c r="AB82" s="877">
        <f t="shared" si="52"/>
        <v>13890.66</v>
      </c>
      <c r="AC82" s="391">
        <f t="shared" si="46"/>
        <v>46000</v>
      </c>
      <c r="AD82" s="396">
        <f t="shared" si="47"/>
        <v>0</v>
      </c>
      <c r="AE82" s="451">
        <v>32109.34</v>
      </c>
      <c r="AF82" s="452">
        <v>993.63</v>
      </c>
      <c r="AG82" s="466"/>
      <c r="AH82" s="242">
        <f t="shared" si="48"/>
        <v>33102.97</v>
      </c>
      <c r="AI82" s="399">
        <f t="shared" si="49"/>
        <v>0.7196297826086957</v>
      </c>
      <c r="AK82" s="224">
        <v>78</v>
      </c>
    </row>
    <row r="83" spans="1:38" s="402" customFormat="1" ht="14.1" customHeight="1" x14ac:dyDescent="0.2">
      <c r="A83" s="400"/>
      <c r="B83" s="445" t="s">
        <v>619</v>
      </c>
      <c r="C83" s="446" t="s">
        <v>194</v>
      </c>
      <c r="D83" s="244" t="s">
        <v>631</v>
      </c>
      <c r="E83" s="447" t="str">
        <f t="shared" si="37"/>
        <v>psychology</v>
      </c>
      <c r="F83" s="244" t="s">
        <v>657</v>
      </c>
      <c r="G83" s="244" t="s">
        <v>658</v>
      </c>
      <c r="H83" s="448"/>
      <c r="I83" s="453">
        <v>7699</v>
      </c>
      <c r="J83" s="448">
        <v>2000</v>
      </c>
      <c r="K83" s="450">
        <v>1000</v>
      </c>
      <c r="L83" s="242">
        <f t="shared" si="38"/>
        <v>10699</v>
      </c>
      <c r="M83" s="459"/>
      <c r="N83" s="461">
        <f t="shared" si="39"/>
        <v>0</v>
      </c>
      <c r="O83" s="261">
        <f t="shared" si="40"/>
        <v>0</v>
      </c>
      <c r="P83" s="451"/>
      <c r="Q83" s="626">
        <f t="shared" si="41"/>
        <v>0</v>
      </c>
      <c r="R83" s="635"/>
      <c r="S83" s="636"/>
      <c r="T83" s="635"/>
      <c r="U83" s="618">
        <f t="shared" si="42"/>
        <v>0</v>
      </c>
      <c r="V83" s="459">
        <v>0</v>
      </c>
      <c r="W83" s="443">
        <f t="shared" si="50"/>
        <v>7699</v>
      </c>
      <c r="X83" s="444">
        <f t="shared" si="43"/>
        <v>7699</v>
      </c>
      <c r="Y83" s="886">
        <v>0</v>
      </c>
      <c r="Z83" s="392">
        <f t="shared" si="51"/>
        <v>7699</v>
      </c>
      <c r="AA83" s="392">
        <v>2000</v>
      </c>
      <c r="AB83" s="877">
        <f t="shared" si="52"/>
        <v>9699</v>
      </c>
      <c r="AC83" s="391">
        <f t="shared" si="46"/>
        <v>9699</v>
      </c>
      <c r="AD83" s="396">
        <f t="shared" si="47"/>
        <v>0</v>
      </c>
      <c r="AE83" s="451">
        <v>0</v>
      </c>
      <c r="AF83" s="452"/>
      <c r="AG83" s="466"/>
      <c r="AH83" s="242">
        <f t="shared" si="48"/>
        <v>0</v>
      </c>
      <c r="AI83" s="399">
        <f t="shared" si="49"/>
        <v>0</v>
      </c>
      <c r="AK83" s="224">
        <v>79</v>
      </c>
    </row>
    <row r="84" spans="1:38" s="402" customFormat="1" ht="14.1" customHeight="1" x14ac:dyDescent="0.2">
      <c r="A84" s="400"/>
      <c r="B84" s="445" t="s">
        <v>619</v>
      </c>
      <c r="C84" s="446" t="s">
        <v>194</v>
      </c>
      <c r="D84" s="244" t="s">
        <v>631</v>
      </c>
      <c r="E84" s="447" t="str">
        <f t="shared" si="37"/>
        <v>psychology</v>
      </c>
      <c r="F84" s="244" t="s">
        <v>659</v>
      </c>
      <c r="G84" s="244" t="s">
        <v>660</v>
      </c>
      <c r="H84" s="448"/>
      <c r="I84" s="449">
        <v>11295</v>
      </c>
      <c r="J84" s="448">
        <v>0</v>
      </c>
      <c r="K84" s="450">
        <v>0</v>
      </c>
      <c r="L84" s="242">
        <f t="shared" si="38"/>
        <v>11295</v>
      </c>
      <c r="M84" s="459"/>
      <c r="N84" s="461">
        <f t="shared" si="39"/>
        <v>0</v>
      </c>
      <c r="O84" s="261">
        <f t="shared" si="40"/>
        <v>0</v>
      </c>
      <c r="P84" s="451"/>
      <c r="Q84" s="626">
        <f t="shared" si="41"/>
        <v>0</v>
      </c>
      <c r="R84" s="635"/>
      <c r="S84" s="636"/>
      <c r="T84" s="635"/>
      <c r="U84" s="618">
        <f t="shared" si="42"/>
        <v>0</v>
      </c>
      <c r="V84" s="459">
        <v>0</v>
      </c>
      <c r="W84" s="443">
        <f t="shared" si="50"/>
        <v>11295</v>
      </c>
      <c r="X84" s="444">
        <f t="shared" si="43"/>
        <v>11295</v>
      </c>
      <c r="Y84" s="886">
        <v>0</v>
      </c>
      <c r="Z84" s="392">
        <f t="shared" si="51"/>
        <v>11295</v>
      </c>
      <c r="AA84" s="392">
        <v>0</v>
      </c>
      <c r="AB84" s="877">
        <f t="shared" si="52"/>
        <v>11295</v>
      </c>
      <c r="AC84" s="391">
        <f t="shared" si="46"/>
        <v>11295</v>
      </c>
      <c r="AD84" s="396">
        <f t="shared" si="47"/>
        <v>0</v>
      </c>
      <c r="AE84" s="451">
        <v>0</v>
      </c>
      <c r="AF84" s="452">
        <v>573.94000000000005</v>
      </c>
      <c r="AG84" s="466">
        <v>10778.97</v>
      </c>
      <c r="AH84" s="242">
        <f t="shared" si="48"/>
        <v>11352.91</v>
      </c>
      <c r="AI84" s="399">
        <f t="shared" si="49"/>
        <v>1.0051270473660912</v>
      </c>
      <c r="AK84" s="224">
        <v>80</v>
      </c>
    </row>
    <row r="85" spans="1:38" s="402" customFormat="1" ht="14.1" customHeight="1" x14ac:dyDescent="0.2">
      <c r="A85" s="400"/>
      <c r="B85" s="445" t="s">
        <v>619</v>
      </c>
      <c r="C85" s="446" t="s">
        <v>194</v>
      </c>
      <c r="D85" s="244" t="s">
        <v>328</v>
      </c>
      <c r="E85" s="447" t="str">
        <f t="shared" si="37"/>
        <v>SURP</v>
      </c>
      <c r="F85" s="244" t="s">
        <v>292</v>
      </c>
      <c r="G85" s="244" t="s">
        <v>661</v>
      </c>
      <c r="H85" s="448"/>
      <c r="I85" s="449">
        <v>96694</v>
      </c>
      <c r="J85" s="448">
        <v>2691</v>
      </c>
      <c r="K85" s="450">
        <v>2691</v>
      </c>
      <c r="L85" s="242">
        <f t="shared" si="38"/>
        <v>102076</v>
      </c>
      <c r="M85" s="459"/>
      <c r="N85" s="461">
        <f t="shared" si="39"/>
        <v>0</v>
      </c>
      <c r="O85" s="261">
        <f t="shared" si="40"/>
        <v>0</v>
      </c>
      <c r="P85" s="451"/>
      <c r="Q85" s="626">
        <f t="shared" si="41"/>
        <v>0</v>
      </c>
      <c r="R85" s="635"/>
      <c r="S85" s="636"/>
      <c r="T85" s="635"/>
      <c r="U85" s="618">
        <f t="shared" si="42"/>
        <v>0</v>
      </c>
      <c r="V85" s="459">
        <v>0</v>
      </c>
      <c r="W85" s="443">
        <f t="shared" si="50"/>
        <v>96694</v>
      </c>
      <c r="X85" s="444">
        <f t="shared" si="43"/>
        <v>96694</v>
      </c>
      <c r="Y85" s="886">
        <v>82174</v>
      </c>
      <c r="Z85" s="392">
        <f t="shared" si="51"/>
        <v>14520</v>
      </c>
      <c r="AA85" s="392">
        <v>2691</v>
      </c>
      <c r="AB85" s="877">
        <f t="shared" si="52"/>
        <v>17211</v>
      </c>
      <c r="AC85" s="391">
        <f t="shared" si="46"/>
        <v>99385</v>
      </c>
      <c r="AD85" s="396">
        <f t="shared" si="47"/>
        <v>0</v>
      </c>
      <c r="AE85" s="451">
        <v>82174</v>
      </c>
      <c r="AF85" s="452"/>
      <c r="AG85" s="466"/>
      <c r="AH85" s="242">
        <f t="shared" si="48"/>
        <v>82174</v>
      </c>
      <c r="AI85" s="399">
        <f t="shared" si="49"/>
        <v>0.82682497358756346</v>
      </c>
      <c r="AJ85" s="224"/>
      <c r="AK85" s="224">
        <v>81</v>
      </c>
    </row>
    <row r="86" spans="1:38" s="402" customFormat="1" ht="14.1" customHeight="1" x14ac:dyDescent="0.2">
      <c r="A86" s="400"/>
      <c r="B86" s="445" t="s">
        <v>619</v>
      </c>
      <c r="C86" s="446" t="s">
        <v>194</v>
      </c>
      <c r="D86" s="244" t="s">
        <v>328</v>
      </c>
      <c r="E86" s="447" t="str">
        <f t="shared" si="37"/>
        <v>SURP</v>
      </c>
      <c r="F86" s="244" t="s">
        <v>662</v>
      </c>
      <c r="G86" s="244" t="s">
        <v>663</v>
      </c>
      <c r="H86" s="448"/>
      <c r="I86" s="449">
        <v>12000</v>
      </c>
      <c r="J86" s="448">
        <v>2000</v>
      </c>
      <c r="K86" s="450">
        <v>0</v>
      </c>
      <c r="L86" s="242">
        <f t="shared" si="38"/>
        <v>14000</v>
      </c>
      <c r="M86" s="459"/>
      <c r="N86" s="461">
        <f t="shared" si="39"/>
        <v>0</v>
      </c>
      <c r="O86" s="261">
        <f t="shared" si="40"/>
        <v>0</v>
      </c>
      <c r="P86" s="451"/>
      <c r="Q86" s="626">
        <f t="shared" si="41"/>
        <v>0</v>
      </c>
      <c r="R86" s="635"/>
      <c r="S86" s="636"/>
      <c r="T86" s="635"/>
      <c r="U86" s="618">
        <f t="shared" si="42"/>
        <v>0</v>
      </c>
      <c r="V86" s="459">
        <v>0</v>
      </c>
      <c r="W86" s="443">
        <f t="shared" si="50"/>
        <v>12000</v>
      </c>
      <c r="X86" s="444">
        <f t="shared" si="43"/>
        <v>12000</v>
      </c>
      <c r="Y86" s="886">
        <v>2038.16</v>
      </c>
      <c r="Z86" s="392">
        <f t="shared" si="51"/>
        <v>9961.84</v>
      </c>
      <c r="AA86" s="392">
        <v>2000</v>
      </c>
      <c r="AB86" s="877">
        <f t="shared" si="52"/>
        <v>11961.84</v>
      </c>
      <c r="AC86" s="391">
        <f t="shared" si="46"/>
        <v>14000</v>
      </c>
      <c r="AD86" s="396">
        <f t="shared" si="47"/>
        <v>0</v>
      </c>
      <c r="AE86" s="451">
        <v>2038</v>
      </c>
      <c r="AF86" s="452">
        <v>9472.5</v>
      </c>
      <c r="AG86" s="466">
        <v>63.09</v>
      </c>
      <c r="AH86" s="242">
        <f t="shared" si="48"/>
        <v>11573.59</v>
      </c>
      <c r="AI86" s="399">
        <f t="shared" si="49"/>
        <v>0.826685</v>
      </c>
      <c r="AJ86" s="224"/>
      <c r="AK86" s="224">
        <v>82</v>
      </c>
    </row>
    <row r="87" spans="1:38" s="402" customFormat="1" ht="14.1" customHeight="1" x14ac:dyDescent="0.2">
      <c r="A87" s="400"/>
      <c r="B87" s="445" t="s">
        <v>619</v>
      </c>
      <c r="C87" s="446" t="s">
        <v>194</v>
      </c>
      <c r="D87" s="244" t="s">
        <v>336</v>
      </c>
      <c r="E87" s="447" t="str">
        <f t="shared" si="37"/>
        <v>Center for Learning And Student Success</v>
      </c>
      <c r="F87" s="244" t="s">
        <v>664</v>
      </c>
      <c r="G87" s="244" t="s">
        <v>665</v>
      </c>
      <c r="H87" s="448"/>
      <c r="I87" s="449">
        <v>32940</v>
      </c>
      <c r="J87" s="448">
        <v>0</v>
      </c>
      <c r="K87" s="450">
        <v>0</v>
      </c>
      <c r="L87" s="242">
        <f t="shared" si="38"/>
        <v>32940</v>
      </c>
      <c r="M87" s="459"/>
      <c r="N87" s="461">
        <f t="shared" si="39"/>
        <v>0</v>
      </c>
      <c r="O87" s="261">
        <f t="shared" si="40"/>
        <v>0</v>
      </c>
      <c r="P87" s="451"/>
      <c r="Q87" s="626">
        <f t="shared" si="41"/>
        <v>0</v>
      </c>
      <c r="R87" s="635"/>
      <c r="S87" s="636"/>
      <c r="T87" s="635"/>
      <c r="U87" s="618">
        <f t="shared" si="42"/>
        <v>0</v>
      </c>
      <c r="V87" s="459">
        <v>0</v>
      </c>
      <c r="W87" s="443">
        <f t="shared" si="50"/>
        <v>32940</v>
      </c>
      <c r="X87" s="444">
        <f t="shared" si="43"/>
        <v>32940</v>
      </c>
      <c r="Y87" s="886">
        <v>15762.18</v>
      </c>
      <c r="Z87" s="392">
        <f t="shared" si="51"/>
        <v>17177.82</v>
      </c>
      <c r="AA87" s="392">
        <v>0</v>
      </c>
      <c r="AB87" s="877">
        <f t="shared" si="52"/>
        <v>17177.82</v>
      </c>
      <c r="AC87" s="391">
        <f t="shared" si="46"/>
        <v>32940</v>
      </c>
      <c r="AD87" s="396">
        <f t="shared" si="47"/>
        <v>0</v>
      </c>
      <c r="AE87" s="451">
        <v>15762.18</v>
      </c>
      <c r="AF87" s="452">
        <v>12856.86</v>
      </c>
      <c r="AG87" s="466"/>
      <c r="AH87" s="242">
        <f t="shared" si="48"/>
        <v>28619.040000000001</v>
      </c>
      <c r="AI87" s="399">
        <f t="shared" si="49"/>
        <v>0.86882331511839717</v>
      </c>
      <c r="AJ87" s="224"/>
      <c r="AK87" s="224">
        <v>83</v>
      </c>
      <c r="AL87" s="224"/>
    </row>
    <row r="88" spans="1:38" s="402" customFormat="1" ht="14.1" customHeight="1" x14ac:dyDescent="0.2">
      <c r="A88" s="400"/>
      <c r="B88" s="445" t="s">
        <v>619</v>
      </c>
      <c r="C88" s="446" t="s">
        <v>194</v>
      </c>
      <c r="D88" s="244" t="s">
        <v>328</v>
      </c>
      <c r="E88" s="447" t="str">
        <f t="shared" si="37"/>
        <v>SURP</v>
      </c>
      <c r="F88" s="244" t="s">
        <v>666</v>
      </c>
      <c r="G88" s="244" t="s">
        <v>667</v>
      </c>
      <c r="H88" s="448"/>
      <c r="I88" s="453">
        <v>2776</v>
      </c>
      <c r="J88" s="448">
        <v>0</v>
      </c>
      <c r="K88" s="450">
        <v>0</v>
      </c>
      <c r="L88" s="242">
        <f t="shared" si="38"/>
        <v>2776</v>
      </c>
      <c r="M88" s="459"/>
      <c r="N88" s="461">
        <f t="shared" si="39"/>
        <v>0</v>
      </c>
      <c r="O88" s="261">
        <f t="shared" si="40"/>
        <v>0</v>
      </c>
      <c r="P88" s="451"/>
      <c r="Q88" s="626">
        <f t="shared" si="41"/>
        <v>0</v>
      </c>
      <c r="R88" s="635"/>
      <c r="S88" s="636"/>
      <c r="T88" s="635"/>
      <c r="U88" s="618">
        <f t="shared" si="42"/>
        <v>0</v>
      </c>
      <c r="V88" s="459">
        <v>0</v>
      </c>
      <c r="W88" s="443">
        <f t="shared" si="50"/>
        <v>2776</v>
      </c>
      <c r="X88" s="444">
        <f t="shared" si="43"/>
        <v>2776</v>
      </c>
      <c r="Y88" s="886">
        <v>2745.08</v>
      </c>
      <c r="Z88" s="392">
        <f t="shared" si="51"/>
        <v>30.920000000000073</v>
      </c>
      <c r="AA88" s="392">
        <v>0</v>
      </c>
      <c r="AB88" s="877">
        <f t="shared" si="52"/>
        <v>30.920000000000073</v>
      </c>
      <c r="AC88" s="391">
        <f t="shared" si="46"/>
        <v>2776</v>
      </c>
      <c r="AD88" s="396">
        <f t="shared" si="47"/>
        <v>0</v>
      </c>
      <c r="AE88" s="451">
        <v>2745.08</v>
      </c>
      <c r="AF88" s="452"/>
      <c r="AG88" s="466"/>
      <c r="AH88" s="242">
        <f t="shared" si="48"/>
        <v>2745.08</v>
      </c>
      <c r="AI88" s="399">
        <f t="shared" si="49"/>
        <v>0.98886167146974058</v>
      </c>
      <c r="AK88" s="224">
        <v>84</v>
      </c>
    </row>
    <row r="89" spans="1:38" s="402" customFormat="1" ht="14.1" customHeight="1" x14ac:dyDescent="0.2">
      <c r="A89" s="400"/>
      <c r="B89" s="445" t="s">
        <v>619</v>
      </c>
      <c r="C89" s="446" t="s">
        <v>194</v>
      </c>
      <c r="D89" s="244" t="s">
        <v>631</v>
      </c>
      <c r="E89" s="447" t="str">
        <f t="shared" si="37"/>
        <v>psychology</v>
      </c>
      <c r="F89" s="244" t="s">
        <v>668</v>
      </c>
      <c r="G89" s="244" t="s">
        <v>669</v>
      </c>
      <c r="H89" s="448"/>
      <c r="I89" s="449">
        <v>16000</v>
      </c>
      <c r="J89" s="448">
        <v>0</v>
      </c>
      <c r="K89" s="450">
        <v>0</v>
      </c>
      <c r="L89" s="242">
        <f t="shared" si="38"/>
        <v>16000</v>
      </c>
      <c r="M89" s="459"/>
      <c r="N89" s="461">
        <f t="shared" si="39"/>
        <v>0</v>
      </c>
      <c r="O89" s="261">
        <f t="shared" si="40"/>
        <v>0</v>
      </c>
      <c r="P89" s="451"/>
      <c r="Q89" s="626">
        <f t="shared" si="41"/>
        <v>0</v>
      </c>
      <c r="R89" s="635"/>
      <c r="S89" s="636"/>
      <c r="T89" s="635"/>
      <c r="U89" s="618">
        <f t="shared" si="42"/>
        <v>0</v>
      </c>
      <c r="V89" s="459">
        <v>0</v>
      </c>
      <c r="W89" s="443">
        <f t="shared" si="50"/>
        <v>16000</v>
      </c>
      <c r="X89" s="444">
        <f t="shared" si="43"/>
        <v>16000</v>
      </c>
      <c r="Y89" s="886">
        <v>0</v>
      </c>
      <c r="Z89" s="392">
        <f t="shared" si="51"/>
        <v>16000</v>
      </c>
      <c r="AA89" s="392">
        <v>0</v>
      </c>
      <c r="AB89" s="877">
        <f t="shared" si="52"/>
        <v>16000</v>
      </c>
      <c r="AC89" s="391">
        <f t="shared" si="46"/>
        <v>16000</v>
      </c>
      <c r="AD89" s="396">
        <f t="shared" si="47"/>
        <v>0</v>
      </c>
      <c r="AE89" s="451">
        <v>0</v>
      </c>
      <c r="AF89" s="452">
        <v>15975.37</v>
      </c>
      <c r="AG89" s="466"/>
      <c r="AH89" s="242">
        <f t="shared" si="48"/>
        <v>15975.37</v>
      </c>
      <c r="AI89" s="399">
        <f t="shared" si="49"/>
        <v>0.9984606250000001</v>
      </c>
      <c r="AK89" s="224">
        <v>85</v>
      </c>
    </row>
    <row r="90" spans="1:38" s="402" customFormat="1" ht="14.1" customHeight="1" x14ac:dyDescent="0.2">
      <c r="A90" s="400"/>
      <c r="B90" s="445" t="s">
        <v>619</v>
      </c>
      <c r="C90" s="446" t="s">
        <v>194</v>
      </c>
      <c r="D90" s="244" t="s">
        <v>631</v>
      </c>
      <c r="E90" s="447" t="str">
        <f t="shared" si="37"/>
        <v>psychology</v>
      </c>
      <c r="F90" s="244" t="s">
        <v>670</v>
      </c>
      <c r="G90" s="244" t="s">
        <v>671</v>
      </c>
      <c r="H90" s="448"/>
      <c r="I90" s="449">
        <v>53584.480000000003</v>
      </c>
      <c r="J90" s="448">
        <v>0</v>
      </c>
      <c r="K90" s="450">
        <v>0</v>
      </c>
      <c r="L90" s="242">
        <f t="shared" si="38"/>
        <v>53584.480000000003</v>
      </c>
      <c r="M90" s="459"/>
      <c r="N90" s="461">
        <f t="shared" si="39"/>
        <v>0</v>
      </c>
      <c r="O90" s="261">
        <f t="shared" si="40"/>
        <v>0</v>
      </c>
      <c r="P90" s="451"/>
      <c r="Q90" s="626">
        <f t="shared" si="41"/>
        <v>0</v>
      </c>
      <c r="R90" s="635"/>
      <c r="S90" s="636"/>
      <c r="T90" s="635"/>
      <c r="U90" s="618">
        <f t="shared" si="42"/>
        <v>0</v>
      </c>
      <c r="V90" s="459">
        <v>0</v>
      </c>
      <c r="W90" s="443">
        <f t="shared" si="50"/>
        <v>53584.480000000003</v>
      </c>
      <c r="X90" s="444">
        <f t="shared" si="43"/>
        <v>53584.480000000003</v>
      </c>
      <c r="Y90" s="886">
        <v>0</v>
      </c>
      <c r="Z90" s="392">
        <f t="shared" si="51"/>
        <v>53584.480000000003</v>
      </c>
      <c r="AA90" s="392">
        <v>0</v>
      </c>
      <c r="AB90" s="877">
        <f t="shared" si="52"/>
        <v>53584.480000000003</v>
      </c>
      <c r="AC90" s="391">
        <f t="shared" si="46"/>
        <v>53584.480000000003</v>
      </c>
      <c r="AD90" s="396">
        <f t="shared" si="47"/>
        <v>0</v>
      </c>
      <c r="AE90" s="451">
        <v>0</v>
      </c>
      <c r="AF90" s="452">
        <v>5835.44</v>
      </c>
      <c r="AG90" s="466">
        <v>45540.95</v>
      </c>
      <c r="AH90" s="242">
        <f t="shared" si="48"/>
        <v>51376.39</v>
      </c>
      <c r="AI90" s="399">
        <f t="shared" si="49"/>
        <v>0.95879235928014972</v>
      </c>
      <c r="AK90" s="224">
        <v>86</v>
      </c>
    </row>
    <row r="91" spans="1:38" s="402" customFormat="1" ht="14.1" customHeight="1" x14ac:dyDescent="0.2">
      <c r="A91" s="400"/>
      <c r="B91" s="445" t="s">
        <v>619</v>
      </c>
      <c r="C91" s="446" t="s">
        <v>194</v>
      </c>
      <c r="D91" s="244" t="s">
        <v>336</v>
      </c>
      <c r="E91" s="447" t="str">
        <f t="shared" si="37"/>
        <v>Center for Learning And Student Success</v>
      </c>
      <c r="F91" s="244" t="s">
        <v>672</v>
      </c>
      <c r="G91" s="244" t="s">
        <v>673</v>
      </c>
      <c r="H91" s="448"/>
      <c r="I91" s="449">
        <v>70195</v>
      </c>
      <c r="J91" s="448">
        <v>1980</v>
      </c>
      <c r="K91" s="450">
        <v>1980</v>
      </c>
      <c r="L91" s="242">
        <f t="shared" si="38"/>
        <v>74155</v>
      </c>
      <c r="M91" s="459"/>
      <c r="N91" s="461">
        <f t="shared" si="39"/>
        <v>0</v>
      </c>
      <c r="O91" s="261">
        <f t="shared" si="40"/>
        <v>0</v>
      </c>
      <c r="P91" s="451"/>
      <c r="Q91" s="626">
        <f t="shared" si="41"/>
        <v>0</v>
      </c>
      <c r="R91" s="635"/>
      <c r="S91" s="636"/>
      <c r="T91" s="635"/>
      <c r="U91" s="618">
        <f t="shared" si="42"/>
        <v>0</v>
      </c>
      <c r="V91" s="459">
        <v>0</v>
      </c>
      <c r="W91" s="443">
        <f t="shared" si="50"/>
        <v>70195</v>
      </c>
      <c r="X91" s="444">
        <f t="shared" si="43"/>
        <v>70195</v>
      </c>
      <c r="Y91" s="886">
        <v>3264.88</v>
      </c>
      <c r="Z91" s="392">
        <f t="shared" si="51"/>
        <v>66930.12</v>
      </c>
      <c r="AA91" s="392">
        <v>1980</v>
      </c>
      <c r="AB91" s="877">
        <f t="shared" si="52"/>
        <v>68910.12</v>
      </c>
      <c r="AC91" s="391">
        <f t="shared" si="46"/>
        <v>72175</v>
      </c>
      <c r="AD91" s="396">
        <f t="shared" si="47"/>
        <v>0</v>
      </c>
      <c r="AE91" s="451">
        <v>3264.88</v>
      </c>
      <c r="AF91" s="452">
        <v>34672.43</v>
      </c>
      <c r="AG91" s="466">
        <v>4511.72</v>
      </c>
      <c r="AH91" s="242">
        <f t="shared" si="48"/>
        <v>42449.03</v>
      </c>
      <c r="AI91" s="399">
        <f t="shared" si="49"/>
        <v>0.58814035330793213</v>
      </c>
      <c r="AJ91" s="224"/>
      <c r="AK91" s="224">
        <v>87</v>
      </c>
      <c r="AL91" s="224"/>
    </row>
    <row r="92" spans="1:38" s="402" customFormat="1" ht="14.1" customHeight="1" x14ac:dyDescent="0.2">
      <c r="A92" s="400"/>
      <c r="B92" s="445" t="s">
        <v>619</v>
      </c>
      <c r="C92" s="446" t="s">
        <v>194</v>
      </c>
      <c r="D92" s="244" t="s">
        <v>196</v>
      </c>
      <c r="E92" s="447" t="str">
        <f t="shared" si="37"/>
        <v>SURP</v>
      </c>
      <c r="F92" s="244" t="s">
        <v>674</v>
      </c>
      <c r="G92" s="244" t="s">
        <v>675</v>
      </c>
      <c r="H92" s="448"/>
      <c r="I92" s="453">
        <v>2225</v>
      </c>
      <c r="J92" s="448">
        <v>0</v>
      </c>
      <c r="K92" s="450">
        <v>0</v>
      </c>
      <c r="L92" s="242">
        <f t="shared" si="38"/>
        <v>2225</v>
      </c>
      <c r="M92" s="459"/>
      <c r="N92" s="461">
        <f t="shared" si="39"/>
        <v>0</v>
      </c>
      <c r="O92" s="261">
        <f t="shared" si="40"/>
        <v>0</v>
      </c>
      <c r="P92" s="451"/>
      <c r="Q92" s="626">
        <f t="shared" si="41"/>
        <v>0</v>
      </c>
      <c r="R92" s="635"/>
      <c r="S92" s="636"/>
      <c r="T92" s="635"/>
      <c r="U92" s="618">
        <f t="shared" si="42"/>
        <v>0</v>
      </c>
      <c r="V92" s="459">
        <v>0</v>
      </c>
      <c r="W92" s="443">
        <f t="shared" si="50"/>
        <v>2225</v>
      </c>
      <c r="X92" s="444">
        <f t="shared" si="43"/>
        <v>2225</v>
      </c>
      <c r="Y92" s="886">
        <v>140</v>
      </c>
      <c r="Z92" s="392">
        <f t="shared" si="51"/>
        <v>2085</v>
      </c>
      <c r="AA92" s="392">
        <v>0</v>
      </c>
      <c r="AB92" s="877">
        <f t="shared" si="52"/>
        <v>2085</v>
      </c>
      <c r="AC92" s="391">
        <f t="shared" si="46"/>
        <v>2225</v>
      </c>
      <c r="AD92" s="396">
        <f t="shared" si="47"/>
        <v>0</v>
      </c>
      <c r="AE92" s="451">
        <v>140</v>
      </c>
      <c r="AF92" s="452"/>
      <c r="AG92" s="466"/>
      <c r="AH92" s="242">
        <f t="shared" si="48"/>
        <v>140</v>
      </c>
      <c r="AI92" s="399">
        <f t="shared" si="49"/>
        <v>6.2921348314606745E-2</v>
      </c>
      <c r="AJ92" s="224"/>
      <c r="AK92" s="224">
        <v>88</v>
      </c>
      <c r="AL92" s="224"/>
    </row>
    <row r="93" spans="1:38" s="402" customFormat="1" ht="14.1" customHeight="1" x14ac:dyDescent="0.2">
      <c r="A93" s="400"/>
      <c r="B93" s="445" t="s">
        <v>619</v>
      </c>
      <c r="C93" s="446" t="s">
        <v>194</v>
      </c>
      <c r="D93" s="244" t="s">
        <v>196</v>
      </c>
      <c r="E93" s="447" t="str">
        <f t="shared" si="37"/>
        <v>SURP</v>
      </c>
      <c r="F93" s="244" t="s">
        <v>676</v>
      </c>
      <c r="G93" s="244" t="s">
        <v>677</v>
      </c>
      <c r="H93" s="448"/>
      <c r="I93" s="449">
        <v>41951</v>
      </c>
      <c r="J93" s="448">
        <v>0</v>
      </c>
      <c r="K93" s="450">
        <v>0</v>
      </c>
      <c r="L93" s="242">
        <f t="shared" si="38"/>
        <v>41951</v>
      </c>
      <c r="M93" s="459"/>
      <c r="N93" s="461">
        <f t="shared" si="39"/>
        <v>0</v>
      </c>
      <c r="O93" s="261">
        <f t="shared" si="40"/>
        <v>0</v>
      </c>
      <c r="P93" s="451"/>
      <c r="Q93" s="626">
        <f t="shared" si="41"/>
        <v>0</v>
      </c>
      <c r="R93" s="635"/>
      <c r="S93" s="636"/>
      <c r="T93" s="635"/>
      <c r="U93" s="618">
        <f t="shared" si="42"/>
        <v>0</v>
      </c>
      <c r="V93" s="459">
        <v>0</v>
      </c>
      <c r="W93" s="443">
        <f t="shared" si="50"/>
        <v>41951</v>
      </c>
      <c r="X93" s="444">
        <f t="shared" si="43"/>
        <v>41951</v>
      </c>
      <c r="Y93" s="886">
        <v>39151</v>
      </c>
      <c r="Z93" s="392">
        <f t="shared" si="51"/>
        <v>2800</v>
      </c>
      <c r="AA93" s="392">
        <v>0</v>
      </c>
      <c r="AB93" s="877">
        <f t="shared" si="52"/>
        <v>2800</v>
      </c>
      <c r="AC93" s="391">
        <f t="shared" si="46"/>
        <v>41951</v>
      </c>
      <c r="AD93" s="396">
        <f t="shared" si="47"/>
        <v>0</v>
      </c>
      <c r="AE93" s="451">
        <v>39151</v>
      </c>
      <c r="AF93" s="452">
        <v>910</v>
      </c>
      <c r="AG93" s="466"/>
      <c r="AH93" s="242">
        <f t="shared" si="48"/>
        <v>40061</v>
      </c>
      <c r="AI93" s="399">
        <f t="shared" si="49"/>
        <v>0.95494743867845822</v>
      </c>
      <c r="AJ93" s="224"/>
      <c r="AK93" s="224">
        <v>89</v>
      </c>
      <c r="AL93" s="224"/>
    </row>
    <row r="94" spans="1:38" s="402" customFormat="1" ht="14.1" customHeight="1" x14ac:dyDescent="0.2">
      <c r="A94" s="400"/>
      <c r="B94" s="445" t="s">
        <v>619</v>
      </c>
      <c r="C94" s="446" t="s">
        <v>194</v>
      </c>
      <c r="D94" s="244" t="s">
        <v>336</v>
      </c>
      <c r="E94" s="447" t="str">
        <f t="shared" si="37"/>
        <v>Center for Learning And Student Success</v>
      </c>
      <c r="F94" s="244" t="s">
        <v>678</v>
      </c>
      <c r="G94" s="244" t="s">
        <v>679</v>
      </c>
      <c r="H94" s="448"/>
      <c r="I94" s="449">
        <v>114400</v>
      </c>
      <c r="J94" s="448">
        <v>0</v>
      </c>
      <c r="K94" s="450">
        <v>0</v>
      </c>
      <c r="L94" s="242">
        <f t="shared" si="38"/>
        <v>114400</v>
      </c>
      <c r="M94" s="459"/>
      <c r="N94" s="461">
        <f t="shared" si="39"/>
        <v>0</v>
      </c>
      <c r="O94" s="261">
        <f t="shared" si="40"/>
        <v>0</v>
      </c>
      <c r="P94" s="451"/>
      <c r="Q94" s="626">
        <f t="shared" si="41"/>
        <v>0</v>
      </c>
      <c r="R94" s="635"/>
      <c r="S94" s="636"/>
      <c r="T94" s="635"/>
      <c r="U94" s="618">
        <f t="shared" si="42"/>
        <v>0</v>
      </c>
      <c r="V94" s="459">
        <v>0</v>
      </c>
      <c r="W94" s="443">
        <f t="shared" si="50"/>
        <v>114400</v>
      </c>
      <c r="X94" s="444">
        <f t="shared" si="43"/>
        <v>114400</v>
      </c>
      <c r="Y94" s="886">
        <v>25913.29</v>
      </c>
      <c r="Z94" s="392">
        <f t="shared" si="51"/>
        <v>88486.709999999992</v>
      </c>
      <c r="AA94" s="392">
        <v>0</v>
      </c>
      <c r="AB94" s="877">
        <f t="shared" si="52"/>
        <v>88486.709999999992</v>
      </c>
      <c r="AC94" s="391">
        <f t="shared" si="46"/>
        <v>114400</v>
      </c>
      <c r="AD94" s="396">
        <f t="shared" si="47"/>
        <v>0</v>
      </c>
      <c r="AE94" s="451">
        <v>25913.29</v>
      </c>
      <c r="AF94" s="452">
        <v>67938.66</v>
      </c>
      <c r="AG94" s="466"/>
      <c r="AH94" s="242">
        <f t="shared" si="48"/>
        <v>93851.950000000012</v>
      </c>
      <c r="AI94" s="399">
        <f t="shared" si="49"/>
        <v>0.82038417832167843</v>
      </c>
      <c r="AJ94" s="224"/>
      <c r="AK94" s="224">
        <v>90</v>
      </c>
      <c r="AL94" s="224"/>
    </row>
    <row r="95" spans="1:38" s="402" customFormat="1" ht="14.1" customHeight="1" x14ac:dyDescent="0.2">
      <c r="A95" s="400"/>
      <c r="B95" s="445" t="s">
        <v>619</v>
      </c>
      <c r="C95" s="446" t="s">
        <v>194</v>
      </c>
      <c r="D95" s="244" t="s">
        <v>681</v>
      </c>
      <c r="E95" s="447" t="str">
        <f t="shared" si="37"/>
        <v>Center for Learning And Student Success</v>
      </c>
      <c r="F95" s="244" t="s">
        <v>680</v>
      </c>
      <c r="G95" s="244" t="s">
        <v>682</v>
      </c>
      <c r="H95" s="448"/>
      <c r="I95" s="449">
        <v>9810</v>
      </c>
      <c r="J95" s="448">
        <v>0</v>
      </c>
      <c r="K95" s="450">
        <v>0</v>
      </c>
      <c r="L95" s="394">
        <f t="shared" si="38"/>
        <v>9810</v>
      </c>
      <c r="M95" s="459"/>
      <c r="N95" s="461">
        <f t="shared" si="39"/>
        <v>0</v>
      </c>
      <c r="O95" s="261">
        <f t="shared" si="40"/>
        <v>0</v>
      </c>
      <c r="P95" s="451"/>
      <c r="Q95" s="626">
        <f t="shared" si="41"/>
        <v>0</v>
      </c>
      <c r="R95" s="635"/>
      <c r="S95" s="636"/>
      <c r="T95" s="635"/>
      <c r="U95" s="618">
        <f t="shared" si="42"/>
        <v>0</v>
      </c>
      <c r="V95" s="459">
        <v>0</v>
      </c>
      <c r="W95" s="443">
        <f t="shared" si="50"/>
        <v>9810</v>
      </c>
      <c r="X95" s="444">
        <f t="shared" si="43"/>
        <v>9810</v>
      </c>
      <c r="Y95" s="886">
        <v>0</v>
      </c>
      <c r="Z95" s="789">
        <f t="shared" si="51"/>
        <v>9810</v>
      </c>
      <c r="AA95" s="392">
        <v>0</v>
      </c>
      <c r="AB95" s="877">
        <f t="shared" si="52"/>
        <v>9810</v>
      </c>
      <c r="AC95" s="391">
        <f t="shared" si="46"/>
        <v>9810</v>
      </c>
      <c r="AD95" s="396">
        <f t="shared" si="47"/>
        <v>0</v>
      </c>
      <c r="AE95" s="451">
        <v>0</v>
      </c>
      <c r="AF95" s="452"/>
      <c r="AG95" s="466"/>
      <c r="AH95" s="242">
        <f t="shared" si="48"/>
        <v>0</v>
      </c>
      <c r="AI95" s="399">
        <f t="shared" si="49"/>
        <v>0</v>
      </c>
      <c r="AJ95" s="224"/>
      <c r="AK95" s="224">
        <v>91</v>
      </c>
      <c r="AL95" s="224"/>
    </row>
    <row r="96" spans="1:38" s="402" customFormat="1" ht="14.1" customHeight="1" x14ac:dyDescent="0.2">
      <c r="A96" s="400"/>
      <c r="B96" s="445" t="s">
        <v>619</v>
      </c>
      <c r="C96" s="446" t="s">
        <v>194</v>
      </c>
      <c r="D96" s="244" t="s">
        <v>631</v>
      </c>
      <c r="E96" s="447" t="str">
        <f t="shared" si="37"/>
        <v>psychology</v>
      </c>
      <c r="F96" s="244" t="s">
        <v>683</v>
      </c>
      <c r="G96" s="244" t="s">
        <v>684</v>
      </c>
      <c r="H96" s="448"/>
      <c r="I96" s="449">
        <v>12000</v>
      </c>
      <c r="J96" s="448">
        <v>0</v>
      </c>
      <c r="K96" s="450">
        <v>0</v>
      </c>
      <c r="L96" s="394">
        <f t="shared" si="38"/>
        <v>12000</v>
      </c>
      <c r="M96" s="459"/>
      <c r="N96" s="461">
        <f t="shared" si="39"/>
        <v>0</v>
      </c>
      <c r="O96" s="261">
        <f t="shared" si="40"/>
        <v>0</v>
      </c>
      <c r="P96" s="451"/>
      <c r="Q96" s="626">
        <f t="shared" si="41"/>
        <v>0</v>
      </c>
      <c r="R96" s="635"/>
      <c r="S96" s="636"/>
      <c r="T96" s="635"/>
      <c r="U96" s="618">
        <f t="shared" si="42"/>
        <v>0</v>
      </c>
      <c r="V96" s="459">
        <v>0</v>
      </c>
      <c r="W96" s="443">
        <f t="shared" si="50"/>
        <v>12000</v>
      </c>
      <c r="X96" s="444">
        <f t="shared" si="43"/>
        <v>12000</v>
      </c>
      <c r="Y96" s="886">
        <v>0</v>
      </c>
      <c r="Z96" s="392">
        <f t="shared" si="51"/>
        <v>12000</v>
      </c>
      <c r="AA96" s="392">
        <v>0</v>
      </c>
      <c r="AB96" s="877">
        <f t="shared" si="52"/>
        <v>12000</v>
      </c>
      <c r="AC96" s="391">
        <f t="shared" si="46"/>
        <v>12000</v>
      </c>
      <c r="AD96" s="396">
        <f t="shared" si="47"/>
        <v>0</v>
      </c>
      <c r="AE96" s="451">
        <v>0</v>
      </c>
      <c r="AF96" s="452">
        <v>1237.97</v>
      </c>
      <c r="AG96" s="466"/>
      <c r="AH96" s="242">
        <f t="shared" si="48"/>
        <v>1237.97</v>
      </c>
      <c r="AI96" s="399">
        <f t="shared" si="49"/>
        <v>0.10316416666666667</v>
      </c>
      <c r="AK96" s="224">
        <v>92</v>
      </c>
    </row>
    <row r="97" spans="1:38" s="402" customFormat="1" ht="14.1" customHeight="1" x14ac:dyDescent="0.2">
      <c r="A97" s="400"/>
      <c r="B97" s="445" t="s">
        <v>619</v>
      </c>
      <c r="C97" s="446" t="s">
        <v>194</v>
      </c>
      <c r="D97" s="244" t="s">
        <v>196</v>
      </c>
      <c r="E97" s="447" t="str">
        <f t="shared" si="37"/>
        <v>SURP</v>
      </c>
      <c r="F97" s="244" t="s">
        <v>685</v>
      </c>
      <c r="G97" s="244" t="s">
        <v>686</v>
      </c>
      <c r="H97" s="448"/>
      <c r="I97" s="449">
        <v>2925</v>
      </c>
      <c r="J97" s="452">
        <v>0</v>
      </c>
      <c r="K97" s="815">
        <v>0</v>
      </c>
      <c r="L97" s="394">
        <f t="shared" si="38"/>
        <v>2925</v>
      </c>
      <c r="M97" s="459"/>
      <c r="N97" s="461">
        <f t="shared" si="39"/>
        <v>0</v>
      </c>
      <c r="O97" s="261">
        <f t="shared" si="40"/>
        <v>0</v>
      </c>
      <c r="P97" s="451"/>
      <c r="Q97" s="626">
        <f t="shared" si="41"/>
        <v>0</v>
      </c>
      <c r="R97" s="635"/>
      <c r="S97" s="636"/>
      <c r="T97" s="635"/>
      <c r="U97" s="618">
        <f t="shared" si="42"/>
        <v>0</v>
      </c>
      <c r="V97" s="459">
        <v>0</v>
      </c>
      <c r="W97" s="443">
        <f t="shared" si="50"/>
        <v>2925</v>
      </c>
      <c r="X97" s="444">
        <f t="shared" si="43"/>
        <v>2925</v>
      </c>
      <c r="Y97" s="886">
        <v>2723.14</v>
      </c>
      <c r="Z97" s="392">
        <f t="shared" si="51"/>
        <v>201.86000000000013</v>
      </c>
      <c r="AA97" s="392">
        <v>0</v>
      </c>
      <c r="AB97" s="877">
        <f t="shared" si="52"/>
        <v>201.86000000000013</v>
      </c>
      <c r="AC97" s="391">
        <f t="shared" si="46"/>
        <v>2925</v>
      </c>
      <c r="AD97" s="396">
        <f t="shared" si="47"/>
        <v>0</v>
      </c>
      <c r="AE97" s="451">
        <v>2723</v>
      </c>
      <c r="AF97" s="452"/>
      <c r="AG97" s="466"/>
      <c r="AH97" s="242">
        <f t="shared" si="48"/>
        <v>2723</v>
      </c>
      <c r="AI97" s="399">
        <f t="shared" si="49"/>
        <v>0.9309401709401709</v>
      </c>
      <c r="AJ97" s="787"/>
      <c r="AK97" s="224">
        <v>93</v>
      </c>
      <c r="AL97" s="224"/>
    </row>
    <row r="98" spans="1:38" s="402" customFormat="1" ht="14.1" customHeight="1" x14ac:dyDescent="0.2">
      <c r="A98" s="400"/>
      <c r="B98" s="445" t="s">
        <v>619</v>
      </c>
      <c r="C98" s="446" t="s">
        <v>194</v>
      </c>
      <c r="D98" s="244" t="s">
        <v>323</v>
      </c>
      <c r="E98" s="447" t="str">
        <f t="shared" si="37"/>
        <v>SURP</v>
      </c>
      <c r="F98" s="244" t="s">
        <v>687</v>
      </c>
      <c r="G98" s="244" t="s">
        <v>688</v>
      </c>
      <c r="H98" s="452"/>
      <c r="I98" s="814">
        <v>5715.61</v>
      </c>
      <c r="J98" s="452">
        <v>0</v>
      </c>
      <c r="K98" s="815">
        <v>0</v>
      </c>
      <c r="L98" s="394">
        <f t="shared" si="38"/>
        <v>5715.61</v>
      </c>
      <c r="M98" s="459"/>
      <c r="N98" s="461">
        <f t="shared" si="39"/>
        <v>0</v>
      </c>
      <c r="O98" s="261">
        <f t="shared" si="40"/>
        <v>0</v>
      </c>
      <c r="P98" s="451"/>
      <c r="Q98" s="626">
        <f t="shared" si="41"/>
        <v>0</v>
      </c>
      <c r="R98" s="635"/>
      <c r="S98" s="636"/>
      <c r="T98" s="635"/>
      <c r="U98" s="618">
        <f t="shared" si="42"/>
        <v>0</v>
      </c>
      <c r="V98" s="459">
        <v>0</v>
      </c>
      <c r="W98" s="451">
        <f t="shared" si="50"/>
        <v>5715.61</v>
      </c>
      <c r="X98" s="452">
        <f t="shared" si="43"/>
        <v>5715.61</v>
      </c>
      <c r="Y98" s="886">
        <v>4859.12</v>
      </c>
      <c r="Z98" s="392">
        <f t="shared" si="51"/>
        <v>856.48999999999978</v>
      </c>
      <c r="AA98" s="392">
        <v>0</v>
      </c>
      <c r="AB98" s="877">
        <f t="shared" si="52"/>
        <v>856.48999999999978</v>
      </c>
      <c r="AC98" s="391">
        <f t="shared" si="46"/>
        <v>5715.61</v>
      </c>
      <c r="AD98" s="396">
        <f t="shared" si="47"/>
        <v>0</v>
      </c>
      <c r="AE98" s="451">
        <v>4859</v>
      </c>
      <c r="AF98" s="452"/>
      <c r="AG98" s="466">
        <v>111</v>
      </c>
      <c r="AH98" s="242">
        <f t="shared" si="48"/>
        <v>4970</v>
      </c>
      <c r="AI98" s="399">
        <f t="shared" si="49"/>
        <v>0.86954848213926428</v>
      </c>
      <c r="AK98" s="224">
        <v>94</v>
      </c>
    </row>
    <row r="99" spans="1:38" s="402" customFormat="1" ht="14.1" customHeight="1" x14ac:dyDescent="0.2">
      <c r="A99" s="400"/>
      <c r="B99" s="445" t="s">
        <v>619</v>
      </c>
      <c r="C99" s="446" t="s">
        <v>690</v>
      </c>
      <c r="D99" s="244" t="s">
        <v>72</v>
      </c>
      <c r="E99" s="447" t="str">
        <f t="shared" si="37"/>
        <v>Center for Learning And Student Success</v>
      </c>
      <c r="F99" s="244" t="s">
        <v>689</v>
      </c>
      <c r="G99" s="244" t="s">
        <v>691</v>
      </c>
      <c r="H99" s="452"/>
      <c r="I99" s="610">
        <v>0</v>
      </c>
      <c r="J99" s="452">
        <v>0</v>
      </c>
      <c r="K99" s="612">
        <v>0</v>
      </c>
      <c r="L99" s="394">
        <f t="shared" si="38"/>
        <v>0</v>
      </c>
      <c r="M99" s="459"/>
      <c r="N99" s="461">
        <f t="shared" si="39"/>
        <v>0</v>
      </c>
      <c r="O99" s="261">
        <f t="shared" si="40"/>
        <v>0</v>
      </c>
      <c r="P99" s="451"/>
      <c r="Q99" s="626">
        <f t="shared" si="41"/>
        <v>0</v>
      </c>
      <c r="R99" s="635"/>
      <c r="S99" s="636"/>
      <c r="T99" s="635"/>
      <c r="U99" s="618">
        <f t="shared" si="42"/>
        <v>0</v>
      </c>
      <c r="V99" s="459">
        <v>0</v>
      </c>
      <c r="W99" s="451">
        <f t="shared" si="50"/>
        <v>0</v>
      </c>
      <c r="X99" s="444">
        <f t="shared" si="43"/>
        <v>0</v>
      </c>
      <c r="Y99" s="886">
        <v>0</v>
      </c>
      <c r="Z99" s="392">
        <f t="shared" si="51"/>
        <v>0</v>
      </c>
      <c r="AA99" s="392">
        <v>0</v>
      </c>
      <c r="AB99" s="877">
        <f t="shared" si="52"/>
        <v>0</v>
      </c>
      <c r="AC99" s="391">
        <f t="shared" si="46"/>
        <v>0</v>
      </c>
      <c r="AD99" s="396">
        <f t="shared" si="47"/>
        <v>0</v>
      </c>
      <c r="AE99" s="451">
        <v>0</v>
      </c>
      <c r="AF99" s="452"/>
      <c r="AG99" s="466"/>
      <c r="AH99" s="242">
        <f t="shared" si="48"/>
        <v>0</v>
      </c>
      <c r="AI99" s="399">
        <v>0</v>
      </c>
      <c r="AK99" s="224">
        <v>95</v>
      </c>
    </row>
    <row r="100" spans="1:38" s="402" customFormat="1" ht="14.1" customHeight="1" x14ac:dyDescent="0.2">
      <c r="A100" s="400"/>
      <c r="B100" s="445" t="s">
        <v>619</v>
      </c>
      <c r="C100" s="446" t="s">
        <v>194</v>
      </c>
      <c r="D100" s="244" t="s">
        <v>72</v>
      </c>
      <c r="E100" s="447" t="str">
        <f t="shared" si="37"/>
        <v>Center for Learning And Student Success</v>
      </c>
      <c r="F100" s="244" t="s">
        <v>692</v>
      </c>
      <c r="G100" s="244" t="s">
        <v>693</v>
      </c>
      <c r="H100" s="452"/>
      <c r="I100" s="814">
        <v>14878</v>
      </c>
      <c r="J100" s="452">
        <v>0</v>
      </c>
      <c r="K100" s="815">
        <v>0</v>
      </c>
      <c r="L100" s="394">
        <f t="shared" si="38"/>
        <v>14878</v>
      </c>
      <c r="M100" s="459"/>
      <c r="N100" s="461">
        <f t="shared" si="39"/>
        <v>0</v>
      </c>
      <c r="O100" s="261">
        <f t="shared" si="40"/>
        <v>0</v>
      </c>
      <c r="P100" s="451"/>
      <c r="Q100" s="626">
        <f t="shared" si="41"/>
        <v>0</v>
      </c>
      <c r="R100" s="635"/>
      <c r="S100" s="636"/>
      <c r="T100" s="635"/>
      <c r="U100" s="618">
        <f t="shared" si="42"/>
        <v>0</v>
      </c>
      <c r="V100" s="459">
        <v>0</v>
      </c>
      <c r="W100" s="443">
        <f t="shared" si="50"/>
        <v>14878</v>
      </c>
      <c r="X100" s="444">
        <f t="shared" si="43"/>
        <v>14878</v>
      </c>
      <c r="Y100" s="886">
        <v>4537.3900000000003</v>
      </c>
      <c r="Z100" s="392">
        <f t="shared" si="51"/>
        <v>10340.61</v>
      </c>
      <c r="AA100" s="392">
        <v>0</v>
      </c>
      <c r="AB100" s="877">
        <f t="shared" si="52"/>
        <v>10340.61</v>
      </c>
      <c r="AC100" s="391">
        <f t="shared" si="46"/>
        <v>14878</v>
      </c>
      <c r="AD100" s="396">
        <f t="shared" si="47"/>
        <v>0</v>
      </c>
      <c r="AE100" s="451">
        <v>4537.3900000000003</v>
      </c>
      <c r="AF100" s="452">
        <v>8153.95</v>
      </c>
      <c r="AG100" s="466">
        <v>389.85</v>
      </c>
      <c r="AH100" s="242">
        <f t="shared" si="48"/>
        <v>13081.19</v>
      </c>
      <c r="AI100" s="399">
        <f>+AH100/AC100</f>
        <v>0.87923040731281088</v>
      </c>
      <c r="AK100" s="224">
        <v>96</v>
      </c>
    </row>
    <row r="101" spans="1:38" s="402" customFormat="1" ht="14.1" customHeight="1" x14ac:dyDescent="0.2">
      <c r="A101" s="400"/>
      <c r="B101" s="587" t="s">
        <v>619</v>
      </c>
      <c r="C101" s="588" t="s">
        <v>194</v>
      </c>
      <c r="D101" s="589" t="s">
        <v>72</v>
      </c>
      <c r="E101" s="590" t="str">
        <f t="shared" si="37"/>
        <v>Center for Learning And Student Success</v>
      </c>
      <c r="F101" s="589" t="s">
        <v>694</v>
      </c>
      <c r="G101" s="589" t="s">
        <v>695</v>
      </c>
      <c r="H101" s="593"/>
      <c r="I101" s="611">
        <v>4892.58</v>
      </c>
      <c r="J101" s="593">
        <v>0</v>
      </c>
      <c r="K101" s="613">
        <v>0</v>
      </c>
      <c r="L101" s="394">
        <f t="shared" si="38"/>
        <v>4892.58</v>
      </c>
      <c r="M101" s="770"/>
      <c r="N101" s="461">
        <f t="shared" si="39"/>
        <v>0</v>
      </c>
      <c r="O101" s="261">
        <f t="shared" si="40"/>
        <v>0</v>
      </c>
      <c r="P101" s="592"/>
      <c r="Q101" s="626">
        <f t="shared" si="41"/>
        <v>0</v>
      </c>
      <c r="R101" s="637"/>
      <c r="S101" s="638"/>
      <c r="T101" s="637"/>
      <c r="U101" s="618">
        <f t="shared" si="42"/>
        <v>0</v>
      </c>
      <c r="V101" s="593">
        <v>0</v>
      </c>
      <c r="W101" s="592">
        <f t="shared" si="50"/>
        <v>4892.58</v>
      </c>
      <c r="X101" s="593">
        <f t="shared" si="43"/>
        <v>4892.58</v>
      </c>
      <c r="Y101" s="890">
        <v>2899.96</v>
      </c>
      <c r="Z101" s="392">
        <f t="shared" si="51"/>
        <v>1992.62</v>
      </c>
      <c r="AA101" s="392">
        <v>0</v>
      </c>
      <c r="AB101" s="877">
        <f t="shared" si="52"/>
        <v>1992.62</v>
      </c>
      <c r="AC101" s="391">
        <f t="shared" si="46"/>
        <v>4892.58</v>
      </c>
      <c r="AD101" s="396">
        <f t="shared" si="47"/>
        <v>0</v>
      </c>
      <c r="AE101" s="592">
        <v>2899.96</v>
      </c>
      <c r="AF101" s="593">
        <v>437.43</v>
      </c>
      <c r="AG101" s="594"/>
      <c r="AH101" s="246">
        <f t="shared" si="48"/>
        <v>3337.39</v>
      </c>
      <c r="AI101" s="469">
        <f>+AH101/AC101</f>
        <v>0.68213294417260417</v>
      </c>
      <c r="AK101" s="224">
        <v>97</v>
      </c>
    </row>
    <row r="102" spans="1:38" s="402" customFormat="1" ht="14.1" customHeight="1" x14ac:dyDescent="0.2">
      <c r="A102" s="400"/>
      <c r="B102" s="609"/>
      <c r="C102" s="731"/>
      <c r="D102" s="732" t="s">
        <v>336</v>
      </c>
      <c r="E102" s="733"/>
      <c r="F102" s="732" t="s">
        <v>793</v>
      </c>
      <c r="G102" s="732" t="s">
        <v>792</v>
      </c>
      <c r="H102" s="401"/>
      <c r="I102" s="734">
        <v>157327</v>
      </c>
      <c r="J102" s="734"/>
      <c r="K102" s="735"/>
      <c r="L102" s="736">
        <f t="shared" si="38"/>
        <v>157327</v>
      </c>
      <c r="M102" s="771"/>
      <c r="N102" s="752">
        <f t="shared" si="39"/>
        <v>0</v>
      </c>
      <c r="O102" s="737">
        <f t="shared" si="40"/>
        <v>0</v>
      </c>
      <c r="P102" s="401"/>
      <c r="Q102" s="738">
        <f t="shared" si="41"/>
        <v>0</v>
      </c>
      <c r="R102" s="739"/>
      <c r="S102" s="740"/>
      <c r="T102" s="739"/>
      <c r="U102" s="741">
        <f t="shared" si="42"/>
        <v>0</v>
      </c>
      <c r="V102" s="620">
        <v>0</v>
      </c>
      <c r="W102" s="854">
        <f t="shared" si="50"/>
        <v>157327</v>
      </c>
      <c r="X102" s="620">
        <f t="shared" si="43"/>
        <v>157327</v>
      </c>
      <c r="Y102" s="891">
        <v>108937.09</v>
      </c>
      <c r="Z102" s="742">
        <f t="shared" si="51"/>
        <v>48389.91</v>
      </c>
      <c r="AA102" s="392">
        <v>0</v>
      </c>
      <c r="AB102" s="879">
        <f t="shared" si="52"/>
        <v>48389.91</v>
      </c>
      <c r="AC102" s="391">
        <f t="shared" si="46"/>
        <v>157327</v>
      </c>
      <c r="AD102" s="743">
        <f t="shared" si="47"/>
        <v>0</v>
      </c>
      <c r="AE102" s="744">
        <v>108937.09</v>
      </c>
      <c r="AF102" s="745">
        <v>6850.77</v>
      </c>
      <c r="AG102" s="746"/>
      <c r="AH102" s="747">
        <f t="shared" si="48"/>
        <v>115787.86</v>
      </c>
      <c r="AI102" s="748">
        <f>+AH102/AC102</f>
        <v>0.73596941402302207</v>
      </c>
      <c r="AK102" s="224">
        <v>98</v>
      </c>
      <c r="AL102" s="224"/>
    </row>
    <row r="103" spans="1:38" s="402" customFormat="1" ht="13.5" customHeight="1" x14ac:dyDescent="0.2">
      <c r="A103" s="400"/>
      <c r="B103" s="400"/>
      <c r="C103" s="791" t="s">
        <v>716</v>
      </c>
      <c r="D103" s="791"/>
      <c r="E103" s="800"/>
      <c r="F103" s="791"/>
      <c r="G103" s="791"/>
      <c r="H103" s="808">
        <f>SUM(H67:H101)</f>
        <v>0</v>
      </c>
      <c r="I103" s="812">
        <f t="shared" ref="I103:N103" si="53">SUM(I67:I102)</f>
        <v>1103968.31</v>
      </c>
      <c r="J103" s="812">
        <f t="shared" si="53"/>
        <v>156013.48000000001</v>
      </c>
      <c r="K103" s="812">
        <f t="shared" si="53"/>
        <v>83204.320000000007</v>
      </c>
      <c r="L103" s="812">
        <f t="shared" si="53"/>
        <v>1343186.11</v>
      </c>
      <c r="M103" s="821">
        <f t="shared" si="53"/>
        <v>0</v>
      </c>
      <c r="N103" s="826">
        <f t="shared" si="53"/>
        <v>0</v>
      </c>
      <c r="O103" s="808">
        <f t="shared" ref="O103:V103" si="54">SUM(O67:O101)</f>
        <v>0</v>
      </c>
      <c r="P103" s="808">
        <f t="shared" si="54"/>
        <v>0</v>
      </c>
      <c r="Q103" s="835">
        <f t="shared" si="54"/>
        <v>0</v>
      </c>
      <c r="R103" s="840">
        <f t="shared" si="54"/>
        <v>0</v>
      </c>
      <c r="S103" s="835">
        <f t="shared" si="54"/>
        <v>0</v>
      </c>
      <c r="T103" s="840">
        <f t="shared" si="54"/>
        <v>0</v>
      </c>
      <c r="U103" s="808">
        <f t="shared" si="54"/>
        <v>0</v>
      </c>
      <c r="V103" s="812">
        <f t="shared" si="54"/>
        <v>0</v>
      </c>
      <c r="W103" s="808">
        <f t="shared" ref="W103:AH103" si="55">SUM(W67:W102)</f>
        <v>1103968.31</v>
      </c>
      <c r="X103" s="812">
        <f t="shared" si="55"/>
        <v>1103968.31</v>
      </c>
      <c r="Y103" s="860">
        <f t="shared" si="55"/>
        <v>592728.48</v>
      </c>
      <c r="Z103" s="862">
        <f t="shared" si="55"/>
        <v>511239.18999999994</v>
      </c>
      <c r="AA103" s="862">
        <f t="shared" si="55"/>
        <v>156013.48000000001</v>
      </c>
      <c r="AB103" s="882">
        <f t="shared" si="55"/>
        <v>667252.66999999993</v>
      </c>
      <c r="AC103" s="868">
        <f t="shared" si="55"/>
        <v>1259981.7900000003</v>
      </c>
      <c r="AD103" s="812">
        <f t="shared" si="55"/>
        <v>0</v>
      </c>
      <c r="AE103" s="812">
        <f t="shared" si="55"/>
        <v>592728.87000000011</v>
      </c>
      <c r="AF103" s="862">
        <f t="shared" si="55"/>
        <v>240644.02000000002</v>
      </c>
      <c r="AG103" s="862">
        <f t="shared" si="55"/>
        <v>133241.97999999998</v>
      </c>
      <c r="AH103" s="812">
        <f t="shared" si="55"/>
        <v>966614.86999999988</v>
      </c>
      <c r="AI103" s="875">
        <f>+AH103/AC103</f>
        <v>0.76716574610177479</v>
      </c>
      <c r="AK103" s="224">
        <v>99</v>
      </c>
      <c r="AL103" s="596"/>
    </row>
    <row r="104" spans="1:38" s="596" customFormat="1" ht="14.1" customHeight="1" x14ac:dyDescent="0.2">
      <c r="A104" s="595"/>
      <c r="B104" s="595" t="s">
        <v>794</v>
      </c>
      <c r="C104" s="792"/>
      <c r="D104" s="794" t="s">
        <v>795</v>
      </c>
      <c r="E104" s="799"/>
      <c r="F104" s="794"/>
      <c r="G104" s="794" t="s">
        <v>179</v>
      </c>
      <c r="H104" s="807">
        <v>6800</v>
      </c>
      <c r="I104" s="811"/>
      <c r="J104" s="811"/>
      <c r="K104" s="811"/>
      <c r="L104" s="816">
        <f>SUM(H104:K104)</f>
        <v>6800</v>
      </c>
      <c r="M104" s="820">
        <v>6720</v>
      </c>
      <c r="N104" s="825">
        <f>+H104-M104</f>
        <v>80</v>
      </c>
      <c r="O104" s="830">
        <f>+N104</f>
        <v>80</v>
      </c>
      <c r="P104" s="807"/>
      <c r="Q104" s="834">
        <v>0</v>
      </c>
      <c r="R104" s="839"/>
      <c r="S104" s="844"/>
      <c r="T104" s="839"/>
      <c r="U104" s="618">
        <f>+T104+S104</f>
        <v>0</v>
      </c>
      <c r="V104" s="811"/>
      <c r="W104" s="852">
        <f>+I104</f>
        <v>0</v>
      </c>
      <c r="X104" s="857">
        <f>+W104+V104</f>
        <v>0</v>
      </c>
      <c r="Y104" s="892"/>
      <c r="Z104" s="396">
        <f>+X104-AE104</f>
        <v>0</v>
      </c>
      <c r="AA104" s="864">
        <v>0</v>
      </c>
      <c r="AB104" s="877">
        <f>+AA104+Z104</f>
        <v>0</v>
      </c>
      <c r="AC104" s="391">
        <f>+H104+I104+J104</f>
        <v>6800</v>
      </c>
      <c r="AD104" s="864">
        <f>+M104</f>
        <v>6720</v>
      </c>
      <c r="AE104" s="807"/>
      <c r="AF104" s="811"/>
      <c r="AG104" s="870">
        <v>0</v>
      </c>
      <c r="AH104" s="872">
        <f>SUM(AD104:AG104)</f>
        <v>6720</v>
      </c>
      <c r="AI104" s="874"/>
      <c r="AK104" s="224">
        <v>100</v>
      </c>
      <c r="AL104" s="402"/>
    </row>
    <row r="105" spans="1:38" s="596" customFormat="1" x14ac:dyDescent="0.2">
      <c r="A105" s="595"/>
      <c r="B105" s="595"/>
      <c r="C105" s="792"/>
      <c r="D105" s="603" t="s">
        <v>796</v>
      </c>
      <c r="E105" s="604"/>
      <c r="F105" s="603"/>
      <c r="G105" s="603" t="s">
        <v>178</v>
      </c>
      <c r="H105" s="605">
        <v>32</v>
      </c>
      <c r="I105" s="606"/>
      <c r="J105" s="606"/>
      <c r="K105" s="606"/>
      <c r="L105" s="394">
        <f>SUM(H105:K105)</f>
        <v>32</v>
      </c>
      <c r="M105" s="772">
        <v>32</v>
      </c>
      <c r="N105" s="461">
        <f>+H105-M105</f>
        <v>0</v>
      </c>
      <c r="O105" s="261">
        <f>+N105</f>
        <v>0</v>
      </c>
      <c r="P105" s="605"/>
      <c r="Q105" s="626">
        <f>+O105-P105</f>
        <v>0</v>
      </c>
      <c r="R105" s="639"/>
      <c r="S105" s="640"/>
      <c r="T105" s="639"/>
      <c r="U105" s="618">
        <f>+T105+S105</f>
        <v>0</v>
      </c>
      <c r="V105" s="606"/>
      <c r="W105" s="451">
        <f>+I105</f>
        <v>0</v>
      </c>
      <c r="X105" s="452">
        <f>+W105+V105</f>
        <v>0</v>
      </c>
      <c r="Y105" s="887"/>
      <c r="Z105" s="396">
        <f>+X105-AE105</f>
        <v>0</v>
      </c>
      <c r="AA105" s="396">
        <v>0</v>
      </c>
      <c r="AB105" s="877">
        <f>+AA105+Z105</f>
        <v>0</v>
      </c>
      <c r="AC105" s="391">
        <f>+H105+I105+J105</f>
        <v>32</v>
      </c>
      <c r="AD105" s="396">
        <f>+M105</f>
        <v>32</v>
      </c>
      <c r="AE105" s="605"/>
      <c r="AF105" s="606"/>
      <c r="AG105" s="466">
        <v>0</v>
      </c>
      <c r="AH105" s="242">
        <f>SUM(AD105:AG105)</f>
        <v>32</v>
      </c>
      <c r="AI105" s="607"/>
      <c r="AK105" s="224">
        <v>101</v>
      </c>
      <c r="AL105" s="402"/>
    </row>
    <row r="106" spans="1:38" s="596" customFormat="1" ht="14.1" customHeight="1" x14ac:dyDescent="0.2">
      <c r="A106" s="595"/>
      <c r="B106" s="595"/>
      <c r="C106" s="792"/>
      <c r="D106" s="795" t="s">
        <v>797</v>
      </c>
      <c r="E106" s="801"/>
      <c r="F106" s="795"/>
      <c r="G106" s="795" t="s">
        <v>798</v>
      </c>
      <c r="H106" s="809"/>
      <c r="I106" s="813"/>
      <c r="J106" s="813">
        <v>450000</v>
      </c>
      <c r="K106" s="813"/>
      <c r="L106" s="817">
        <f>SUM(H106:K106)</f>
        <v>450000</v>
      </c>
      <c r="M106" s="822"/>
      <c r="N106" s="827">
        <f>+H106-M106</f>
        <v>0</v>
      </c>
      <c r="O106" s="831">
        <f>+N106</f>
        <v>0</v>
      </c>
      <c r="P106" s="809"/>
      <c r="Q106" s="836">
        <f>+O106-P106</f>
        <v>0</v>
      </c>
      <c r="R106" s="841"/>
      <c r="S106" s="845"/>
      <c r="T106" s="841"/>
      <c r="U106" s="618">
        <f>+T106+S106</f>
        <v>0</v>
      </c>
      <c r="V106" s="813"/>
      <c r="W106" s="853">
        <f>+I106</f>
        <v>0</v>
      </c>
      <c r="X106" s="858">
        <f>+W106+V106</f>
        <v>0</v>
      </c>
      <c r="Y106" s="893"/>
      <c r="Z106" s="856">
        <f>+X106-AE106</f>
        <v>0</v>
      </c>
      <c r="AA106" s="865">
        <v>450000</v>
      </c>
      <c r="AB106" s="877">
        <f>+AA106+Z106</f>
        <v>450000</v>
      </c>
      <c r="AC106" s="391">
        <f>+H106+I106+J106</f>
        <v>450000</v>
      </c>
      <c r="AD106" s="865">
        <f>+M106</f>
        <v>0</v>
      </c>
      <c r="AE106" s="809"/>
      <c r="AF106" s="813"/>
      <c r="AG106" s="871">
        <v>0</v>
      </c>
      <c r="AH106" s="242">
        <f>SUM(AD106:AG106)</f>
        <v>0</v>
      </c>
      <c r="AI106" s="876"/>
      <c r="AK106" s="224">
        <v>102</v>
      </c>
      <c r="AL106" s="224"/>
    </row>
    <row r="107" spans="1:38" ht="14.1" customHeight="1" thickBot="1" x14ac:dyDescent="0.25">
      <c r="A107" s="597" t="s">
        <v>417</v>
      </c>
      <c r="B107" s="597"/>
      <c r="C107" s="598"/>
      <c r="D107" s="599"/>
      <c r="E107" s="599"/>
      <c r="F107" s="599"/>
      <c r="G107" s="599"/>
      <c r="H107" s="602">
        <f t="shared" ref="H107:AH107" si="56">+H66+H33+H103+H104+H105+H106</f>
        <v>1984829.41</v>
      </c>
      <c r="I107" s="602">
        <f t="shared" si="56"/>
        <v>2164176.6799999997</v>
      </c>
      <c r="J107" s="602">
        <f t="shared" si="56"/>
        <v>1334757.74</v>
      </c>
      <c r="K107" s="602">
        <f t="shared" si="56"/>
        <v>83204.320000000007</v>
      </c>
      <c r="L107" s="608">
        <f t="shared" si="56"/>
        <v>5566969.1500000004</v>
      </c>
      <c r="M107" s="773">
        <f t="shared" si="56"/>
        <v>836188.39</v>
      </c>
      <c r="N107" s="769">
        <f t="shared" si="56"/>
        <v>1148642.02</v>
      </c>
      <c r="O107" s="621">
        <f t="shared" si="56"/>
        <v>1148642.02</v>
      </c>
      <c r="P107" s="600">
        <f t="shared" si="56"/>
        <v>358712</v>
      </c>
      <c r="Q107" s="641">
        <f t="shared" si="56"/>
        <v>789850.02</v>
      </c>
      <c r="R107" s="642">
        <f t="shared" si="56"/>
        <v>587476.68999999994</v>
      </c>
      <c r="S107" s="641">
        <f t="shared" si="56"/>
        <v>946188.69</v>
      </c>
      <c r="T107" s="642">
        <f t="shared" si="56"/>
        <v>209173.33000000002</v>
      </c>
      <c r="U107" s="602">
        <f t="shared" si="56"/>
        <v>1155362.02</v>
      </c>
      <c r="V107" s="600">
        <f t="shared" si="56"/>
        <v>1053408.3699999999</v>
      </c>
      <c r="W107" s="602">
        <f t="shared" si="56"/>
        <v>1103968.31</v>
      </c>
      <c r="X107" s="602">
        <f t="shared" si="56"/>
        <v>3312739.9200000004</v>
      </c>
      <c r="Y107" s="895">
        <f t="shared" si="56"/>
        <v>2146454.84</v>
      </c>
      <c r="Z107" s="600">
        <f>+Z66+Z33+Z103+Z104+Z105+Z106-Z108</f>
        <v>1166174.05</v>
      </c>
      <c r="AA107" s="621">
        <f t="shared" si="56"/>
        <v>1334757.74</v>
      </c>
      <c r="AB107" s="902">
        <f t="shared" si="56"/>
        <v>2500932.34</v>
      </c>
      <c r="AC107" s="621">
        <f t="shared" si="56"/>
        <v>5483764.8300000001</v>
      </c>
      <c r="AD107" s="600">
        <f t="shared" si="56"/>
        <v>836188.39</v>
      </c>
      <c r="AE107" s="602">
        <f t="shared" si="56"/>
        <v>2146455.6399999997</v>
      </c>
      <c r="AF107" s="600">
        <f t="shared" si="56"/>
        <v>474201.28</v>
      </c>
      <c r="AG107" s="600">
        <f t="shared" si="56"/>
        <v>338384.58999999997</v>
      </c>
      <c r="AH107" s="600">
        <f t="shared" si="56"/>
        <v>3795229.9000000004</v>
      </c>
      <c r="AI107" s="602"/>
      <c r="AK107" s="224">
        <v>103</v>
      </c>
    </row>
    <row r="108" spans="1:38" ht="14.1" customHeight="1" x14ac:dyDescent="0.2">
      <c r="A108" s="473"/>
      <c r="B108" s="471"/>
      <c r="C108" s="470"/>
      <c r="D108" s="474"/>
      <c r="E108" s="474"/>
      <c r="F108" s="474"/>
      <c r="G108" s="474"/>
      <c r="H108" s="475"/>
      <c r="I108" s="475">
        <f>+I107+H107</f>
        <v>4149006.09</v>
      </c>
      <c r="J108" s="762">
        <f>+J107+I107+H107</f>
        <v>5483763.8300000001</v>
      </c>
      <c r="K108" s="475">
        <f>+K107+J108</f>
        <v>5566968.1500000004</v>
      </c>
      <c r="L108" s="472">
        <f>+Projection!C21+Projection!D21+Projection!E21+Projection!F21</f>
        <v>5566967.3600000003</v>
      </c>
      <c r="N108" s="500">
        <f>+H107-M107</f>
        <v>1148641.02</v>
      </c>
      <c r="Q108" s="643">
        <f>+Q107+P107</f>
        <v>1148562.02</v>
      </c>
      <c r="R108" s="644"/>
      <c r="S108" s="644">
        <f>+R107+P107</f>
        <v>946188.69</v>
      </c>
      <c r="T108" s="644"/>
      <c r="U108" s="298">
        <f>+H107-M107</f>
        <v>1148641.02</v>
      </c>
      <c r="V108" s="619">
        <f>+I66+I33</f>
        <v>1060208.3699999999</v>
      </c>
      <c r="W108" s="306">
        <f>+I103</f>
        <v>1103968.31</v>
      </c>
      <c r="X108" s="297">
        <f>+U107+V107+W107</f>
        <v>3312738.6999999997</v>
      </c>
      <c r="Y108" s="297" t="s">
        <v>835</v>
      </c>
      <c r="Z108" s="297">
        <v>113</v>
      </c>
      <c r="AA108" s="297"/>
      <c r="AB108" s="903">
        <f>AB107</f>
        <v>2500932.34</v>
      </c>
      <c r="AC108" s="763">
        <f>+J108</f>
        <v>5483763.8300000001</v>
      </c>
      <c r="AD108" s="297">
        <f>+M107</f>
        <v>836188.39</v>
      </c>
      <c r="AE108" s="253">
        <v>2146455.1</v>
      </c>
      <c r="AK108" s="224">
        <v>104</v>
      </c>
    </row>
    <row r="109" spans="1:38" ht="14.1" customHeight="1" x14ac:dyDescent="0.2">
      <c r="A109" s="473"/>
      <c r="B109" s="471"/>
      <c r="C109" s="470"/>
      <c r="D109" s="474"/>
      <c r="E109" s="474"/>
      <c r="F109" s="474"/>
      <c r="G109" s="474"/>
      <c r="H109" s="475"/>
      <c r="I109" s="475"/>
      <c r="J109" s="475">
        <f>+J107-J106</f>
        <v>884757.74</v>
      </c>
      <c r="K109" s="475"/>
      <c r="L109" s="472"/>
      <c r="R109" s="645"/>
      <c r="S109" s="645"/>
      <c r="T109" s="645"/>
      <c r="U109" s="297">
        <f>+U108-U107</f>
        <v>-6721</v>
      </c>
      <c r="V109" s="306">
        <f>+V108-V107</f>
        <v>6800</v>
      </c>
      <c r="W109" s="306" t="s">
        <v>477</v>
      </c>
      <c r="X109" s="297">
        <v>315969</v>
      </c>
      <c r="Y109" s="730" t="s">
        <v>477</v>
      </c>
      <c r="Z109" s="730">
        <f>+X109</f>
        <v>315969</v>
      </c>
      <c r="AA109" s="730"/>
      <c r="AB109" s="904">
        <v>1699067</v>
      </c>
      <c r="AC109" s="308">
        <f>+AC108-AC107</f>
        <v>-1</v>
      </c>
      <c r="AD109" s="297"/>
      <c r="AK109" s="224">
        <v>105</v>
      </c>
    </row>
    <row r="110" spans="1:38" ht="14.1" customHeight="1" x14ac:dyDescent="0.2">
      <c r="A110" s="473"/>
      <c r="B110" s="471"/>
      <c r="C110" s="470"/>
      <c r="D110" s="476"/>
      <c r="E110" s="476"/>
      <c r="F110" s="476"/>
      <c r="G110" s="474"/>
      <c r="H110" s="475"/>
      <c r="I110" s="475"/>
      <c r="J110" s="475"/>
      <c r="K110" s="475"/>
      <c r="L110" s="472"/>
      <c r="M110" s="253"/>
      <c r="O110" s="301" t="s">
        <v>725</v>
      </c>
      <c r="P110" s="302"/>
      <c r="Q110" s="646">
        <f>+H107</f>
        <v>1984829.41</v>
      </c>
      <c r="R110" s="647"/>
      <c r="S110" s="647"/>
      <c r="T110" s="647"/>
      <c r="W110" s="296" t="s">
        <v>62</v>
      </c>
      <c r="X110" s="297">
        <f>+X109+X108</f>
        <v>3628707.6999999997</v>
      </c>
      <c r="Y110" s="297"/>
      <c r="Z110" s="297">
        <f>3628712-2146455</f>
        <v>1482257</v>
      </c>
      <c r="AA110" s="297"/>
      <c r="AB110" s="903">
        <f>+AB109+AB108</f>
        <v>4199999.34</v>
      </c>
      <c r="AC110" s="297"/>
      <c r="AK110" s="224">
        <v>106</v>
      </c>
    </row>
    <row r="111" spans="1:38" ht="14.1" customHeight="1" x14ac:dyDescent="0.2">
      <c r="A111" s="473"/>
      <c r="B111" s="471"/>
      <c r="C111" s="470"/>
      <c r="D111" s="474"/>
      <c r="E111" s="474"/>
      <c r="F111" s="474"/>
      <c r="G111" s="474"/>
      <c r="H111" s="475"/>
      <c r="I111" s="475"/>
      <c r="J111" s="475"/>
      <c r="K111" s="475"/>
      <c r="L111" s="472"/>
      <c r="O111" s="303"/>
      <c r="P111" s="304" t="s">
        <v>480</v>
      </c>
      <c r="Q111" s="648">
        <f>-M107</f>
        <v>-836188.39</v>
      </c>
      <c r="S111" s="649" t="s">
        <v>485</v>
      </c>
      <c r="T111" s="650"/>
      <c r="U111" s="299"/>
      <c r="W111" s="296" t="s">
        <v>409</v>
      </c>
      <c r="X111" s="308">
        <v>3628712</v>
      </c>
      <c r="Y111" s="308"/>
      <c r="AC111" s="297"/>
      <c r="AK111" s="224">
        <v>107</v>
      </c>
    </row>
    <row r="112" spans="1:38" ht="14.1" customHeight="1" x14ac:dyDescent="0.2">
      <c r="A112" s="473"/>
      <c r="B112" s="471"/>
      <c r="C112" s="470"/>
      <c r="D112" s="474"/>
      <c r="E112" s="474"/>
      <c r="F112" s="474"/>
      <c r="G112" s="474"/>
      <c r="H112" s="475"/>
      <c r="I112" s="475"/>
      <c r="J112" s="475"/>
      <c r="K112" s="475"/>
      <c r="L112" s="472"/>
      <c r="O112" s="303"/>
      <c r="P112" s="304" t="s">
        <v>481</v>
      </c>
      <c r="Q112" s="651">
        <f>+Q111+Q110</f>
        <v>1148641.02</v>
      </c>
      <c r="S112" s="311" t="s">
        <v>484</v>
      </c>
      <c r="T112" s="652"/>
      <c r="U112" s="300">
        <v>3270000</v>
      </c>
      <c r="V112" s="297"/>
      <c r="W112" s="296" t="s">
        <v>820</v>
      </c>
      <c r="X112" s="308">
        <f>+X111-X110</f>
        <v>4.3000000002793968</v>
      </c>
      <c r="Y112" s="308"/>
      <c r="Z112" s="297"/>
      <c r="AC112" s="297"/>
      <c r="AK112" s="224">
        <v>108</v>
      </c>
    </row>
    <row r="113" spans="1:37" ht="14.1" customHeight="1" x14ac:dyDescent="0.2">
      <c r="A113" s="473"/>
      <c r="B113" s="471"/>
      <c r="C113" s="470"/>
      <c r="D113" s="474"/>
      <c r="E113" s="474"/>
      <c r="F113" s="474"/>
      <c r="G113" s="474"/>
      <c r="H113" s="475"/>
      <c r="I113" s="475"/>
      <c r="J113" s="475"/>
      <c r="K113" s="475"/>
      <c r="L113" s="472"/>
      <c r="O113" s="303"/>
      <c r="P113" s="304"/>
      <c r="Q113" s="653"/>
      <c r="S113" s="654"/>
      <c r="T113" s="655" t="s">
        <v>486</v>
      </c>
      <c r="U113" s="486">
        <v>41461</v>
      </c>
      <c r="V113" s="296" t="s">
        <v>791</v>
      </c>
      <c r="X113" s="297"/>
      <c r="Y113" s="297"/>
      <c r="Z113" s="297"/>
      <c r="AA113" s="297"/>
      <c r="AK113" s="224">
        <v>109</v>
      </c>
    </row>
    <row r="114" spans="1:37" ht="14.1" customHeight="1" x14ac:dyDescent="0.2">
      <c r="A114" s="473"/>
      <c r="B114" s="471"/>
      <c r="C114" s="470"/>
      <c r="D114" s="476"/>
      <c r="E114" s="476"/>
      <c r="F114" s="476"/>
      <c r="G114" s="474"/>
      <c r="H114" s="475"/>
      <c r="I114" s="475"/>
      <c r="J114" s="475"/>
      <c r="K114" s="475"/>
      <c r="L114" s="472"/>
      <c r="O114" s="305" t="s">
        <v>482</v>
      </c>
      <c r="P114" s="304"/>
      <c r="Q114" s="648">
        <f>+Q112</f>
        <v>1148641.02</v>
      </c>
      <c r="S114" s="654"/>
      <c r="T114" s="655" t="s">
        <v>487</v>
      </c>
      <c r="U114" s="486">
        <v>-628938</v>
      </c>
      <c r="AK114" s="224">
        <v>110</v>
      </c>
    </row>
    <row r="115" spans="1:37" ht="14.1" customHeight="1" x14ac:dyDescent="0.2">
      <c r="A115" s="473"/>
      <c r="B115" s="473"/>
      <c r="C115" s="477"/>
      <c r="D115" s="477"/>
      <c r="E115" s="477"/>
      <c r="F115" s="477"/>
      <c r="G115" s="400"/>
      <c r="H115" s="401"/>
      <c r="I115" s="401"/>
      <c r="J115" s="401"/>
      <c r="K115" s="401"/>
      <c r="L115" s="401"/>
      <c r="O115" s="303"/>
      <c r="P115" s="491" t="s">
        <v>483</v>
      </c>
      <c r="Q115" s="656">
        <f>+P107</f>
        <v>358712</v>
      </c>
      <c r="S115" s="654"/>
      <c r="T115" s="655" t="s">
        <v>488</v>
      </c>
      <c r="U115" s="486">
        <v>-6800</v>
      </c>
    </row>
    <row r="116" spans="1:37" ht="14.1" customHeight="1" x14ac:dyDescent="0.2">
      <c r="A116" s="473"/>
      <c r="B116" s="471"/>
      <c r="C116" s="470"/>
      <c r="D116" s="471"/>
      <c r="E116" s="471"/>
      <c r="F116" s="471"/>
      <c r="G116" s="471"/>
      <c r="H116" s="472"/>
      <c r="I116" s="472"/>
      <c r="J116" s="472"/>
      <c r="K116" s="472"/>
      <c r="L116" s="472"/>
      <c r="O116" s="303"/>
      <c r="P116" s="491" t="s">
        <v>722</v>
      </c>
      <c r="Q116" s="656">
        <f>+R107</f>
        <v>587476.68999999994</v>
      </c>
      <c r="S116" s="654"/>
      <c r="T116" s="655" t="s">
        <v>501</v>
      </c>
      <c r="U116" s="486">
        <v>-202376</v>
      </c>
    </row>
    <row r="117" spans="1:37" ht="14.1" customHeight="1" x14ac:dyDescent="0.2">
      <c r="A117" s="473"/>
      <c r="B117" s="471"/>
      <c r="C117" s="470"/>
      <c r="D117" s="471"/>
      <c r="E117" s="471"/>
      <c r="F117" s="471"/>
      <c r="G117" s="471"/>
      <c r="H117" s="472"/>
      <c r="I117" s="472"/>
      <c r="J117" s="472"/>
      <c r="K117" s="472"/>
      <c r="L117" s="472"/>
      <c r="O117" s="303"/>
      <c r="P117" s="492" t="s">
        <v>723</v>
      </c>
      <c r="Q117" s="657">
        <f>+T107</f>
        <v>209173.33000000002</v>
      </c>
      <c r="S117" s="654"/>
      <c r="T117" s="655" t="s">
        <v>566</v>
      </c>
      <c r="U117" s="486">
        <v>-703409</v>
      </c>
    </row>
    <row r="118" spans="1:37" ht="14.1" customHeight="1" x14ac:dyDescent="0.2">
      <c r="A118" s="473"/>
      <c r="B118" s="471"/>
      <c r="C118" s="470"/>
      <c r="D118" s="471"/>
      <c r="E118" s="471"/>
      <c r="F118" s="471"/>
      <c r="G118" s="471"/>
      <c r="H118" s="472"/>
      <c r="I118" s="472"/>
      <c r="J118" s="472"/>
      <c r="K118" s="472"/>
      <c r="L118" s="472"/>
      <c r="O118" s="303" t="s">
        <v>727</v>
      </c>
      <c r="P118" s="491"/>
      <c r="Q118" s="656">
        <f>SUM(Q115:Q117)</f>
        <v>1155362.02</v>
      </c>
      <c r="S118" s="654"/>
      <c r="T118" s="655" t="s">
        <v>563</v>
      </c>
      <c r="U118" s="486">
        <v>-350000</v>
      </c>
    </row>
    <row r="119" spans="1:37" ht="14.1" customHeight="1" x14ac:dyDescent="0.2">
      <c r="A119" s="473"/>
      <c r="B119" s="471"/>
      <c r="C119" s="470"/>
      <c r="D119" s="471"/>
      <c r="E119" s="471"/>
      <c r="F119" s="471"/>
      <c r="G119" s="471"/>
      <c r="H119" s="472"/>
      <c r="I119" s="472"/>
      <c r="J119" s="472"/>
      <c r="K119" s="472"/>
      <c r="L119" s="472"/>
      <c r="O119" s="303"/>
      <c r="P119" s="491"/>
      <c r="Q119" s="656"/>
      <c r="S119" s="654"/>
      <c r="T119" s="658" t="s">
        <v>720</v>
      </c>
      <c r="U119" s="487">
        <v>-971697</v>
      </c>
    </row>
    <row r="120" spans="1:37" ht="14.1" customHeight="1" x14ac:dyDescent="0.2">
      <c r="A120" s="473"/>
      <c r="B120" s="471"/>
      <c r="C120" s="470"/>
      <c r="D120" s="471"/>
      <c r="E120" s="471"/>
      <c r="F120" s="471"/>
      <c r="G120" s="471"/>
      <c r="H120" s="472"/>
      <c r="I120" s="472"/>
      <c r="J120" s="472"/>
      <c r="K120" s="472"/>
      <c r="L120" s="472"/>
      <c r="O120" s="303" t="s">
        <v>724</v>
      </c>
      <c r="P120" s="304"/>
      <c r="Q120" s="648">
        <f>+V107+U65</f>
        <v>1060208.3699999999</v>
      </c>
      <c r="S120" s="654"/>
      <c r="T120" s="658" t="s">
        <v>736</v>
      </c>
      <c r="U120" s="487">
        <v>-21230</v>
      </c>
      <c r="V120" s="307" t="s">
        <v>349</v>
      </c>
      <c r="W120" s="307"/>
      <c r="X120" s="297" t="s">
        <v>741</v>
      </c>
      <c r="Y120" s="297"/>
      <c r="Z120" s="297"/>
      <c r="AA120" s="297"/>
      <c r="AC120" s="558"/>
      <c r="AD120" s="558"/>
    </row>
    <row r="121" spans="1:37" ht="14.1" customHeight="1" x14ac:dyDescent="0.2">
      <c r="A121" s="473"/>
      <c r="B121" s="471"/>
      <c r="C121" s="470"/>
      <c r="D121" s="471"/>
      <c r="E121" s="471"/>
      <c r="F121" s="471"/>
      <c r="G121" s="471"/>
      <c r="H121" s="472"/>
      <c r="I121" s="472"/>
      <c r="J121" s="472"/>
      <c r="K121" s="472"/>
      <c r="L121" s="472"/>
      <c r="O121" s="303"/>
      <c r="P121" s="304"/>
      <c r="Q121" s="648"/>
      <c r="S121" s="654"/>
      <c r="T121" s="658" t="s">
        <v>799</v>
      </c>
      <c r="U121" s="487">
        <v>-157327</v>
      </c>
      <c r="V121" s="307" t="s">
        <v>737</v>
      </c>
      <c r="W121" s="307"/>
      <c r="X121" s="297">
        <f>+X107</f>
        <v>3312739.9200000004</v>
      </c>
      <c r="Y121" s="297"/>
      <c r="Z121" s="297"/>
      <c r="AA121" s="297"/>
      <c r="AC121" s="297"/>
      <c r="AD121" s="297"/>
    </row>
    <row r="122" spans="1:37" ht="14.1" customHeight="1" thickBot="1" x14ac:dyDescent="0.25">
      <c r="A122" s="473"/>
      <c r="B122" s="471"/>
      <c r="C122" s="470"/>
      <c r="D122" s="471"/>
      <c r="E122" s="471"/>
      <c r="F122" s="471"/>
      <c r="G122" s="471"/>
      <c r="H122" s="472"/>
      <c r="I122" s="472"/>
      <c r="J122" s="472"/>
      <c r="K122" s="472"/>
      <c r="L122" s="472"/>
      <c r="O122" s="303" t="s">
        <v>728</v>
      </c>
      <c r="P122" s="304"/>
      <c r="Q122" s="648">
        <f>+W107</f>
        <v>1103968.31</v>
      </c>
      <c r="S122" s="654"/>
      <c r="T122" s="658" t="s">
        <v>721</v>
      </c>
      <c r="U122" s="488">
        <v>46285</v>
      </c>
      <c r="V122" s="309" t="s">
        <v>477</v>
      </c>
      <c r="W122" s="454"/>
      <c r="X122" s="310">
        <f>+U123</f>
        <v>315969</v>
      </c>
      <c r="Y122" s="388"/>
      <c r="Z122" s="297"/>
      <c r="AA122" s="297"/>
      <c r="AC122" s="388"/>
      <c r="AD122" s="388"/>
    </row>
    <row r="123" spans="1:37" ht="14.1" customHeight="1" x14ac:dyDescent="0.2">
      <c r="A123" s="473"/>
      <c r="B123" s="471"/>
      <c r="C123" s="470"/>
      <c r="D123" s="471"/>
      <c r="E123" s="471"/>
      <c r="F123" s="471"/>
      <c r="G123" s="471"/>
      <c r="H123" s="472"/>
      <c r="I123" s="472"/>
      <c r="J123" s="472"/>
      <c r="K123" s="472"/>
      <c r="L123" s="472"/>
      <c r="O123" s="303"/>
      <c r="P123" s="304"/>
      <c r="Q123" s="648"/>
      <c r="S123" s="311" t="s">
        <v>490</v>
      </c>
      <c r="T123" s="312"/>
      <c r="U123" s="489">
        <f>SUM(U112:U122)</f>
        <v>315969</v>
      </c>
      <c r="V123" s="296" t="s">
        <v>565</v>
      </c>
      <c r="X123" s="490">
        <f>SUM(X121:X122)</f>
        <v>3628708.9200000004</v>
      </c>
      <c r="Y123" s="490"/>
      <c r="Z123" s="297"/>
      <c r="AA123" s="297"/>
      <c r="AC123" s="308"/>
      <c r="AD123" s="308"/>
    </row>
    <row r="124" spans="1:37" ht="14.1" customHeight="1" x14ac:dyDescent="0.2">
      <c r="A124" s="473"/>
      <c r="B124" s="471"/>
      <c r="C124" s="470"/>
      <c r="D124" s="471"/>
      <c r="E124" s="471"/>
      <c r="F124" s="471"/>
      <c r="G124" s="471"/>
      <c r="H124" s="472"/>
      <c r="I124" s="472"/>
      <c r="J124" s="472"/>
      <c r="K124" s="472"/>
      <c r="L124" s="472"/>
      <c r="O124" s="493" t="s">
        <v>726</v>
      </c>
      <c r="P124" s="494"/>
      <c r="Q124" s="659">
        <f>SUM(Q118:Q123)</f>
        <v>3319538.6999999997</v>
      </c>
      <c r="S124" s="660"/>
      <c r="T124" s="661"/>
      <c r="U124" s="488"/>
      <c r="X124" s="297"/>
      <c r="Y124" s="297"/>
      <c r="Z124" s="297"/>
      <c r="AA124" s="297"/>
    </row>
    <row r="125" spans="1:37" ht="14.1" customHeight="1" x14ac:dyDescent="0.2">
      <c r="A125" s="473"/>
      <c r="B125" s="471"/>
      <c r="C125" s="470"/>
      <c r="D125" s="471"/>
      <c r="E125" s="471"/>
      <c r="F125" s="471"/>
      <c r="G125" s="471"/>
      <c r="H125" s="472"/>
      <c r="I125" s="472"/>
      <c r="J125" s="472"/>
      <c r="K125" s="472"/>
      <c r="L125" s="472"/>
    </row>
    <row r="126" spans="1:37" ht="14.1" customHeight="1" x14ac:dyDescent="0.2">
      <c r="A126" s="473"/>
      <c r="B126" s="471"/>
      <c r="C126" s="470"/>
      <c r="D126" s="471"/>
      <c r="E126" s="471"/>
      <c r="F126" s="471"/>
      <c r="G126" s="471"/>
      <c r="H126" s="472"/>
      <c r="I126" s="472"/>
      <c r="J126" s="472"/>
      <c r="K126" s="472"/>
      <c r="L126" s="472"/>
      <c r="Q126" s="643"/>
    </row>
    <row r="127" spans="1:37" ht="14.1" customHeight="1" x14ac:dyDescent="0.2">
      <c r="A127" s="473"/>
      <c r="B127" s="471"/>
      <c r="C127" s="470"/>
      <c r="D127" s="471"/>
      <c r="E127" s="471"/>
      <c r="F127" s="471"/>
      <c r="G127" s="471"/>
      <c r="H127" s="472"/>
      <c r="I127" s="472"/>
      <c r="J127" s="472"/>
      <c r="K127" s="472"/>
      <c r="L127" s="472"/>
      <c r="Q127" s="643"/>
    </row>
    <row r="128" spans="1:37" ht="14.1" customHeight="1" x14ac:dyDescent="0.2">
      <c r="A128" s="473"/>
      <c r="B128" s="471"/>
      <c r="C128" s="470"/>
      <c r="D128" s="471"/>
      <c r="E128" s="471"/>
      <c r="F128" s="471"/>
      <c r="G128" s="471"/>
      <c r="H128" s="472"/>
      <c r="I128" s="472"/>
      <c r="J128" s="472"/>
      <c r="K128" s="472"/>
      <c r="L128" s="472"/>
    </row>
    <row r="129" spans="1:12" ht="14.1" customHeight="1" x14ac:dyDescent="0.2">
      <c r="A129" s="473"/>
      <c r="B129" s="471"/>
      <c r="C129" s="470"/>
      <c r="D129" s="471"/>
      <c r="E129" s="471"/>
      <c r="F129" s="471"/>
      <c r="G129" s="471"/>
      <c r="H129" s="472"/>
      <c r="I129" s="472"/>
      <c r="J129" s="472"/>
      <c r="K129" s="472"/>
      <c r="L129" s="472"/>
    </row>
    <row r="130" spans="1:12" ht="14.1" customHeight="1" x14ac:dyDescent="0.2">
      <c r="A130" s="473"/>
      <c r="B130" s="471"/>
      <c r="C130" s="470"/>
      <c r="D130" s="471"/>
      <c r="E130" s="471"/>
      <c r="F130" s="471"/>
      <c r="G130" s="471"/>
      <c r="H130" s="472"/>
      <c r="I130" s="472"/>
      <c r="J130" s="472"/>
      <c r="K130" s="472"/>
      <c r="L130" s="472"/>
    </row>
    <row r="131" spans="1:12" ht="14.1" customHeight="1" x14ac:dyDescent="0.2">
      <c r="A131" s="473"/>
      <c r="B131" s="473"/>
      <c r="C131" s="477"/>
      <c r="D131" s="477"/>
      <c r="E131" s="473"/>
      <c r="F131" s="473"/>
      <c r="G131" s="473"/>
      <c r="H131" s="478"/>
      <c r="I131" s="478"/>
      <c r="J131" s="478"/>
      <c r="K131" s="478"/>
      <c r="L131" s="478"/>
    </row>
    <row r="132" spans="1:12" ht="14.1" customHeight="1" x14ac:dyDescent="0.2">
      <c r="A132" s="400"/>
      <c r="B132" s="400"/>
      <c r="C132" s="470"/>
      <c r="D132" s="474"/>
      <c r="E132" s="474"/>
      <c r="F132" s="474"/>
      <c r="G132" s="474"/>
      <c r="H132" s="401"/>
      <c r="I132" s="401"/>
      <c r="J132" s="401"/>
      <c r="K132" s="401"/>
      <c r="L132" s="401"/>
    </row>
    <row r="133" spans="1:12" ht="14.1" customHeight="1" x14ac:dyDescent="0.2">
      <c r="A133" s="473"/>
      <c r="B133" s="471"/>
      <c r="C133" s="470"/>
      <c r="D133" s="474"/>
      <c r="E133" s="474"/>
      <c r="F133" s="474"/>
      <c r="G133" s="474"/>
      <c r="H133" s="475"/>
      <c r="I133" s="475"/>
      <c r="J133" s="475"/>
      <c r="K133" s="475"/>
      <c r="L133" s="472"/>
    </row>
    <row r="134" spans="1:12" ht="14.1" customHeight="1" x14ac:dyDescent="0.2">
      <c r="A134" s="473"/>
      <c r="B134" s="471"/>
      <c r="C134" s="470"/>
      <c r="D134" s="474"/>
      <c r="E134" s="474"/>
      <c r="F134" s="474"/>
      <c r="G134" s="474"/>
      <c r="H134" s="475"/>
      <c r="I134" s="475"/>
      <c r="J134" s="475"/>
      <c r="K134" s="475"/>
      <c r="L134" s="472"/>
    </row>
    <row r="135" spans="1:12" ht="14.1" customHeight="1" x14ac:dyDescent="0.2">
      <c r="A135" s="473"/>
      <c r="B135" s="471"/>
      <c r="C135" s="470"/>
      <c r="D135" s="474"/>
      <c r="E135" s="474"/>
      <c r="F135" s="474"/>
      <c r="G135" s="474"/>
      <c r="H135" s="475"/>
      <c r="I135" s="475"/>
      <c r="J135" s="475"/>
      <c r="K135" s="475"/>
      <c r="L135" s="472"/>
    </row>
    <row r="136" spans="1:12" ht="14.1" customHeight="1" x14ac:dyDescent="0.2">
      <c r="A136" s="473"/>
      <c r="B136" s="471"/>
      <c r="C136" s="470"/>
      <c r="D136" s="474"/>
      <c r="E136" s="474"/>
      <c r="F136" s="474"/>
      <c r="G136" s="474"/>
      <c r="H136" s="475"/>
      <c r="I136" s="475"/>
      <c r="J136" s="475"/>
      <c r="K136" s="475"/>
      <c r="L136" s="472"/>
    </row>
    <row r="137" spans="1:12" ht="14.1" customHeight="1" x14ac:dyDescent="0.2">
      <c r="A137" s="473"/>
      <c r="B137" s="473"/>
      <c r="C137" s="470"/>
      <c r="D137" s="476"/>
      <c r="E137" s="476"/>
      <c r="F137" s="476"/>
      <c r="G137" s="474"/>
      <c r="H137" s="475"/>
      <c r="I137" s="475"/>
      <c r="J137" s="475"/>
      <c r="K137" s="475"/>
      <c r="L137" s="472"/>
    </row>
    <row r="138" spans="1:12" ht="14.1" customHeight="1" x14ac:dyDescent="0.2">
      <c r="A138" s="473"/>
      <c r="B138" s="473"/>
      <c r="C138" s="470"/>
      <c r="D138" s="476"/>
      <c r="E138" s="476"/>
      <c r="F138" s="476"/>
      <c r="G138" s="474"/>
      <c r="H138" s="475"/>
      <c r="I138" s="475"/>
      <c r="J138" s="475"/>
      <c r="K138" s="475"/>
      <c r="L138" s="472"/>
    </row>
    <row r="139" spans="1:12" ht="14.1" customHeight="1" x14ac:dyDescent="0.2">
      <c r="A139" s="473"/>
      <c r="B139" s="473"/>
      <c r="C139" s="473"/>
      <c r="D139" s="473"/>
      <c r="E139" s="473"/>
      <c r="F139" s="473"/>
      <c r="G139" s="473"/>
      <c r="H139" s="478"/>
      <c r="I139" s="478"/>
      <c r="J139" s="478"/>
      <c r="K139" s="478"/>
      <c r="L139" s="478"/>
    </row>
    <row r="140" spans="1:12" ht="14.1" customHeight="1" x14ac:dyDescent="0.2">
      <c r="A140" s="473"/>
      <c r="B140" s="471"/>
      <c r="C140" s="470"/>
      <c r="D140" s="471"/>
      <c r="E140" s="471"/>
      <c r="F140" s="471"/>
      <c r="G140" s="471"/>
      <c r="H140" s="472"/>
      <c r="I140" s="472"/>
      <c r="J140" s="472"/>
      <c r="K140" s="472"/>
      <c r="L140" s="472"/>
    </row>
    <row r="141" spans="1:12" ht="14.1" customHeight="1" x14ac:dyDescent="0.2">
      <c r="A141" s="473"/>
      <c r="B141" s="471"/>
      <c r="C141" s="470"/>
      <c r="D141" s="471"/>
      <c r="E141" s="471"/>
      <c r="F141" s="471"/>
      <c r="G141" s="471"/>
      <c r="H141" s="472"/>
      <c r="I141" s="472"/>
      <c r="J141" s="472"/>
      <c r="K141" s="472"/>
      <c r="L141" s="472"/>
    </row>
    <row r="142" spans="1:12" ht="14.1" customHeight="1" x14ac:dyDescent="0.2">
      <c r="A142" s="473"/>
      <c r="B142" s="471"/>
      <c r="C142" s="470"/>
      <c r="D142" s="471"/>
      <c r="E142" s="471"/>
      <c r="F142" s="471"/>
      <c r="G142" s="471"/>
      <c r="H142" s="472"/>
      <c r="I142" s="472"/>
      <c r="J142" s="472"/>
      <c r="K142" s="472"/>
      <c r="L142" s="472"/>
    </row>
    <row r="143" spans="1:12" ht="14.1" customHeight="1" x14ac:dyDescent="0.2">
      <c r="A143" s="473"/>
      <c r="B143" s="471"/>
      <c r="C143" s="470"/>
      <c r="D143" s="471"/>
      <c r="E143" s="471"/>
      <c r="F143" s="471"/>
      <c r="G143" s="471"/>
      <c r="H143" s="472"/>
      <c r="I143" s="472"/>
      <c r="J143" s="472"/>
      <c r="K143" s="472"/>
      <c r="L143" s="472"/>
    </row>
    <row r="144" spans="1:12" ht="14.1" customHeight="1" x14ac:dyDescent="0.2">
      <c r="A144" s="473"/>
      <c r="B144" s="471"/>
      <c r="C144" s="470"/>
      <c r="D144" s="471"/>
      <c r="E144" s="471"/>
      <c r="F144" s="471"/>
      <c r="G144" s="471"/>
      <c r="H144" s="472"/>
      <c r="I144" s="472"/>
      <c r="J144" s="472"/>
      <c r="K144" s="472"/>
      <c r="L144" s="472"/>
    </row>
    <row r="145" spans="1:12" ht="14.1" customHeight="1" x14ac:dyDescent="0.2">
      <c r="A145" s="473"/>
      <c r="B145" s="471"/>
      <c r="C145" s="470"/>
      <c r="D145" s="471"/>
      <c r="E145" s="471"/>
      <c r="F145" s="471"/>
      <c r="G145" s="471"/>
      <c r="H145" s="472"/>
      <c r="I145" s="472"/>
      <c r="J145" s="472"/>
      <c r="K145" s="472"/>
      <c r="L145" s="472"/>
    </row>
    <row r="146" spans="1:12" ht="14.1" customHeight="1" x14ac:dyDescent="0.2">
      <c r="A146" s="473"/>
      <c r="B146" s="471"/>
      <c r="C146" s="470"/>
      <c r="D146" s="471"/>
      <c r="E146" s="471"/>
      <c r="F146" s="471"/>
      <c r="G146" s="471"/>
      <c r="H146" s="472"/>
      <c r="I146" s="472"/>
      <c r="J146" s="472"/>
      <c r="K146" s="472"/>
      <c r="L146" s="472"/>
    </row>
    <row r="147" spans="1:12" ht="14.1" customHeight="1" x14ac:dyDescent="0.2">
      <c r="A147" s="473"/>
      <c r="B147" s="471"/>
      <c r="C147" s="470"/>
      <c r="D147" s="471"/>
      <c r="E147" s="471"/>
      <c r="F147" s="471"/>
      <c r="G147" s="471"/>
      <c r="H147" s="472"/>
      <c r="I147" s="472"/>
      <c r="J147" s="472"/>
      <c r="K147" s="472"/>
      <c r="L147" s="472"/>
    </row>
    <row r="148" spans="1:12" ht="14.1" customHeight="1" x14ac:dyDescent="0.2">
      <c r="A148" s="473"/>
      <c r="B148" s="471"/>
      <c r="C148" s="470"/>
      <c r="D148" s="471"/>
      <c r="E148" s="471"/>
      <c r="F148" s="471"/>
      <c r="G148" s="471"/>
      <c r="H148" s="472"/>
      <c r="I148" s="472"/>
      <c r="J148" s="472"/>
      <c r="K148" s="472"/>
      <c r="L148" s="472"/>
    </row>
    <row r="149" spans="1:12" ht="14.1" customHeight="1" x14ac:dyDescent="0.2">
      <c r="A149" s="473"/>
      <c r="B149" s="471"/>
      <c r="C149" s="470"/>
      <c r="D149" s="471"/>
      <c r="E149" s="471"/>
      <c r="F149" s="471"/>
      <c r="G149" s="471"/>
      <c r="H149" s="472"/>
      <c r="I149" s="472"/>
      <c r="J149" s="472"/>
      <c r="K149" s="472"/>
      <c r="L149" s="472"/>
    </row>
    <row r="150" spans="1:12" ht="14.1" customHeight="1" x14ac:dyDescent="0.2">
      <c r="A150" s="473"/>
      <c r="B150" s="471"/>
      <c r="C150" s="470"/>
      <c r="D150" s="471"/>
      <c r="E150" s="471"/>
      <c r="F150" s="471"/>
      <c r="G150" s="471"/>
      <c r="H150" s="472"/>
      <c r="I150" s="472"/>
      <c r="J150" s="472"/>
      <c r="K150" s="472"/>
      <c r="L150" s="472"/>
    </row>
    <row r="151" spans="1:12" ht="12" customHeight="1" x14ac:dyDescent="0.2">
      <c r="A151" s="473"/>
      <c r="B151" s="471"/>
      <c r="C151" s="470"/>
      <c r="D151" s="471"/>
      <c r="E151" s="471"/>
      <c r="F151" s="471"/>
      <c r="G151" s="471"/>
      <c r="H151" s="472"/>
      <c r="I151" s="472"/>
      <c r="J151" s="472"/>
      <c r="K151" s="472"/>
      <c r="L151" s="472"/>
    </row>
    <row r="152" spans="1:12" ht="12" customHeight="1" x14ac:dyDescent="0.2">
      <c r="A152" s="473"/>
      <c r="B152" s="471"/>
      <c r="C152" s="470"/>
      <c r="D152" s="471"/>
      <c r="E152" s="471"/>
      <c r="F152" s="471"/>
      <c r="G152" s="471"/>
      <c r="H152" s="472"/>
      <c r="I152" s="472"/>
      <c r="J152" s="472"/>
      <c r="K152" s="472"/>
      <c r="L152" s="472"/>
    </row>
    <row r="153" spans="1:12" ht="12" customHeight="1" x14ac:dyDescent="0.2">
      <c r="A153" s="473"/>
      <c r="B153" s="471"/>
      <c r="C153" s="470"/>
      <c r="D153" s="471"/>
      <c r="E153" s="471"/>
      <c r="F153" s="471"/>
      <c r="G153" s="471"/>
      <c r="H153" s="472"/>
      <c r="I153" s="472"/>
      <c r="J153" s="472"/>
      <c r="K153" s="472"/>
      <c r="L153" s="472"/>
    </row>
    <row r="154" spans="1:12" ht="12" customHeight="1" x14ac:dyDescent="0.2">
      <c r="A154" s="473"/>
      <c r="B154" s="471"/>
      <c r="C154" s="470"/>
      <c r="D154" s="471"/>
      <c r="E154" s="471"/>
      <c r="F154" s="471"/>
      <c r="G154" s="471"/>
      <c r="H154" s="472"/>
      <c r="I154" s="472"/>
      <c r="J154" s="472"/>
      <c r="K154" s="472"/>
      <c r="L154" s="472"/>
    </row>
    <row r="155" spans="1:12" ht="12" customHeight="1" x14ac:dyDescent="0.2">
      <c r="A155" s="473"/>
      <c r="B155" s="471"/>
      <c r="C155" s="470"/>
      <c r="D155" s="471"/>
      <c r="E155" s="471"/>
      <c r="F155" s="471"/>
      <c r="G155" s="471"/>
      <c r="H155" s="472"/>
      <c r="I155" s="472"/>
      <c r="J155" s="472"/>
      <c r="K155" s="472"/>
      <c r="L155" s="472"/>
    </row>
    <row r="156" spans="1:12" ht="12" customHeight="1" x14ac:dyDescent="0.2">
      <c r="A156" s="473"/>
      <c r="B156" s="471"/>
      <c r="C156" s="470"/>
      <c r="D156" s="471"/>
      <c r="E156" s="471"/>
      <c r="F156" s="471"/>
      <c r="G156" s="471"/>
      <c r="H156" s="472"/>
      <c r="I156" s="472"/>
      <c r="J156" s="472"/>
      <c r="K156" s="472"/>
      <c r="L156" s="472"/>
    </row>
    <row r="157" spans="1:12" ht="12" customHeight="1" x14ac:dyDescent="0.2">
      <c r="A157" s="473"/>
      <c r="B157" s="473"/>
      <c r="C157" s="473"/>
      <c r="D157" s="473"/>
      <c r="E157" s="473"/>
      <c r="F157" s="473"/>
      <c r="G157" s="473"/>
      <c r="H157" s="478"/>
      <c r="I157" s="478"/>
      <c r="J157" s="478"/>
      <c r="K157" s="478"/>
      <c r="L157" s="478"/>
    </row>
    <row r="158" spans="1:12" ht="12" customHeight="1" x14ac:dyDescent="0.2">
      <c r="A158" s="473"/>
      <c r="B158" s="473"/>
      <c r="C158" s="479"/>
      <c r="D158" s="473"/>
      <c r="E158" s="473"/>
      <c r="F158" s="473"/>
      <c r="G158" s="473"/>
      <c r="H158" s="478"/>
      <c r="I158" s="478"/>
      <c r="J158" s="478"/>
      <c r="K158" s="478"/>
      <c r="L158" s="478"/>
    </row>
    <row r="159" spans="1:12" ht="12" customHeight="1" x14ac:dyDescent="0.2">
      <c r="A159" s="473"/>
      <c r="B159" s="473"/>
      <c r="C159" s="479"/>
      <c r="D159" s="471"/>
      <c r="E159" s="471"/>
      <c r="F159" s="471"/>
      <c r="G159" s="471"/>
      <c r="H159" s="472"/>
      <c r="I159" s="472"/>
      <c r="J159" s="472"/>
      <c r="K159" s="472"/>
      <c r="L159" s="472"/>
    </row>
  </sheetData>
  <autoFilter ref="AI1:AI158"/>
  <sortState ref="A5:AL106">
    <sortCondition ref="AK5:AK106"/>
  </sortState>
  <mergeCells count="8">
    <mergeCell ref="M2:N2"/>
    <mergeCell ref="AC2:AI2"/>
    <mergeCell ref="AF3:AG3"/>
    <mergeCell ref="M3:N3"/>
    <mergeCell ref="Z3:AB3"/>
    <mergeCell ref="Z2:AB2"/>
    <mergeCell ref="X3:Y3"/>
    <mergeCell ref="O2:Y2"/>
  </mergeCells>
  <pageMargins left="0" right="0" top="0.5" bottom="0" header="0.3" footer="0.3"/>
  <pageSetup paperSize="5" scale="60" orientation="landscape" horizontalDpi="1200" verticalDpi="1200" r:id="rId1"/>
  <headerFooter>
    <oddFooter>&amp;L&amp;Z&amp;F&amp;R&amp;D</oddFooter>
  </headerFooter>
  <rowBreaks count="1" manualBreakCount="1">
    <brk id="65" max="3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K72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E72" sqref="E72"/>
    </sheetView>
  </sheetViews>
  <sheetFormatPr defaultColWidth="15.42578125" defaultRowHeight="15.95" customHeight="1" x14ac:dyDescent="0.2"/>
  <cols>
    <col min="1" max="1" width="27.140625" style="90" customWidth="1"/>
    <col min="2" max="2" width="18" style="90" customWidth="1"/>
    <col min="3" max="3" width="10.85546875" style="90" customWidth="1"/>
    <col min="4" max="4" width="11.42578125" style="133" customWidth="1"/>
    <col min="5" max="5" width="12" style="90" customWidth="1"/>
    <col min="6" max="6" width="12" style="90" bestFit="1" customWidth="1"/>
    <col min="7" max="7" width="11.28515625" style="90" customWidth="1"/>
    <col min="8" max="8" width="13.5703125" style="90" hidden="1" customWidth="1"/>
    <col min="9" max="9" width="8.28515625" style="90" customWidth="1"/>
    <col min="10" max="10" width="8.7109375" style="90" customWidth="1"/>
    <col min="11" max="11" width="7.7109375" style="90" customWidth="1"/>
    <col min="12" max="12" width="12.5703125" style="90" customWidth="1"/>
    <col min="13" max="13" width="10.140625" style="171" customWidth="1"/>
    <col min="14" max="14" width="26" style="112" customWidth="1"/>
    <col min="15" max="63" width="15.42578125" style="172"/>
    <col min="64" max="16384" width="15.42578125" style="90"/>
  </cols>
  <sheetData>
    <row r="1" spans="1:63" ht="15.95" customHeight="1" x14ac:dyDescent="0.2">
      <c r="A1" s="85"/>
      <c r="B1" s="86"/>
      <c r="C1" s="86"/>
      <c r="D1" s="134"/>
      <c r="E1" s="86"/>
      <c r="F1" s="86"/>
      <c r="G1" s="86"/>
      <c r="H1" s="86"/>
      <c r="I1" s="87" t="s">
        <v>75</v>
      </c>
      <c r="J1" s="87"/>
      <c r="K1" s="87"/>
      <c r="L1" s="88"/>
      <c r="M1" s="167"/>
      <c r="N1" s="89"/>
    </row>
    <row r="2" spans="1:63" ht="15.95" hidden="1" customHeight="1" x14ac:dyDescent="0.2">
      <c r="A2" s="91" t="s">
        <v>0</v>
      </c>
      <c r="B2" s="92" t="s">
        <v>4</v>
      </c>
      <c r="C2" s="92" t="s">
        <v>3</v>
      </c>
      <c r="D2" s="135" t="s">
        <v>6</v>
      </c>
      <c r="E2" s="92" t="s">
        <v>7</v>
      </c>
      <c r="F2" s="92" t="s">
        <v>8</v>
      </c>
      <c r="G2" s="93" t="s">
        <v>1</v>
      </c>
      <c r="H2" s="94" t="s">
        <v>74</v>
      </c>
      <c r="I2" s="95" t="s">
        <v>67</v>
      </c>
      <c r="J2" s="96" t="s">
        <v>68</v>
      </c>
      <c r="K2" s="97" t="s">
        <v>69</v>
      </c>
      <c r="L2" s="98" t="s">
        <v>78</v>
      </c>
      <c r="M2" s="168" t="s">
        <v>83</v>
      </c>
      <c r="N2" s="98" t="s">
        <v>86</v>
      </c>
    </row>
    <row r="3" spans="1:63" ht="15.95" customHeight="1" x14ac:dyDescent="0.2">
      <c r="A3" s="99" t="s">
        <v>191</v>
      </c>
      <c r="B3" s="100" t="s">
        <v>192</v>
      </c>
      <c r="C3" s="100" t="s">
        <v>60</v>
      </c>
      <c r="D3" s="136">
        <v>72100</v>
      </c>
      <c r="E3" s="101">
        <v>0</v>
      </c>
      <c r="F3" s="101">
        <v>0</v>
      </c>
      <c r="G3" s="101">
        <f>SUM(D3:F3)</f>
        <v>72100</v>
      </c>
      <c r="H3" s="102"/>
      <c r="I3" s="103"/>
      <c r="J3" s="104" t="s">
        <v>193</v>
      </c>
      <c r="K3" s="103" t="s">
        <v>193</v>
      </c>
      <c r="L3" s="105"/>
      <c r="M3" s="169" t="s">
        <v>194</v>
      </c>
      <c r="N3" s="106"/>
    </row>
    <row r="4" spans="1:63" s="107" customFormat="1" ht="15.95" customHeight="1" x14ac:dyDescent="0.2">
      <c r="A4" s="99" t="s">
        <v>195</v>
      </c>
      <c r="B4" s="100" t="s">
        <v>196</v>
      </c>
      <c r="C4" s="100" t="s">
        <v>60</v>
      </c>
      <c r="D4" s="136">
        <v>24000</v>
      </c>
      <c r="E4" s="101">
        <v>0</v>
      </c>
      <c r="F4" s="101">
        <v>0</v>
      </c>
      <c r="G4" s="101">
        <f t="shared" ref="G4:G62" si="0">SUM(D4:F4)</f>
        <v>24000</v>
      </c>
      <c r="H4" s="102"/>
      <c r="I4" s="103"/>
      <c r="J4" s="104" t="s">
        <v>197</v>
      </c>
      <c r="K4" s="103" t="s">
        <v>197</v>
      </c>
      <c r="L4" s="105"/>
      <c r="M4" s="169" t="s">
        <v>194</v>
      </c>
      <c r="N4" s="106" t="s">
        <v>198</v>
      </c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</row>
    <row r="5" spans="1:63" ht="15.95" hidden="1" customHeight="1" x14ac:dyDescent="0.2">
      <c r="A5" s="108" t="s">
        <v>199</v>
      </c>
      <c r="B5" s="100" t="s">
        <v>200</v>
      </c>
      <c r="C5" s="100" t="s">
        <v>60</v>
      </c>
      <c r="D5" s="101">
        <v>0</v>
      </c>
      <c r="E5" s="101">
        <v>3500</v>
      </c>
      <c r="F5" s="101">
        <v>0</v>
      </c>
      <c r="G5" s="101">
        <f t="shared" si="0"/>
        <v>3500</v>
      </c>
      <c r="H5" s="102"/>
      <c r="I5" s="103"/>
      <c r="J5" s="104" t="s">
        <v>201</v>
      </c>
      <c r="K5" s="103" t="s">
        <v>201</v>
      </c>
      <c r="L5" s="105"/>
      <c r="M5" s="169" t="s">
        <v>202</v>
      </c>
      <c r="N5" s="106" t="s">
        <v>203</v>
      </c>
    </row>
    <row r="6" spans="1:63" ht="15.95" hidden="1" customHeight="1" x14ac:dyDescent="0.2">
      <c r="A6" s="111" t="s">
        <v>204</v>
      </c>
      <c r="B6" s="111" t="s">
        <v>205</v>
      </c>
      <c r="C6" s="111" t="s">
        <v>60</v>
      </c>
      <c r="D6" s="163">
        <v>81089</v>
      </c>
      <c r="E6" s="163">
        <v>2819</v>
      </c>
      <c r="F6" s="163">
        <v>2819</v>
      </c>
      <c r="G6" s="163">
        <f t="shared" si="0"/>
        <v>86727</v>
      </c>
      <c r="H6" s="102"/>
      <c r="I6" s="164"/>
      <c r="J6" s="165" t="s">
        <v>201</v>
      </c>
      <c r="K6" s="164" t="s">
        <v>201</v>
      </c>
      <c r="L6" s="166"/>
      <c r="M6" s="170" t="s">
        <v>202</v>
      </c>
      <c r="N6" s="106" t="s">
        <v>206</v>
      </c>
    </row>
    <row r="7" spans="1:63" ht="15.95" customHeight="1" x14ac:dyDescent="0.2">
      <c r="A7" s="99" t="s">
        <v>207</v>
      </c>
      <c r="B7" s="100" t="s">
        <v>208</v>
      </c>
      <c r="C7" s="100" t="s">
        <v>60</v>
      </c>
      <c r="D7" s="136">
        <v>16381.92</v>
      </c>
      <c r="E7" s="101">
        <v>125</v>
      </c>
      <c r="F7" s="101">
        <v>125</v>
      </c>
      <c r="G7" s="101">
        <f t="shared" si="0"/>
        <v>16631.919999999998</v>
      </c>
      <c r="H7" s="102"/>
      <c r="I7" s="103"/>
      <c r="J7" s="104" t="s">
        <v>197</v>
      </c>
      <c r="K7" s="103" t="s">
        <v>193</v>
      </c>
      <c r="L7" s="105"/>
      <c r="M7" s="169" t="s">
        <v>194</v>
      </c>
      <c r="N7" s="106"/>
    </row>
    <row r="8" spans="1:63" ht="15.95" customHeight="1" x14ac:dyDescent="0.2">
      <c r="A8" s="99" t="s">
        <v>209</v>
      </c>
      <c r="B8" s="100" t="s">
        <v>210</v>
      </c>
      <c r="C8" s="100" t="s">
        <v>60</v>
      </c>
      <c r="D8" s="136">
        <v>8800</v>
      </c>
      <c r="E8" s="101">
        <v>3100</v>
      </c>
      <c r="F8" s="101">
        <v>3100</v>
      </c>
      <c r="G8" s="101">
        <f t="shared" si="0"/>
        <v>15000</v>
      </c>
      <c r="H8" s="102"/>
      <c r="I8" s="103"/>
      <c r="J8" s="104" t="s">
        <v>193</v>
      </c>
      <c r="K8" s="103" t="s">
        <v>193</v>
      </c>
      <c r="L8" s="105"/>
      <c r="M8" s="169" t="s">
        <v>194</v>
      </c>
      <c r="N8" s="106"/>
    </row>
    <row r="9" spans="1:63" s="107" customFormat="1" ht="15.95" hidden="1" customHeight="1" x14ac:dyDescent="0.2">
      <c r="A9" s="111" t="s">
        <v>211</v>
      </c>
      <c r="B9" s="111" t="s">
        <v>212</v>
      </c>
      <c r="C9" s="111" t="s">
        <v>60</v>
      </c>
      <c r="D9" s="163">
        <v>64183</v>
      </c>
      <c r="E9" s="163">
        <v>53973</v>
      </c>
      <c r="F9" s="163">
        <v>43764</v>
      </c>
      <c r="G9" s="163">
        <f t="shared" si="0"/>
        <v>161920</v>
      </c>
      <c r="H9" s="102"/>
      <c r="I9" s="164"/>
      <c r="J9" s="165" t="s">
        <v>213</v>
      </c>
      <c r="K9" s="164"/>
      <c r="L9" s="166"/>
      <c r="M9" s="170" t="s">
        <v>214</v>
      </c>
      <c r="N9" s="106" t="s">
        <v>215</v>
      </c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</row>
    <row r="10" spans="1:63" ht="15.95" hidden="1" customHeight="1" x14ac:dyDescent="0.2">
      <c r="A10" s="99" t="s">
        <v>216</v>
      </c>
      <c r="B10" s="100" t="s">
        <v>217</v>
      </c>
      <c r="C10" s="100" t="s">
        <v>60</v>
      </c>
      <c r="D10" s="101">
        <v>0</v>
      </c>
      <c r="E10" s="101">
        <v>10000</v>
      </c>
      <c r="F10" s="101">
        <v>0</v>
      </c>
      <c r="G10" s="101">
        <f t="shared" si="0"/>
        <v>10000</v>
      </c>
      <c r="H10" s="102"/>
      <c r="I10" s="103"/>
      <c r="J10" s="104" t="s">
        <v>201</v>
      </c>
      <c r="K10" s="103" t="s">
        <v>201</v>
      </c>
      <c r="L10" s="105"/>
      <c r="M10" s="169" t="s">
        <v>202</v>
      </c>
      <c r="N10" s="106"/>
    </row>
    <row r="11" spans="1:63" s="107" customFormat="1" ht="15.95" customHeight="1" x14ac:dyDescent="0.2">
      <c r="A11" s="99" t="s">
        <v>218</v>
      </c>
      <c r="B11" s="100" t="s">
        <v>205</v>
      </c>
      <c r="C11" s="100" t="s">
        <v>60</v>
      </c>
      <c r="D11" s="136">
        <v>25534.6</v>
      </c>
      <c r="E11" s="101">
        <v>25534.6</v>
      </c>
      <c r="F11" s="101">
        <v>25534.6</v>
      </c>
      <c r="G11" s="101">
        <f t="shared" si="0"/>
        <v>76603.799999999988</v>
      </c>
      <c r="H11" s="102"/>
      <c r="I11" s="103"/>
      <c r="J11" s="104" t="s">
        <v>213</v>
      </c>
      <c r="K11" s="103"/>
      <c r="L11" s="105" t="s">
        <v>219</v>
      </c>
      <c r="M11" s="169" t="s">
        <v>194</v>
      </c>
      <c r="N11" s="106" t="s">
        <v>220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</row>
    <row r="12" spans="1:63" ht="15.95" customHeight="1" x14ac:dyDescent="0.2">
      <c r="A12" s="99" t="s">
        <v>221</v>
      </c>
      <c r="B12" s="100" t="s">
        <v>222</v>
      </c>
      <c r="C12" s="100" t="s">
        <v>60</v>
      </c>
      <c r="D12" s="136">
        <v>103408</v>
      </c>
      <c r="E12" s="101">
        <v>0</v>
      </c>
      <c r="F12" s="101">
        <v>0</v>
      </c>
      <c r="G12" s="101">
        <f t="shared" si="0"/>
        <v>103408</v>
      </c>
      <c r="H12" s="102"/>
      <c r="I12" s="103"/>
      <c r="J12" s="104" t="s">
        <v>193</v>
      </c>
      <c r="K12" s="103" t="s">
        <v>197</v>
      </c>
      <c r="L12" s="105"/>
      <c r="M12" s="169" t="s">
        <v>194</v>
      </c>
      <c r="N12" s="106"/>
    </row>
    <row r="13" spans="1:63" s="107" customFormat="1" ht="15.95" customHeight="1" x14ac:dyDescent="0.2">
      <c r="A13" s="99" t="s">
        <v>223</v>
      </c>
      <c r="B13" s="100" t="s">
        <v>224</v>
      </c>
      <c r="C13" s="100" t="s">
        <v>60</v>
      </c>
      <c r="D13" s="136">
        <v>13156</v>
      </c>
      <c r="E13" s="101">
        <v>0</v>
      </c>
      <c r="F13" s="101">
        <v>0</v>
      </c>
      <c r="G13" s="101">
        <f t="shared" si="0"/>
        <v>13156</v>
      </c>
      <c r="H13" s="102"/>
      <c r="I13" s="103"/>
      <c r="J13" s="104" t="s">
        <v>201</v>
      </c>
      <c r="K13" s="103" t="s">
        <v>201</v>
      </c>
      <c r="L13" s="105"/>
      <c r="M13" s="169" t="s">
        <v>194</v>
      </c>
      <c r="N13" s="106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</row>
    <row r="14" spans="1:63" ht="15.95" customHeight="1" x14ac:dyDescent="0.2">
      <c r="A14" s="109" t="s">
        <v>225</v>
      </c>
      <c r="B14" s="100" t="s">
        <v>226</v>
      </c>
      <c r="C14" s="100" t="s">
        <v>60</v>
      </c>
      <c r="D14" s="101">
        <v>0</v>
      </c>
      <c r="E14" s="101">
        <v>5080</v>
      </c>
      <c r="F14" s="101">
        <v>0</v>
      </c>
      <c r="G14" s="101">
        <f t="shared" si="0"/>
        <v>5080</v>
      </c>
      <c r="H14" s="102"/>
      <c r="I14" s="103"/>
      <c r="J14" s="104" t="s">
        <v>197</v>
      </c>
      <c r="K14" s="103" t="s">
        <v>193</v>
      </c>
      <c r="L14" s="105"/>
      <c r="M14" s="169" t="s">
        <v>194</v>
      </c>
      <c r="N14" s="106"/>
    </row>
    <row r="15" spans="1:63" ht="15.95" customHeight="1" x14ac:dyDescent="0.2">
      <c r="A15" s="99" t="s">
        <v>227</v>
      </c>
      <c r="B15" s="100" t="s">
        <v>205</v>
      </c>
      <c r="C15" s="100" t="s">
        <v>60</v>
      </c>
      <c r="D15" s="136">
        <v>13711</v>
      </c>
      <c r="E15" s="101">
        <v>0</v>
      </c>
      <c r="F15" s="101">
        <v>0</v>
      </c>
      <c r="G15" s="101">
        <f t="shared" si="0"/>
        <v>13711</v>
      </c>
      <c r="H15" s="102"/>
      <c r="I15" s="103"/>
      <c r="J15" s="104" t="s">
        <v>193</v>
      </c>
      <c r="K15" s="103" t="s">
        <v>193</v>
      </c>
      <c r="L15" s="105"/>
      <c r="M15" s="169" t="s">
        <v>194</v>
      </c>
      <c r="N15" s="106"/>
    </row>
    <row r="16" spans="1:63" s="107" customFormat="1" ht="15.95" customHeight="1" x14ac:dyDescent="0.2">
      <c r="A16" s="99" t="s">
        <v>228</v>
      </c>
      <c r="B16" s="100" t="s">
        <v>229</v>
      </c>
      <c r="C16" s="100" t="s">
        <v>60</v>
      </c>
      <c r="D16" s="136">
        <f>16423-5265</f>
        <v>11158</v>
      </c>
      <c r="E16" s="101">
        <f>5765-5265</f>
        <v>500</v>
      </c>
      <c r="F16" s="101">
        <v>500</v>
      </c>
      <c r="G16" s="101">
        <f t="shared" si="0"/>
        <v>12158</v>
      </c>
      <c r="H16" s="102"/>
      <c r="I16" s="103"/>
      <c r="J16" s="104" t="s">
        <v>197</v>
      </c>
      <c r="K16" s="103" t="s">
        <v>197</v>
      </c>
      <c r="L16" s="105" t="s">
        <v>230</v>
      </c>
      <c r="M16" s="169" t="s">
        <v>194</v>
      </c>
      <c r="N16" s="106" t="s">
        <v>231</v>
      </c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</row>
    <row r="17" spans="1:63" ht="15.95" customHeight="1" x14ac:dyDescent="0.2">
      <c r="A17" s="99" t="s">
        <v>232</v>
      </c>
      <c r="B17" s="100" t="s">
        <v>200</v>
      </c>
      <c r="C17" s="100" t="s">
        <v>60</v>
      </c>
      <c r="D17" s="101">
        <v>0</v>
      </c>
      <c r="E17" s="101">
        <v>900</v>
      </c>
      <c r="F17" s="101">
        <v>0</v>
      </c>
      <c r="G17" s="101">
        <f t="shared" si="0"/>
        <v>900</v>
      </c>
      <c r="H17" s="102"/>
      <c r="I17" s="103"/>
      <c r="J17" s="104" t="s">
        <v>193</v>
      </c>
      <c r="K17" s="103" t="s">
        <v>193</v>
      </c>
      <c r="L17" s="105"/>
      <c r="M17" s="169" t="s">
        <v>194</v>
      </c>
      <c r="N17" s="106"/>
    </row>
    <row r="18" spans="1:63" ht="15.95" customHeight="1" x14ac:dyDescent="0.2">
      <c r="A18" s="99" t="s">
        <v>233</v>
      </c>
      <c r="B18" s="100" t="s">
        <v>234</v>
      </c>
      <c r="C18" s="100" t="s">
        <v>60</v>
      </c>
      <c r="D18" s="136">
        <v>19500</v>
      </c>
      <c r="E18" s="101">
        <v>0</v>
      </c>
      <c r="F18" s="101">
        <v>0</v>
      </c>
      <c r="G18" s="101">
        <f t="shared" si="0"/>
        <v>19500</v>
      </c>
      <c r="H18" s="102"/>
      <c r="I18" s="103"/>
      <c r="J18" s="104" t="s">
        <v>193</v>
      </c>
      <c r="K18" s="103" t="s">
        <v>193</v>
      </c>
      <c r="L18" s="105"/>
      <c r="M18" s="169" t="s">
        <v>194</v>
      </c>
      <c r="N18" s="106"/>
    </row>
    <row r="19" spans="1:63" ht="15.95" customHeight="1" x14ac:dyDescent="0.2">
      <c r="A19" s="99" t="s">
        <v>235</v>
      </c>
      <c r="B19" s="100" t="s">
        <v>236</v>
      </c>
      <c r="C19" s="100" t="s">
        <v>60</v>
      </c>
      <c r="D19" s="136">
        <v>19002.259999999998</v>
      </c>
      <c r="E19" s="101">
        <v>0</v>
      </c>
      <c r="F19" s="101">
        <v>0</v>
      </c>
      <c r="G19" s="101">
        <f t="shared" si="0"/>
        <v>19002.259999999998</v>
      </c>
      <c r="H19" s="102"/>
      <c r="I19" s="103"/>
      <c r="J19" s="104" t="s">
        <v>193</v>
      </c>
      <c r="K19" s="103" t="s">
        <v>193</v>
      </c>
      <c r="L19" s="105"/>
      <c r="M19" s="169" t="s">
        <v>194</v>
      </c>
      <c r="N19" s="106"/>
    </row>
    <row r="20" spans="1:63" ht="15.95" hidden="1" customHeight="1" x14ac:dyDescent="0.2">
      <c r="A20" s="111" t="s">
        <v>237</v>
      </c>
      <c r="B20" s="111" t="s">
        <v>236</v>
      </c>
      <c r="C20" s="111" t="s">
        <v>60</v>
      </c>
      <c r="D20" s="163">
        <v>43546</v>
      </c>
      <c r="E20" s="163">
        <v>0</v>
      </c>
      <c r="F20" s="163">
        <v>0</v>
      </c>
      <c r="G20" s="163">
        <f t="shared" si="0"/>
        <v>43546</v>
      </c>
      <c r="H20" s="102"/>
      <c r="I20" s="164"/>
      <c r="J20" s="165" t="s">
        <v>201</v>
      </c>
      <c r="K20" s="164" t="s">
        <v>201</v>
      </c>
      <c r="L20" s="166"/>
      <c r="M20" s="170" t="s">
        <v>202</v>
      </c>
      <c r="N20" s="106"/>
    </row>
    <row r="21" spans="1:63" ht="15.95" customHeight="1" x14ac:dyDescent="0.2">
      <c r="A21" s="99" t="s">
        <v>238</v>
      </c>
      <c r="B21" s="100" t="s">
        <v>236</v>
      </c>
      <c r="C21" s="100" t="s">
        <v>60</v>
      </c>
      <c r="D21" s="136">
        <v>22444.95</v>
      </c>
      <c r="E21" s="101">
        <v>0</v>
      </c>
      <c r="F21" s="101">
        <v>0</v>
      </c>
      <c r="G21" s="101">
        <f t="shared" si="0"/>
        <v>22444.95</v>
      </c>
      <c r="H21" s="102"/>
      <c r="I21" s="103"/>
      <c r="J21" s="104" t="s">
        <v>193</v>
      </c>
      <c r="K21" s="103" t="s">
        <v>193</v>
      </c>
      <c r="L21" s="105"/>
      <c r="M21" s="169" t="s">
        <v>194</v>
      </c>
      <c r="N21" s="106"/>
    </row>
    <row r="22" spans="1:63" s="110" customFormat="1" ht="15.95" customHeight="1" x14ac:dyDescent="0.2">
      <c r="A22" s="99" t="s">
        <v>239</v>
      </c>
      <c r="B22" s="100" t="s">
        <v>217</v>
      </c>
      <c r="C22" s="100" t="s">
        <v>60</v>
      </c>
      <c r="D22" s="101">
        <v>0</v>
      </c>
      <c r="E22" s="101">
        <v>8094.66</v>
      </c>
      <c r="F22" s="101">
        <v>0</v>
      </c>
      <c r="G22" s="101">
        <f t="shared" si="0"/>
        <v>8094.66</v>
      </c>
      <c r="H22" s="102"/>
      <c r="I22" s="103"/>
      <c r="J22" s="104"/>
      <c r="K22" s="103"/>
      <c r="L22" s="105"/>
      <c r="M22" s="169" t="s">
        <v>194</v>
      </c>
      <c r="N22" s="106" t="s">
        <v>240</v>
      </c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</row>
    <row r="23" spans="1:63" s="110" customFormat="1" ht="15.95" hidden="1" customHeight="1" x14ac:dyDescent="0.2">
      <c r="A23" s="99" t="s">
        <v>241</v>
      </c>
      <c r="B23" s="100" t="s">
        <v>217</v>
      </c>
      <c r="C23" s="100" t="s">
        <v>60</v>
      </c>
      <c r="D23" s="101">
        <v>0</v>
      </c>
      <c r="E23" s="101">
        <v>2980</v>
      </c>
      <c r="F23" s="101">
        <v>0</v>
      </c>
      <c r="G23" s="101">
        <f t="shared" si="0"/>
        <v>2980</v>
      </c>
      <c r="H23" s="102"/>
      <c r="I23" s="103"/>
      <c r="J23" s="104"/>
      <c r="K23" s="103"/>
      <c r="L23" s="105"/>
      <c r="M23" s="169" t="s">
        <v>214</v>
      </c>
      <c r="N23" s="106" t="s">
        <v>242</v>
      </c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</row>
    <row r="24" spans="1:63" s="110" customFormat="1" ht="15.95" customHeight="1" x14ac:dyDescent="0.2">
      <c r="A24" s="99" t="s">
        <v>243</v>
      </c>
      <c r="B24" s="100" t="s">
        <v>217</v>
      </c>
      <c r="C24" s="100" t="s">
        <v>60</v>
      </c>
      <c r="D24" s="101">
        <v>0</v>
      </c>
      <c r="E24" s="101">
        <v>4231</v>
      </c>
      <c r="F24" s="101">
        <v>0</v>
      </c>
      <c r="G24" s="101">
        <f t="shared" si="0"/>
        <v>4231</v>
      </c>
      <c r="H24" s="102"/>
      <c r="I24" s="103"/>
      <c r="J24" s="104"/>
      <c r="K24" s="103"/>
      <c r="L24" s="105"/>
      <c r="M24" s="169" t="s">
        <v>194</v>
      </c>
      <c r="N24" s="106" t="s">
        <v>244</v>
      </c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</row>
    <row r="25" spans="1:63" ht="15.95" hidden="1" customHeight="1" x14ac:dyDescent="0.2">
      <c r="A25" s="99" t="s">
        <v>245</v>
      </c>
      <c r="B25" s="100" t="s">
        <v>217</v>
      </c>
      <c r="C25" s="100" t="s">
        <v>60</v>
      </c>
      <c r="D25" s="101">
        <v>0</v>
      </c>
      <c r="E25" s="101">
        <v>4137.95</v>
      </c>
      <c r="F25" s="101">
        <v>0</v>
      </c>
      <c r="G25" s="101">
        <f t="shared" si="0"/>
        <v>4137.95</v>
      </c>
      <c r="H25" s="102"/>
      <c r="I25" s="103"/>
      <c r="J25" s="104"/>
      <c r="K25" s="103"/>
      <c r="L25" s="105"/>
      <c r="M25" s="169" t="s">
        <v>202</v>
      </c>
      <c r="N25" s="106"/>
    </row>
    <row r="26" spans="1:63" ht="15.95" customHeight="1" x14ac:dyDescent="0.2">
      <c r="A26" s="173" t="s">
        <v>246</v>
      </c>
      <c r="B26" s="111" t="s">
        <v>247</v>
      </c>
      <c r="C26" s="173" t="s">
        <v>60</v>
      </c>
      <c r="D26" s="136">
        <v>32805</v>
      </c>
      <c r="E26" s="101">
        <v>614</v>
      </c>
      <c r="F26" s="101">
        <v>614</v>
      </c>
      <c r="G26" s="101">
        <f t="shared" si="0"/>
        <v>34033</v>
      </c>
      <c r="H26" s="102"/>
      <c r="I26" s="103"/>
      <c r="J26" s="104" t="s">
        <v>197</v>
      </c>
      <c r="K26" s="103" t="s">
        <v>197</v>
      </c>
      <c r="L26" s="105"/>
      <c r="M26" s="169" t="s">
        <v>194</v>
      </c>
      <c r="N26" s="106"/>
    </row>
    <row r="27" spans="1:63" ht="15.95" customHeight="1" x14ac:dyDescent="0.2">
      <c r="A27" s="99" t="s">
        <v>248</v>
      </c>
      <c r="B27" s="100" t="s">
        <v>217</v>
      </c>
      <c r="C27" s="100" t="s">
        <v>60</v>
      </c>
      <c r="D27" s="101">
        <v>0</v>
      </c>
      <c r="E27" s="101">
        <v>15566.6</v>
      </c>
      <c r="F27" s="101">
        <v>0</v>
      </c>
      <c r="G27" s="101">
        <f t="shared" si="0"/>
        <v>15566.6</v>
      </c>
      <c r="H27" s="102"/>
      <c r="I27" s="103"/>
      <c r="J27" s="104"/>
      <c r="K27" s="103"/>
      <c r="L27" s="105"/>
      <c r="M27" s="169" t="s">
        <v>194</v>
      </c>
      <c r="N27" s="106" t="s">
        <v>244</v>
      </c>
    </row>
    <row r="28" spans="1:63" s="107" customFormat="1" ht="15.95" customHeight="1" x14ac:dyDescent="0.2">
      <c r="A28" s="173" t="s">
        <v>249</v>
      </c>
      <c r="B28" s="111" t="s">
        <v>217</v>
      </c>
      <c r="C28" s="173" t="s">
        <v>60</v>
      </c>
      <c r="D28" s="101">
        <v>0</v>
      </c>
      <c r="E28" s="101">
        <v>62224.35</v>
      </c>
      <c r="F28" s="101">
        <v>0</v>
      </c>
      <c r="G28" s="101">
        <f t="shared" si="0"/>
        <v>62224.35</v>
      </c>
      <c r="H28" s="102"/>
      <c r="I28" s="103"/>
      <c r="J28" s="104"/>
      <c r="K28" s="103"/>
      <c r="L28" s="105"/>
      <c r="M28" s="169" t="s">
        <v>194</v>
      </c>
      <c r="N28" s="106" t="s">
        <v>250</v>
      </c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</row>
    <row r="29" spans="1:63" s="110" customFormat="1" ht="15.95" customHeight="1" x14ac:dyDescent="0.2">
      <c r="A29" s="99" t="s">
        <v>251</v>
      </c>
      <c r="B29" s="100" t="s">
        <v>217</v>
      </c>
      <c r="C29" s="100" t="s">
        <v>60</v>
      </c>
      <c r="D29" s="136">
        <v>22385</v>
      </c>
      <c r="E29" s="101">
        <v>2049</v>
      </c>
      <c r="F29" s="101">
        <v>2439</v>
      </c>
      <c r="G29" s="101">
        <f t="shared" si="0"/>
        <v>26873</v>
      </c>
      <c r="H29" s="102"/>
      <c r="I29" s="103"/>
      <c r="J29" s="104"/>
      <c r="K29" s="103"/>
      <c r="L29" s="105"/>
      <c r="M29" s="169" t="s">
        <v>194</v>
      </c>
      <c r="N29" s="106" t="s">
        <v>244</v>
      </c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</row>
    <row r="30" spans="1:63" ht="15.95" hidden="1" customHeight="1" x14ac:dyDescent="0.2">
      <c r="A30" s="111" t="s">
        <v>252</v>
      </c>
      <c r="B30" s="111" t="s">
        <v>217</v>
      </c>
      <c r="C30" s="111" t="s">
        <v>60</v>
      </c>
      <c r="D30" s="163">
        <v>40000</v>
      </c>
      <c r="E30" s="163">
        <v>40000</v>
      </c>
      <c r="F30" s="163">
        <v>40000</v>
      </c>
      <c r="G30" s="163">
        <f t="shared" si="0"/>
        <v>120000</v>
      </c>
      <c r="H30" s="102"/>
      <c r="I30" s="164"/>
      <c r="J30" s="165"/>
      <c r="K30" s="164"/>
      <c r="L30" s="166"/>
      <c r="M30" s="170" t="s">
        <v>202</v>
      </c>
      <c r="N30" s="106" t="s">
        <v>244</v>
      </c>
    </row>
    <row r="31" spans="1:63" ht="15.95" customHeight="1" x14ac:dyDescent="0.2">
      <c r="A31" s="99" t="s">
        <v>253</v>
      </c>
      <c r="B31" s="100" t="s">
        <v>254</v>
      </c>
      <c r="C31" s="100" t="s">
        <v>60</v>
      </c>
      <c r="D31" s="136">
        <v>9415</v>
      </c>
      <c r="E31" s="101">
        <v>0</v>
      </c>
      <c r="F31" s="101">
        <v>0</v>
      </c>
      <c r="G31" s="101">
        <f t="shared" si="0"/>
        <v>9415</v>
      </c>
      <c r="H31" s="102"/>
      <c r="I31" s="103"/>
      <c r="J31" s="104" t="s">
        <v>193</v>
      </c>
      <c r="K31" s="103" t="s">
        <v>193</v>
      </c>
      <c r="L31" s="105"/>
      <c r="M31" s="169" t="s">
        <v>194</v>
      </c>
      <c r="N31" s="106" t="s">
        <v>255</v>
      </c>
    </row>
    <row r="32" spans="1:63" ht="15.95" customHeight="1" x14ac:dyDescent="0.2">
      <c r="A32" s="99" t="s">
        <v>256</v>
      </c>
      <c r="B32" s="100" t="s">
        <v>257</v>
      </c>
      <c r="C32" s="100" t="s">
        <v>60</v>
      </c>
      <c r="D32" s="136">
        <v>55625</v>
      </c>
      <c r="E32" s="101">
        <v>2000</v>
      </c>
      <c r="F32" s="101">
        <v>2000</v>
      </c>
      <c r="G32" s="101">
        <f t="shared" si="0"/>
        <v>59625</v>
      </c>
      <c r="H32" s="102"/>
      <c r="I32" s="103"/>
      <c r="J32" s="104" t="s">
        <v>193</v>
      </c>
      <c r="K32" s="103" t="s">
        <v>193</v>
      </c>
      <c r="L32" s="105"/>
      <c r="M32" s="169" t="s">
        <v>194</v>
      </c>
      <c r="N32" s="106"/>
    </row>
    <row r="33" spans="1:63" ht="15.95" hidden="1" customHeight="1" x14ac:dyDescent="0.2">
      <c r="A33" s="99" t="s">
        <v>258</v>
      </c>
      <c r="B33" s="100" t="s">
        <v>217</v>
      </c>
      <c r="C33" s="100" t="s">
        <v>60</v>
      </c>
      <c r="D33" s="101">
        <v>0</v>
      </c>
      <c r="E33" s="101">
        <v>40000</v>
      </c>
      <c r="F33" s="101">
        <v>40000</v>
      </c>
      <c r="G33" s="101">
        <f t="shared" si="0"/>
        <v>80000</v>
      </c>
      <c r="H33" s="102"/>
      <c r="I33" s="103"/>
      <c r="J33" s="104"/>
      <c r="K33" s="103"/>
      <c r="L33" s="105"/>
      <c r="M33" s="169" t="s">
        <v>202</v>
      </c>
      <c r="N33" s="106" t="s">
        <v>244</v>
      </c>
    </row>
    <row r="34" spans="1:63" ht="15.95" hidden="1" customHeight="1" x14ac:dyDescent="0.2">
      <c r="A34" s="111" t="s">
        <v>259</v>
      </c>
      <c r="B34" s="111" t="s">
        <v>217</v>
      </c>
      <c r="C34" s="111" t="s">
        <v>60</v>
      </c>
      <c r="D34" s="163">
        <v>68552</v>
      </c>
      <c r="E34" s="163">
        <v>0</v>
      </c>
      <c r="F34" s="163">
        <v>0</v>
      </c>
      <c r="G34" s="163">
        <f t="shared" si="0"/>
        <v>68552</v>
      </c>
      <c r="H34" s="102"/>
      <c r="I34" s="164"/>
      <c r="J34" s="165"/>
      <c r="K34" s="164"/>
      <c r="L34" s="166"/>
      <c r="M34" s="170" t="s">
        <v>202</v>
      </c>
      <c r="N34" s="106" t="s">
        <v>244</v>
      </c>
    </row>
    <row r="35" spans="1:63" ht="15.95" customHeight="1" x14ac:dyDescent="0.2">
      <c r="A35" s="99" t="s">
        <v>260</v>
      </c>
      <c r="B35" s="100" t="s">
        <v>261</v>
      </c>
      <c r="C35" s="100" t="s">
        <v>60</v>
      </c>
      <c r="D35" s="136">
        <v>77674</v>
      </c>
      <c r="E35" s="101">
        <v>5254</v>
      </c>
      <c r="F35" s="101">
        <v>5254</v>
      </c>
      <c r="G35" s="101">
        <f t="shared" si="0"/>
        <v>88182</v>
      </c>
      <c r="H35" s="102"/>
      <c r="I35" s="103"/>
      <c r="J35" s="104" t="s">
        <v>193</v>
      </c>
      <c r="K35" s="103" t="s">
        <v>193</v>
      </c>
      <c r="L35" s="105"/>
      <c r="M35" s="169" t="s">
        <v>194</v>
      </c>
      <c r="N35" s="106"/>
    </row>
    <row r="36" spans="1:63" s="107" customFormat="1" ht="15.95" customHeight="1" x14ac:dyDescent="0.2">
      <c r="A36" s="99" t="s">
        <v>262</v>
      </c>
      <c r="B36" s="100" t="s">
        <v>263</v>
      </c>
      <c r="C36" s="100" t="s">
        <v>60</v>
      </c>
      <c r="D36" s="101">
        <v>0</v>
      </c>
      <c r="E36" s="101">
        <v>21300</v>
      </c>
      <c r="F36" s="101">
        <v>0</v>
      </c>
      <c r="G36" s="101">
        <f t="shared" si="0"/>
        <v>21300</v>
      </c>
      <c r="H36" s="102"/>
      <c r="I36" s="103"/>
      <c r="J36" s="104" t="s">
        <v>197</v>
      </c>
      <c r="K36" s="103" t="s">
        <v>197</v>
      </c>
      <c r="L36" s="105"/>
      <c r="M36" s="169" t="s">
        <v>194</v>
      </c>
      <c r="N36" s="106" t="s">
        <v>264</v>
      </c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</row>
    <row r="37" spans="1:63" ht="15.95" customHeight="1" x14ac:dyDescent="0.2">
      <c r="A37" s="99" t="s">
        <v>265</v>
      </c>
      <c r="B37" s="100" t="s">
        <v>263</v>
      </c>
      <c r="C37" s="100" t="s">
        <v>60</v>
      </c>
      <c r="D37" s="101">
        <v>0</v>
      </c>
      <c r="E37" s="101">
        <v>6708</v>
      </c>
      <c r="F37" s="101">
        <v>600</v>
      </c>
      <c r="G37" s="101">
        <f t="shared" si="0"/>
        <v>7308</v>
      </c>
      <c r="H37" s="102"/>
      <c r="I37" s="103"/>
      <c r="J37" s="104" t="s">
        <v>197</v>
      </c>
      <c r="K37" s="103" t="s">
        <v>197</v>
      </c>
      <c r="L37" s="105"/>
      <c r="M37" s="169" t="s">
        <v>194</v>
      </c>
      <c r="N37" s="106"/>
    </row>
    <row r="38" spans="1:63" ht="15.95" customHeight="1" x14ac:dyDescent="0.2">
      <c r="A38" s="108" t="s">
        <v>266</v>
      </c>
      <c r="B38" s="100" t="s">
        <v>267</v>
      </c>
      <c r="C38" s="100" t="s">
        <v>60</v>
      </c>
      <c r="D38" s="136">
        <v>7494</v>
      </c>
      <c r="E38" s="101">
        <v>7494</v>
      </c>
      <c r="F38" s="101">
        <v>7494</v>
      </c>
      <c r="G38" s="101">
        <f t="shared" si="0"/>
        <v>22482</v>
      </c>
      <c r="H38" s="102"/>
      <c r="I38" s="103"/>
      <c r="J38" s="104" t="s">
        <v>193</v>
      </c>
      <c r="K38" s="103" t="s">
        <v>193</v>
      </c>
      <c r="L38" s="105"/>
      <c r="M38" s="169" t="s">
        <v>194</v>
      </c>
      <c r="N38" s="106"/>
    </row>
    <row r="39" spans="1:63" ht="15.95" customHeight="1" x14ac:dyDescent="0.2">
      <c r="A39" s="99" t="s">
        <v>268</v>
      </c>
      <c r="B39" s="100" t="s">
        <v>269</v>
      </c>
      <c r="C39" s="100" t="s">
        <v>60</v>
      </c>
      <c r="D39" s="136">
        <v>13117</v>
      </c>
      <c r="E39" s="101">
        <v>0</v>
      </c>
      <c r="F39" s="101">
        <v>0</v>
      </c>
      <c r="G39" s="101">
        <f t="shared" si="0"/>
        <v>13117</v>
      </c>
      <c r="H39" s="102"/>
      <c r="I39" s="103"/>
      <c r="J39" s="104" t="s">
        <v>193</v>
      </c>
      <c r="K39" s="103" t="s">
        <v>193</v>
      </c>
      <c r="L39" s="105"/>
      <c r="M39" s="169" t="s">
        <v>194</v>
      </c>
      <c r="N39" s="106"/>
    </row>
    <row r="40" spans="1:63" ht="15.95" customHeight="1" x14ac:dyDescent="0.2">
      <c r="A40" s="99" t="s">
        <v>270</v>
      </c>
      <c r="B40" s="100" t="s">
        <v>234</v>
      </c>
      <c r="C40" s="100" t="s">
        <v>60</v>
      </c>
      <c r="D40" s="136">
        <v>8000</v>
      </c>
      <c r="E40" s="101">
        <v>0</v>
      </c>
      <c r="F40" s="101">
        <v>0</v>
      </c>
      <c r="G40" s="101">
        <f t="shared" si="0"/>
        <v>8000</v>
      </c>
      <c r="H40" s="102"/>
      <c r="I40" s="103"/>
      <c r="J40" s="104" t="s">
        <v>193</v>
      </c>
      <c r="K40" s="103" t="s">
        <v>193</v>
      </c>
      <c r="L40" s="105"/>
      <c r="M40" s="169" t="s">
        <v>194</v>
      </c>
      <c r="N40" s="106"/>
    </row>
    <row r="41" spans="1:63" ht="15.95" customHeight="1" x14ac:dyDescent="0.2">
      <c r="A41" s="100" t="s">
        <v>271</v>
      </c>
      <c r="B41" s="100" t="s">
        <v>272</v>
      </c>
      <c r="C41" s="100" t="s">
        <v>60</v>
      </c>
      <c r="D41" s="136">
        <v>26500</v>
      </c>
      <c r="E41" s="101">
        <v>0</v>
      </c>
      <c r="F41" s="101">
        <v>0</v>
      </c>
      <c r="G41" s="101">
        <f t="shared" si="0"/>
        <v>26500</v>
      </c>
      <c r="H41" s="102"/>
      <c r="I41" s="103"/>
      <c r="J41" s="104" t="s">
        <v>193</v>
      </c>
      <c r="K41" s="103" t="s">
        <v>193</v>
      </c>
      <c r="L41" s="105"/>
      <c r="M41" s="169" t="s">
        <v>194</v>
      </c>
      <c r="N41" s="106"/>
    </row>
    <row r="42" spans="1:63" ht="15.95" customHeight="1" x14ac:dyDescent="0.2">
      <c r="A42" s="100" t="s">
        <v>273</v>
      </c>
      <c r="B42" s="100" t="s">
        <v>274</v>
      </c>
      <c r="C42" s="100" t="s">
        <v>60</v>
      </c>
      <c r="D42" s="136">
        <v>96075</v>
      </c>
      <c r="E42" s="101">
        <f>100000+8800+57952</f>
        <v>166752</v>
      </c>
      <c r="F42" s="101">
        <f>85850+600</f>
        <v>86450</v>
      </c>
      <c r="G42" s="101">
        <f t="shared" si="0"/>
        <v>349277</v>
      </c>
      <c r="H42" s="102"/>
      <c r="I42" s="103"/>
      <c r="J42" s="104" t="s">
        <v>193</v>
      </c>
      <c r="K42" s="103" t="s">
        <v>193</v>
      </c>
      <c r="L42" s="105"/>
      <c r="M42" s="169" t="s">
        <v>194</v>
      </c>
      <c r="N42" s="106" t="s">
        <v>275</v>
      </c>
    </row>
    <row r="43" spans="1:63" ht="15.95" hidden="1" customHeight="1" x14ac:dyDescent="0.2">
      <c r="A43" s="100" t="s">
        <v>276</v>
      </c>
      <c r="B43" s="100" t="s">
        <v>208</v>
      </c>
      <c r="C43" s="100"/>
      <c r="D43" s="101">
        <v>0</v>
      </c>
      <c r="E43" s="101">
        <v>16381.92</v>
      </c>
      <c r="F43" s="101">
        <v>125</v>
      </c>
      <c r="G43" s="101">
        <f t="shared" si="0"/>
        <v>16506.919999999998</v>
      </c>
      <c r="H43" s="102"/>
      <c r="I43" s="103"/>
      <c r="J43" s="104"/>
      <c r="K43" s="103"/>
      <c r="L43" s="105"/>
      <c r="M43" s="169"/>
      <c r="N43" s="106"/>
    </row>
    <row r="44" spans="1:63" ht="15.95" hidden="1" customHeight="1" x14ac:dyDescent="0.2">
      <c r="A44" s="100" t="s">
        <v>277</v>
      </c>
      <c r="B44" s="100" t="s">
        <v>222</v>
      </c>
      <c r="C44" s="100"/>
      <c r="D44" s="101">
        <v>155408</v>
      </c>
      <c r="E44" s="101">
        <v>0</v>
      </c>
      <c r="F44" s="101">
        <v>0</v>
      </c>
      <c r="G44" s="101">
        <f t="shared" si="0"/>
        <v>155408</v>
      </c>
      <c r="H44" s="102"/>
      <c r="I44" s="103"/>
      <c r="J44" s="104"/>
      <c r="K44" s="103"/>
      <c r="L44" s="105"/>
      <c r="M44" s="169"/>
      <c r="N44" s="106"/>
    </row>
    <row r="45" spans="1:63" ht="15.95" customHeight="1" x14ac:dyDescent="0.2">
      <c r="A45" s="100" t="s">
        <v>278</v>
      </c>
      <c r="B45" s="100" t="s">
        <v>279</v>
      </c>
      <c r="C45" s="100" t="s">
        <v>60</v>
      </c>
      <c r="D45" s="136">
        <v>12200</v>
      </c>
      <c r="E45" s="101">
        <v>79300</v>
      </c>
      <c r="F45" s="101">
        <v>0</v>
      </c>
      <c r="G45" s="101">
        <f t="shared" si="0"/>
        <v>91500</v>
      </c>
      <c r="H45" s="102"/>
      <c r="I45" s="103"/>
      <c r="J45" s="103"/>
      <c r="K45" s="103"/>
      <c r="L45" s="105"/>
      <c r="M45" s="169" t="s">
        <v>194</v>
      </c>
      <c r="N45" s="106"/>
    </row>
    <row r="46" spans="1:63" ht="15.95" hidden="1" customHeight="1" x14ac:dyDescent="0.2">
      <c r="A46" s="100" t="s">
        <v>280</v>
      </c>
      <c r="B46" s="100" t="s">
        <v>217</v>
      </c>
      <c r="C46" s="100"/>
      <c r="D46" s="101">
        <v>0</v>
      </c>
      <c r="E46" s="101">
        <v>10000</v>
      </c>
      <c r="F46" s="101">
        <v>0</v>
      </c>
      <c r="G46" s="101">
        <f t="shared" si="0"/>
        <v>10000</v>
      </c>
      <c r="H46" s="102"/>
      <c r="I46" s="103"/>
      <c r="J46" s="103"/>
      <c r="K46" s="103"/>
      <c r="L46" s="105"/>
      <c r="M46" s="169"/>
      <c r="N46" s="106"/>
    </row>
    <row r="47" spans="1:63" ht="15.95" hidden="1" customHeight="1" x14ac:dyDescent="0.2">
      <c r="A47" s="100" t="s">
        <v>281</v>
      </c>
      <c r="B47" s="100" t="s">
        <v>267</v>
      </c>
      <c r="C47" s="100"/>
      <c r="D47" s="101">
        <v>7494</v>
      </c>
      <c r="E47" s="101">
        <v>7494</v>
      </c>
      <c r="F47" s="101">
        <v>7494</v>
      </c>
      <c r="G47" s="101">
        <f t="shared" si="0"/>
        <v>22482</v>
      </c>
      <c r="H47" s="102"/>
      <c r="I47" s="103"/>
      <c r="J47" s="103"/>
      <c r="K47" s="103"/>
      <c r="L47" s="105"/>
      <c r="M47" s="169"/>
      <c r="N47" s="106"/>
    </row>
    <row r="48" spans="1:63" ht="15.95" hidden="1" customHeight="1" x14ac:dyDescent="0.2">
      <c r="A48" s="100" t="s">
        <v>282</v>
      </c>
      <c r="B48" s="100" t="s">
        <v>234</v>
      </c>
      <c r="C48" s="100"/>
      <c r="D48" s="101">
        <v>8000</v>
      </c>
      <c r="E48" s="101">
        <v>0</v>
      </c>
      <c r="F48" s="101">
        <v>0</v>
      </c>
      <c r="G48" s="101">
        <f t="shared" si="0"/>
        <v>8000</v>
      </c>
      <c r="H48" s="102"/>
      <c r="I48" s="103"/>
      <c r="J48" s="103"/>
      <c r="K48" s="103"/>
      <c r="L48" s="105"/>
      <c r="M48" s="169"/>
      <c r="N48" s="106"/>
    </row>
    <row r="49" spans="1:14" ht="15.95" hidden="1" customHeight="1" x14ac:dyDescent="0.2">
      <c r="A49" s="100" t="s">
        <v>283</v>
      </c>
      <c r="B49" s="100" t="s">
        <v>222</v>
      </c>
      <c r="C49" s="100"/>
      <c r="D49" s="101">
        <v>103408</v>
      </c>
      <c r="E49" s="101">
        <v>0</v>
      </c>
      <c r="F49" s="101">
        <v>0</v>
      </c>
      <c r="G49" s="101">
        <f t="shared" si="0"/>
        <v>103408</v>
      </c>
      <c r="H49" s="102"/>
      <c r="I49" s="103"/>
      <c r="J49" s="103"/>
      <c r="K49" s="103"/>
      <c r="L49" s="105"/>
      <c r="M49" s="169"/>
      <c r="N49" s="106"/>
    </row>
    <row r="50" spans="1:14" ht="15.95" hidden="1" customHeight="1" x14ac:dyDescent="0.2">
      <c r="A50" s="100" t="s">
        <v>284</v>
      </c>
      <c r="B50" s="100" t="s">
        <v>222</v>
      </c>
      <c r="C50" s="100"/>
      <c r="D50" s="101">
        <v>103408</v>
      </c>
      <c r="E50" s="101">
        <v>0</v>
      </c>
      <c r="F50" s="101">
        <v>0</v>
      </c>
      <c r="G50" s="101">
        <f t="shared" si="0"/>
        <v>103408</v>
      </c>
      <c r="H50" s="102"/>
      <c r="I50" s="103"/>
      <c r="J50" s="103"/>
      <c r="K50" s="103"/>
      <c r="L50" s="105"/>
      <c r="M50" s="169"/>
      <c r="N50" s="106"/>
    </row>
    <row r="51" spans="1:14" ht="15.95" hidden="1" customHeight="1" x14ac:dyDescent="0.2">
      <c r="A51" s="100" t="s">
        <v>285</v>
      </c>
      <c r="B51" s="100" t="s">
        <v>286</v>
      </c>
      <c r="C51" s="100"/>
      <c r="D51" s="101">
        <v>3315</v>
      </c>
      <c r="E51" s="101">
        <v>749</v>
      </c>
      <c r="F51" s="101">
        <v>749</v>
      </c>
      <c r="G51" s="101">
        <f t="shared" si="0"/>
        <v>4813</v>
      </c>
      <c r="H51" s="102"/>
      <c r="I51" s="103"/>
      <c r="J51" s="103"/>
      <c r="K51" s="103"/>
      <c r="L51" s="105"/>
      <c r="M51" s="169"/>
      <c r="N51" s="106"/>
    </row>
    <row r="52" spans="1:14" ht="15.95" hidden="1" customHeight="1" x14ac:dyDescent="0.2">
      <c r="A52" s="100" t="s">
        <v>287</v>
      </c>
      <c r="B52" s="100" t="s">
        <v>217</v>
      </c>
      <c r="C52" s="100"/>
      <c r="D52" s="101">
        <v>0</v>
      </c>
      <c r="E52" s="101">
        <v>40000</v>
      </c>
      <c r="F52" s="101">
        <v>40000</v>
      </c>
      <c r="G52" s="101">
        <f t="shared" si="0"/>
        <v>80000</v>
      </c>
      <c r="H52" s="102"/>
      <c r="I52" s="103"/>
      <c r="J52" s="103"/>
      <c r="K52" s="103"/>
      <c r="L52" s="105"/>
      <c r="M52" s="169"/>
      <c r="N52" s="106"/>
    </row>
    <row r="53" spans="1:14" ht="15.95" hidden="1" customHeight="1" x14ac:dyDescent="0.2">
      <c r="A53" s="100" t="s">
        <v>288</v>
      </c>
      <c r="B53" s="100" t="s">
        <v>289</v>
      </c>
      <c r="C53" s="100"/>
      <c r="D53" s="101">
        <v>0</v>
      </c>
      <c r="E53" s="101">
        <v>13636</v>
      </c>
      <c r="F53" s="101">
        <v>0</v>
      </c>
      <c r="G53" s="101">
        <f t="shared" si="0"/>
        <v>13636</v>
      </c>
      <c r="H53" s="102"/>
      <c r="I53" s="103"/>
      <c r="J53" s="103"/>
      <c r="K53" s="103"/>
      <c r="L53" s="105"/>
      <c r="M53" s="169"/>
      <c r="N53" s="106"/>
    </row>
    <row r="54" spans="1:14" ht="15.95" hidden="1" customHeight="1" x14ac:dyDescent="0.2">
      <c r="A54" s="100" t="s">
        <v>290</v>
      </c>
      <c r="B54" s="100" t="s">
        <v>291</v>
      </c>
      <c r="C54" s="100"/>
      <c r="D54" s="101">
        <v>89355</v>
      </c>
      <c r="E54" s="101">
        <v>0</v>
      </c>
      <c r="F54" s="101">
        <v>0</v>
      </c>
      <c r="G54" s="101">
        <f t="shared" si="0"/>
        <v>89355</v>
      </c>
      <c r="H54" s="102"/>
      <c r="I54" s="103"/>
      <c r="J54" s="103"/>
      <c r="K54" s="103"/>
      <c r="L54" s="105"/>
      <c r="M54" s="169"/>
      <c r="N54" s="106"/>
    </row>
    <row r="55" spans="1:14" ht="15.95" hidden="1" customHeight="1" x14ac:dyDescent="0.2">
      <c r="A55" s="100" t="s">
        <v>292</v>
      </c>
      <c r="B55" s="100" t="s">
        <v>293</v>
      </c>
      <c r="C55" s="100"/>
      <c r="D55" s="101">
        <v>63957</v>
      </c>
      <c r="E55" s="101">
        <v>2691</v>
      </c>
      <c r="F55" s="101">
        <v>2691</v>
      </c>
      <c r="G55" s="101">
        <f t="shared" si="0"/>
        <v>69339</v>
      </c>
      <c r="H55" s="102"/>
      <c r="I55" s="103"/>
      <c r="J55" s="103"/>
      <c r="K55" s="103"/>
      <c r="L55" s="105"/>
      <c r="M55" s="169"/>
      <c r="N55" s="106"/>
    </row>
    <row r="56" spans="1:14" ht="15.95" hidden="1" customHeight="1" x14ac:dyDescent="0.2">
      <c r="A56" s="100" t="s">
        <v>294</v>
      </c>
      <c r="B56" s="100" t="s">
        <v>295</v>
      </c>
      <c r="C56" s="100"/>
      <c r="D56" s="101">
        <v>0</v>
      </c>
      <c r="E56" s="101">
        <v>29</v>
      </c>
      <c r="F56" s="101">
        <v>26</v>
      </c>
      <c r="G56" s="101">
        <f t="shared" si="0"/>
        <v>55</v>
      </c>
      <c r="H56" s="102"/>
      <c r="I56" s="103"/>
      <c r="J56" s="103"/>
      <c r="K56" s="103"/>
      <c r="L56" s="105"/>
      <c r="M56" s="169"/>
      <c r="N56" s="106"/>
    </row>
    <row r="57" spans="1:14" ht="15.95" customHeight="1" x14ac:dyDescent="0.2">
      <c r="A57" s="100" t="s">
        <v>296</v>
      </c>
      <c r="B57" s="100" t="s">
        <v>297</v>
      </c>
      <c r="C57" s="100" t="s">
        <v>60</v>
      </c>
      <c r="D57" s="101">
        <v>0</v>
      </c>
      <c r="E57" s="101">
        <v>6800</v>
      </c>
      <c r="F57" s="101">
        <v>0</v>
      </c>
      <c r="G57" s="101">
        <f t="shared" si="0"/>
        <v>6800</v>
      </c>
      <c r="H57" s="102"/>
      <c r="I57" s="103"/>
      <c r="J57" s="103"/>
      <c r="K57" s="103"/>
      <c r="L57" s="105"/>
      <c r="M57" s="169" t="s">
        <v>194</v>
      </c>
      <c r="N57" s="106"/>
    </row>
    <row r="58" spans="1:14" ht="15.95" hidden="1" customHeight="1" x14ac:dyDescent="0.2">
      <c r="A58" s="100" t="s">
        <v>298</v>
      </c>
      <c r="B58" s="100" t="s">
        <v>289</v>
      </c>
      <c r="C58" s="100"/>
      <c r="D58" s="101">
        <v>0</v>
      </c>
      <c r="E58" s="101">
        <v>8897</v>
      </c>
      <c r="F58" s="101">
        <v>0</v>
      </c>
      <c r="G58" s="101">
        <f t="shared" si="0"/>
        <v>8897</v>
      </c>
      <c r="H58" s="102"/>
      <c r="I58" s="103"/>
      <c r="J58" s="103"/>
      <c r="K58" s="103"/>
      <c r="L58" s="105"/>
      <c r="M58" s="169"/>
      <c r="N58" s="106"/>
    </row>
    <row r="59" spans="1:14" ht="15.95" hidden="1" customHeight="1" x14ac:dyDescent="0.2">
      <c r="A59" s="100" t="s">
        <v>299</v>
      </c>
      <c r="B59" s="100" t="s">
        <v>269</v>
      </c>
      <c r="C59" s="100"/>
      <c r="D59" s="101">
        <v>34377</v>
      </c>
      <c r="E59" s="101">
        <v>0</v>
      </c>
      <c r="F59" s="101">
        <v>0</v>
      </c>
      <c r="G59" s="101">
        <f t="shared" si="0"/>
        <v>34377</v>
      </c>
      <c r="H59" s="102"/>
      <c r="I59" s="103"/>
      <c r="J59" s="103"/>
      <c r="K59" s="103"/>
      <c r="L59" s="105"/>
      <c r="M59" s="169"/>
      <c r="N59" s="106"/>
    </row>
    <row r="60" spans="1:14" ht="15.95" hidden="1" customHeight="1" x14ac:dyDescent="0.2">
      <c r="A60" s="100" t="s">
        <v>300</v>
      </c>
      <c r="B60" s="100" t="s">
        <v>301</v>
      </c>
      <c r="C60" s="100"/>
      <c r="D60" s="101">
        <v>27689.11</v>
      </c>
      <c r="E60" s="101">
        <v>0</v>
      </c>
      <c r="F60" s="101">
        <v>0</v>
      </c>
      <c r="G60" s="101">
        <f t="shared" si="0"/>
        <v>27689.11</v>
      </c>
      <c r="H60" s="102"/>
      <c r="I60" s="103"/>
      <c r="J60" s="103"/>
      <c r="K60" s="103"/>
      <c r="L60" s="105"/>
      <c r="M60" s="169"/>
      <c r="N60" s="106"/>
    </row>
    <row r="61" spans="1:14" ht="15.95" hidden="1" customHeight="1" x14ac:dyDescent="0.2">
      <c r="A61" s="100" t="s">
        <v>302</v>
      </c>
      <c r="B61" s="100" t="s">
        <v>303</v>
      </c>
      <c r="C61" s="100"/>
      <c r="D61" s="101">
        <v>0</v>
      </c>
      <c r="E61" s="101">
        <v>17912</v>
      </c>
      <c r="F61" s="101">
        <v>0</v>
      </c>
      <c r="G61" s="101">
        <f t="shared" si="0"/>
        <v>17912</v>
      </c>
      <c r="H61" s="102"/>
      <c r="I61" s="103"/>
      <c r="J61" s="103"/>
      <c r="K61" s="103"/>
      <c r="L61" s="105"/>
      <c r="M61" s="169"/>
      <c r="N61" s="106"/>
    </row>
    <row r="62" spans="1:14" ht="15.95" hidden="1" customHeight="1" x14ac:dyDescent="0.2">
      <c r="A62" s="100" t="s">
        <v>304</v>
      </c>
      <c r="B62" s="100" t="s">
        <v>305</v>
      </c>
      <c r="C62" s="100"/>
      <c r="D62" s="101">
        <v>14292</v>
      </c>
      <c r="E62" s="101">
        <v>0</v>
      </c>
      <c r="F62" s="101">
        <v>0</v>
      </c>
      <c r="G62" s="101">
        <f t="shared" si="0"/>
        <v>14292</v>
      </c>
      <c r="H62" s="102"/>
      <c r="I62" s="103"/>
      <c r="J62" s="103"/>
      <c r="K62" s="103"/>
      <c r="L62" s="105"/>
      <c r="M62" s="169"/>
      <c r="N62" s="106"/>
    </row>
    <row r="63" spans="1:14" ht="15.95" hidden="1" customHeight="1" x14ac:dyDescent="0.2">
      <c r="D63" s="90"/>
      <c r="G63" s="90" t="s">
        <v>70</v>
      </c>
      <c r="I63" s="90">
        <v>0.3</v>
      </c>
      <c r="J63" s="90">
        <v>0.3</v>
      </c>
      <c r="K63" s="90">
        <v>0.4</v>
      </c>
    </row>
    <row r="64" spans="1:14" ht="15.95" hidden="1" customHeight="1" x14ac:dyDescent="0.2">
      <c r="D64" s="137">
        <f>SUBTOTAL(9,D3:D63)</f>
        <v>710486.73</v>
      </c>
    </row>
    <row r="65" spans="1:11" ht="15.95" hidden="1" customHeight="1" x14ac:dyDescent="0.2"/>
    <row r="66" spans="1:11" ht="15.95" hidden="1" customHeight="1" x14ac:dyDescent="0.2">
      <c r="A66" s="90" t="s">
        <v>66</v>
      </c>
      <c r="B66" s="90" t="s">
        <v>2</v>
      </c>
      <c r="C66" s="90" t="s">
        <v>12</v>
      </c>
      <c r="D66" s="133" t="s">
        <v>63</v>
      </c>
      <c r="E66" s="113" t="s">
        <v>64</v>
      </c>
      <c r="F66" s="113" t="s">
        <v>65</v>
      </c>
      <c r="G66" s="113" t="s">
        <v>62</v>
      </c>
      <c r="H66" s="113"/>
      <c r="I66" s="113"/>
      <c r="J66" s="113"/>
      <c r="K66" s="113"/>
    </row>
    <row r="67" spans="1:11" ht="15.95" hidden="1" customHeight="1" x14ac:dyDescent="0.2">
      <c r="A67" s="90" t="s">
        <v>9</v>
      </c>
      <c r="D67" s="133">
        <f>SUM(D3:D66)</f>
        <v>2329046.5700000003</v>
      </c>
      <c r="E67" s="114">
        <f>SUM(E3:E62)</f>
        <v>698827.08000000007</v>
      </c>
      <c r="F67" s="114">
        <f>SUM(F3:F62)</f>
        <v>311778.59999999998</v>
      </c>
      <c r="G67" s="114">
        <f>SUM(G3:G62)</f>
        <v>2629165.5199999996</v>
      </c>
      <c r="H67" s="115"/>
      <c r="I67" s="115"/>
      <c r="J67" s="115"/>
      <c r="K67" s="115"/>
    </row>
    <row r="68" spans="1:11" ht="15.95" hidden="1" customHeight="1" x14ac:dyDescent="0.2">
      <c r="A68" s="90" t="s">
        <v>59</v>
      </c>
      <c r="D68" s="133">
        <f>SUMIF($M3:$M62,"Y",D3:D62)</f>
        <v>710486.73</v>
      </c>
      <c r="E68" s="113">
        <f>SUMIF($M3:$M62,"Y",E3:E62)</f>
        <v>423627.20999999996</v>
      </c>
      <c r="F68" s="113">
        <f>SUMIF($M3:$M62,"Y",F3:F62)</f>
        <v>134110.6</v>
      </c>
      <c r="G68" s="113">
        <f>SUMIF($M3:$M62,"Y",G3:G62)</f>
        <v>1268224.54</v>
      </c>
      <c r="H68" s="113"/>
      <c r="I68" s="113"/>
      <c r="J68" s="113"/>
      <c r="K68" s="113"/>
    </row>
    <row r="69" spans="1:11" ht="15.95" hidden="1" customHeight="1" x14ac:dyDescent="0.2"/>
    <row r="70" spans="1:11" ht="15.95" hidden="1" customHeight="1" x14ac:dyDescent="0.2">
      <c r="A70" s="90" t="s">
        <v>306</v>
      </c>
      <c r="D70" s="133">
        <v>1267510.68</v>
      </c>
      <c r="E70" s="116">
        <v>636581.16</v>
      </c>
      <c r="F70" s="116">
        <v>601236.66</v>
      </c>
    </row>
    <row r="71" spans="1:11" ht="15.95" hidden="1" customHeight="1" x14ac:dyDescent="0.2">
      <c r="A71" s="90" t="s">
        <v>124</v>
      </c>
      <c r="D71" s="133">
        <f>D68+D70</f>
        <v>1977997.41</v>
      </c>
      <c r="E71" s="113">
        <f t="shared" ref="E71:F71" si="1">E68+E70</f>
        <v>1060208.3700000001</v>
      </c>
      <c r="F71" s="113">
        <f t="shared" si="1"/>
        <v>735347.26</v>
      </c>
    </row>
    <row r="72" spans="1:11" ht="15.95" customHeight="1" x14ac:dyDescent="0.2">
      <c r="D72" s="538">
        <f>SUBTOTAL(9,D3:D57)</f>
        <v>710486.73</v>
      </c>
      <c r="E72" s="538">
        <f>SUBTOTAL(9,E3:E57)</f>
        <v>423627.20999999996</v>
      </c>
    </row>
  </sheetData>
  <autoFilter ref="M1:M71">
    <filterColumn colId="0">
      <filters>
        <filter val="Y"/>
      </filters>
    </filterColumn>
  </autoFilter>
  <pageMargins left="0.2" right="0.2" top="0.75" bottom="0.75" header="0.3" footer="0.3"/>
  <pageSetup paperSize="5" scale="45" orientation="landscape" r:id="rId1"/>
  <headerFooter>
    <oddFooter>&amp;L&amp;Z&amp;F&amp;R&amp;D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defaultGridColor="0" topLeftCell="A54" colorId="48" workbookViewId="0">
      <selection activeCell="D76" sqref="D76"/>
    </sheetView>
  </sheetViews>
  <sheetFormatPr defaultRowHeight="12" customHeight="1" x14ac:dyDescent="0.25"/>
  <cols>
    <col min="1" max="1" width="4.5703125" style="412" customWidth="1"/>
    <col min="2" max="2" width="53.140625" style="127" customWidth="1"/>
    <col min="3" max="3" width="15.42578125" style="127" customWidth="1"/>
    <col min="4" max="4" width="10.28515625" style="127" customWidth="1"/>
    <col min="5" max="5" width="9.5703125" style="288" customWidth="1"/>
    <col min="6" max="8" width="9.7109375" style="284" customWidth="1"/>
    <col min="9" max="9" width="7.5703125" style="571" customWidth="1"/>
    <col min="10" max="10" width="7" style="572" customWidth="1"/>
    <col min="11" max="11" width="8.28515625" style="572" customWidth="1"/>
    <col min="12" max="12" width="6.85546875" style="572" customWidth="1"/>
    <col min="13" max="13" width="8.140625" style="572" customWidth="1"/>
    <col min="14" max="14" width="9.140625" style="127"/>
    <col min="19" max="16384" width="9.140625" style="127"/>
  </cols>
  <sheetData>
    <row r="1" spans="1:18" ht="12" customHeight="1" x14ac:dyDescent="0.25">
      <c r="A1" s="559"/>
      <c r="B1" s="560"/>
      <c r="C1" s="561"/>
      <c r="D1" s="561"/>
      <c r="E1" s="562"/>
      <c r="F1" s="563"/>
      <c r="G1" s="563"/>
      <c r="H1" s="563"/>
      <c r="I1" s="564"/>
      <c r="J1" s="905" t="s">
        <v>409</v>
      </c>
      <c r="K1" s="906"/>
      <c r="L1" s="906"/>
      <c r="M1" s="907"/>
      <c r="P1" s="127"/>
      <c r="Q1" s="127"/>
      <c r="R1" s="127"/>
    </row>
    <row r="2" spans="1:18" ht="26.25" customHeight="1" x14ac:dyDescent="0.25">
      <c r="A2" s="403" t="s">
        <v>620</v>
      </c>
      <c r="B2" s="404" t="s">
        <v>0</v>
      </c>
      <c r="C2" s="405" t="s">
        <v>4</v>
      </c>
      <c r="D2" s="405" t="s">
        <v>3</v>
      </c>
      <c r="E2" s="406" t="s">
        <v>621</v>
      </c>
      <c r="F2" s="407" t="s">
        <v>622</v>
      </c>
      <c r="G2" s="407" t="s">
        <v>623</v>
      </c>
      <c r="H2" s="408" t="s">
        <v>1</v>
      </c>
      <c r="I2" s="409" t="s">
        <v>83</v>
      </c>
      <c r="J2" s="569" t="s">
        <v>505</v>
      </c>
      <c r="K2" s="570" t="s">
        <v>506</v>
      </c>
      <c r="L2" s="569" t="s">
        <v>743</v>
      </c>
      <c r="M2" s="570" t="s">
        <v>97</v>
      </c>
      <c r="P2" s="127"/>
      <c r="Q2" s="127"/>
      <c r="R2" s="127"/>
    </row>
    <row r="4" spans="1:18" s="565" customFormat="1" ht="12" customHeight="1" x14ac:dyDescent="0.2">
      <c r="A4" s="419">
        <v>43</v>
      </c>
      <c r="B4" s="285" t="s">
        <v>680</v>
      </c>
      <c r="C4" s="285" t="s">
        <v>681</v>
      </c>
      <c r="D4" s="285" t="s">
        <v>60</v>
      </c>
      <c r="E4" s="289">
        <v>9810</v>
      </c>
      <c r="F4" s="286">
        <v>0</v>
      </c>
      <c r="G4" s="286">
        <v>0</v>
      </c>
      <c r="H4" s="284">
        <f t="shared" ref="H4:H34" si="0">SUM(E4:G4)</f>
        <v>9810</v>
      </c>
      <c r="I4" s="415" t="s">
        <v>194</v>
      </c>
      <c r="J4" s="416" t="s">
        <v>102</v>
      </c>
      <c r="K4" s="416" t="s">
        <v>366</v>
      </c>
      <c r="L4" s="416">
        <v>440000</v>
      </c>
      <c r="M4" s="416" t="s">
        <v>682</v>
      </c>
      <c r="N4" s="566" t="s">
        <v>333</v>
      </c>
    </row>
    <row r="5" spans="1:18" s="565" customFormat="1" ht="12" customHeight="1" x14ac:dyDescent="0.2">
      <c r="A5" s="412">
        <v>48</v>
      </c>
      <c r="B5" s="127" t="s">
        <v>692</v>
      </c>
      <c r="C5" s="127" t="s">
        <v>72</v>
      </c>
      <c r="D5" s="127" t="s">
        <v>60</v>
      </c>
      <c r="E5" s="288">
        <v>14878</v>
      </c>
      <c r="F5" s="284">
        <v>0</v>
      </c>
      <c r="G5" s="284">
        <v>0</v>
      </c>
      <c r="H5" s="284">
        <f t="shared" si="0"/>
        <v>14878</v>
      </c>
      <c r="I5" s="417" t="s">
        <v>194</v>
      </c>
      <c r="J5" s="416" t="s">
        <v>102</v>
      </c>
      <c r="K5" s="416" t="s">
        <v>562</v>
      </c>
      <c r="L5" s="416">
        <v>440000</v>
      </c>
      <c r="M5" s="418" t="s">
        <v>693</v>
      </c>
    </row>
    <row r="6" spans="1:18" s="565" customFormat="1" ht="12" customHeight="1" x14ac:dyDescent="0.2">
      <c r="A6" s="412">
        <v>52</v>
      </c>
      <c r="B6" s="127" t="s">
        <v>694</v>
      </c>
      <c r="C6" s="127" t="s">
        <v>72</v>
      </c>
      <c r="D6" s="127" t="s">
        <v>60</v>
      </c>
      <c r="E6" s="288">
        <v>4892.58</v>
      </c>
      <c r="F6" s="284">
        <v>0</v>
      </c>
      <c r="G6" s="284">
        <v>0</v>
      </c>
      <c r="H6" s="284">
        <f t="shared" si="0"/>
        <v>4892.58</v>
      </c>
      <c r="I6" s="417" t="s">
        <v>194</v>
      </c>
      <c r="J6" s="416" t="s">
        <v>102</v>
      </c>
      <c r="K6" s="416" t="s">
        <v>562</v>
      </c>
      <c r="L6" s="416">
        <v>440000</v>
      </c>
      <c r="M6" s="418" t="s">
        <v>695</v>
      </c>
    </row>
    <row r="7" spans="1:18" s="565" customFormat="1" ht="12" customHeight="1" x14ac:dyDescent="0.2">
      <c r="A7" s="412">
        <v>6</v>
      </c>
      <c r="B7" s="127" t="s">
        <v>633</v>
      </c>
      <c r="C7" s="127" t="s">
        <v>336</v>
      </c>
      <c r="D7" s="127" t="s">
        <v>60</v>
      </c>
      <c r="E7" s="288">
        <v>64182.64</v>
      </c>
      <c r="F7" s="284">
        <v>53973.48</v>
      </c>
      <c r="G7" s="284">
        <v>43764.32</v>
      </c>
      <c r="H7" s="284">
        <f t="shared" si="0"/>
        <v>161920.44</v>
      </c>
      <c r="I7" s="417" t="s">
        <v>194</v>
      </c>
      <c r="J7" s="416" t="s">
        <v>102</v>
      </c>
      <c r="K7" s="416" t="s">
        <v>367</v>
      </c>
      <c r="L7" s="416">
        <v>440000</v>
      </c>
      <c r="M7" s="418" t="s">
        <v>634</v>
      </c>
    </row>
    <row r="8" spans="1:18" s="565" customFormat="1" ht="12" customHeight="1" x14ac:dyDescent="0.2">
      <c r="A8" s="412">
        <v>8</v>
      </c>
      <c r="B8" s="127" t="s">
        <v>635</v>
      </c>
      <c r="C8" s="127" t="s">
        <v>336</v>
      </c>
      <c r="D8" s="127" t="s">
        <v>60</v>
      </c>
      <c r="E8" s="288">
        <v>20519</v>
      </c>
      <c r="F8" s="284">
        <v>41749</v>
      </c>
      <c r="G8" s="284">
        <v>20519</v>
      </c>
      <c r="H8" s="284">
        <f t="shared" si="0"/>
        <v>82787</v>
      </c>
      <c r="I8" s="417" t="s">
        <v>194</v>
      </c>
      <c r="J8" s="416" t="s">
        <v>102</v>
      </c>
      <c r="K8" s="416" t="s">
        <v>367</v>
      </c>
      <c r="L8" s="416">
        <v>440000</v>
      </c>
      <c r="M8" s="418" t="s">
        <v>636</v>
      </c>
    </row>
    <row r="9" spans="1:18" s="565" customFormat="1" ht="12" customHeight="1" x14ac:dyDescent="0.2">
      <c r="A9" s="412">
        <v>19</v>
      </c>
      <c r="B9" s="127" t="s">
        <v>649</v>
      </c>
      <c r="C9" s="127" t="s">
        <v>336</v>
      </c>
      <c r="D9" s="127" t="s">
        <v>60</v>
      </c>
      <c r="E9" s="288">
        <v>5900</v>
      </c>
      <c r="F9" s="284">
        <v>0</v>
      </c>
      <c r="G9" s="284">
        <v>0</v>
      </c>
      <c r="H9" s="284">
        <f t="shared" si="0"/>
        <v>5900</v>
      </c>
      <c r="I9" s="417" t="s">
        <v>194</v>
      </c>
      <c r="J9" s="416" t="s">
        <v>102</v>
      </c>
      <c r="K9" s="416" t="s">
        <v>367</v>
      </c>
      <c r="L9" s="416">
        <v>440000</v>
      </c>
      <c r="M9" s="418" t="s">
        <v>650</v>
      </c>
    </row>
    <row r="10" spans="1:18" s="565" customFormat="1" ht="12" customHeight="1" x14ac:dyDescent="0.2">
      <c r="A10" s="412">
        <v>32</v>
      </c>
      <c r="B10" s="127" t="s">
        <v>664</v>
      </c>
      <c r="C10" s="127" t="s">
        <v>336</v>
      </c>
      <c r="D10" s="127" t="s">
        <v>60</v>
      </c>
      <c r="E10" s="288">
        <v>32940</v>
      </c>
      <c r="F10" s="284">
        <v>0</v>
      </c>
      <c r="G10" s="284">
        <v>0</v>
      </c>
      <c r="H10" s="284">
        <f t="shared" si="0"/>
        <v>32940</v>
      </c>
      <c r="I10" s="417" t="s">
        <v>194</v>
      </c>
      <c r="J10" s="416" t="s">
        <v>102</v>
      </c>
      <c r="K10" s="416" t="s">
        <v>367</v>
      </c>
      <c r="L10" s="416">
        <v>440000</v>
      </c>
      <c r="M10" s="418" t="s">
        <v>665</v>
      </c>
    </row>
    <row r="11" spans="1:18" s="565" customFormat="1" ht="12" customHeight="1" x14ac:dyDescent="0.2">
      <c r="A11" s="412">
        <v>39</v>
      </c>
      <c r="B11" s="127" t="s">
        <v>672</v>
      </c>
      <c r="C11" s="127" t="s">
        <v>336</v>
      </c>
      <c r="D11" s="127" t="s">
        <v>60</v>
      </c>
      <c r="E11" s="288">
        <v>70195</v>
      </c>
      <c r="F11" s="284">
        <v>1980</v>
      </c>
      <c r="G11" s="284">
        <v>1980</v>
      </c>
      <c r="H11" s="284">
        <f t="shared" si="0"/>
        <v>74155</v>
      </c>
      <c r="I11" s="417" t="s">
        <v>194</v>
      </c>
      <c r="J11" s="416" t="s">
        <v>102</v>
      </c>
      <c r="K11" s="416" t="s">
        <v>367</v>
      </c>
      <c r="L11" s="416">
        <v>440000</v>
      </c>
      <c r="M11" s="418" t="s">
        <v>673</v>
      </c>
    </row>
    <row r="12" spans="1:18" s="565" customFormat="1" ht="12" customHeight="1" x14ac:dyDescent="0.2">
      <c r="A12" s="412">
        <v>42</v>
      </c>
      <c r="B12" s="127" t="s">
        <v>678</v>
      </c>
      <c r="C12" s="127" t="s">
        <v>336</v>
      </c>
      <c r="D12" s="127" t="s">
        <v>60</v>
      </c>
      <c r="E12" s="288">
        <v>114400</v>
      </c>
      <c r="F12" s="284">
        <v>0</v>
      </c>
      <c r="G12" s="284">
        <v>0</v>
      </c>
      <c r="H12" s="284">
        <f t="shared" si="0"/>
        <v>114400</v>
      </c>
      <c r="I12" s="417" t="s">
        <v>194</v>
      </c>
      <c r="J12" s="416" t="s">
        <v>102</v>
      </c>
      <c r="K12" s="418" t="s">
        <v>367</v>
      </c>
      <c r="L12" s="416">
        <v>440000</v>
      </c>
      <c r="M12" s="418" t="s">
        <v>679</v>
      </c>
    </row>
    <row r="13" spans="1:18" s="565" customFormat="1" ht="12" customHeight="1" x14ac:dyDescent="0.2">
      <c r="A13" s="412">
        <v>25</v>
      </c>
      <c r="B13" s="127" t="s">
        <v>655</v>
      </c>
      <c r="C13" s="127" t="s">
        <v>551</v>
      </c>
      <c r="D13" s="127" t="s">
        <v>60</v>
      </c>
      <c r="E13" s="288">
        <v>46000</v>
      </c>
      <c r="F13" s="284">
        <v>0</v>
      </c>
      <c r="G13" s="284">
        <v>0</v>
      </c>
      <c r="H13" s="284">
        <f t="shared" si="0"/>
        <v>46000</v>
      </c>
      <c r="I13" s="417" t="s">
        <v>194</v>
      </c>
      <c r="J13" s="416" t="s">
        <v>102</v>
      </c>
      <c r="K13" s="418" t="s">
        <v>553</v>
      </c>
      <c r="L13" s="416">
        <v>440000</v>
      </c>
      <c r="M13" s="418" t="s">
        <v>656</v>
      </c>
    </row>
    <row r="14" spans="1:18" s="565" customFormat="1" ht="12" customHeight="1" x14ac:dyDescent="0.2">
      <c r="A14" s="412">
        <v>9</v>
      </c>
      <c r="B14" s="127" t="s">
        <v>637</v>
      </c>
      <c r="C14" s="127" t="s">
        <v>474</v>
      </c>
      <c r="D14" s="127" t="s">
        <v>60</v>
      </c>
      <c r="E14" s="288">
        <v>36389</v>
      </c>
      <c r="F14" s="284">
        <v>0</v>
      </c>
      <c r="G14" s="284">
        <v>0</v>
      </c>
      <c r="H14" s="284">
        <f t="shared" si="0"/>
        <v>36389</v>
      </c>
      <c r="I14" s="417" t="s">
        <v>194</v>
      </c>
      <c r="J14" s="416" t="s">
        <v>102</v>
      </c>
      <c r="K14" s="418" t="s">
        <v>366</v>
      </c>
      <c r="L14" s="416">
        <v>440000</v>
      </c>
      <c r="M14" s="418" t="s">
        <v>638</v>
      </c>
      <c r="N14" s="566" t="s">
        <v>333</v>
      </c>
    </row>
    <row r="15" spans="1:18" s="565" customFormat="1" ht="12" customHeight="1" x14ac:dyDescent="0.2">
      <c r="A15" s="412">
        <v>13</v>
      </c>
      <c r="B15" s="127" t="s">
        <v>639</v>
      </c>
      <c r="C15" s="127" t="s">
        <v>474</v>
      </c>
      <c r="D15" s="127" t="s">
        <v>60</v>
      </c>
      <c r="E15" s="288">
        <v>1300</v>
      </c>
      <c r="F15" s="284">
        <v>0</v>
      </c>
      <c r="G15" s="284">
        <v>0</v>
      </c>
      <c r="H15" s="284">
        <f t="shared" si="0"/>
        <v>1300</v>
      </c>
      <c r="I15" s="417" t="s">
        <v>194</v>
      </c>
      <c r="J15" s="416" t="s">
        <v>102</v>
      </c>
      <c r="K15" s="418" t="s">
        <v>366</v>
      </c>
      <c r="L15" s="416">
        <v>440000</v>
      </c>
      <c r="M15" s="418" t="s">
        <v>640</v>
      </c>
      <c r="N15" s="566" t="s">
        <v>333</v>
      </c>
    </row>
    <row r="16" spans="1:18" s="565" customFormat="1" ht="12" customHeight="1" x14ac:dyDescent="0.2">
      <c r="A16" s="412">
        <v>14</v>
      </c>
      <c r="B16" s="127" t="s">
        <v>641</v>
      </c>
      <c r="C16" s="127" t="s">
        <v>474</v>
      </c>
      <c r="D16" s="127" t="s">
        <v>60</v>
      </c>
      <c r="E16" s="288">
        <v>1210</v>
      </c>
      <c r="F16" s="284">
        <v>0</v>
      </c>
      <c r="G16" s="284">
        <v>0</v>
      </c>
      <c r="H16" s="284">
        <f t="shared" si="0"/>
        <v>1210</v>
      </c>
      <c r="I16" s="417" t="s">
        <v>194</v>
      </c>
      <c r="J16" s="416" t="s">
        <v>102</v>
      </c>
      <c r="K16" s="418" t="s">
        <v>366</v>
      </c>
      <c r="L16" s="416">
        <v>440000</v>
      </c>
      <c r="M16" s="418" t="s">
        <v>642</v>
      </c>
      <c r="N16" s="566" t="s">
        <v>333</v>
      </c>
    </row>
    <row r="17" spans="1:15" s="565" customFormat="1" ht="12.75" x14ac:dyDescent="0.2">
      <c r="A17" s="412">
        <v>15</v>
      </c>
      <c r="B17" s="127" t="s">
        <v>643</v>
      </c>
      <c r="C17" s="127" t="s">
        <v>474</v>
      </c>
      <c r="D17" s="127" t="s">
        <v>60</v>
      </c>
      <c r="E17" s="288">
        <v>500</v>
      </c>
      <c r="F17" s="284">
        <v>100</v>
      </c>
      <c r="G17" s="284">
        <v>0</v>
      </c>
      <c r="H17" s="284">
        <f t="shared" si="0"/>
        <v>600</v>
      </c>
      <c r="I17" s="417" t="s">
        <v>194</v>
      </c>
      <c r="J17" s="416" t="s">
        <v>102</v>
      </c>
      <c r="K17" s="418" t="s">
        <v>366</v>
      </c>
      <c r="L17" s="416">
        <v>440000</v>
      </c>
      <c r="M17" s="418" t="s">
        <v>644</v>
      </c>
      <c r="N17" s="566" t="s">
        <v>333</v>
      </c>
      <c r="O17" s="565" t="s">
        <v>744</v>
      </c>
    </row>
    <row r="18" spans="1:15" s="565" customFormat="1" ht="12.75" x14ac:dyDescent="0.2">
      <c r="A18" s="412">
        <v>16</v>
      </c>
      <c r="B18" s="127" t="s">
        <v>645</v>
      </c>
      <c r="C18" s="127" t="s">
        <v>474</v>
      </c>
      <c r="D18" s="127" t="s">
        <v>60</v>
      </c>
      <c r="E18" s="288">
        <v>1412</v>
      </c>
      <c r="F18" s="284">
        <v>0</v>
      </c>
      <c r="G18" s="284">
        <v>0</v>
      </c>
      <c r="H18" s="284">
        <f t="shared" si="0"/>
        <v>1412</v>
      </c>
      <c r="I18" s="417" t="s">
        <v>194</v>
      </c>
      <c r="J18" s="416" t="s">
        <v>102</v>
      </c>
      <c r="K18" s="418" t="s">
        <v>366</v>
      </c>
      <c r="L18" s="416">
        <v>440000</v>
      </c>
      <c r="M18" s="418" t="s">
        <v>646</v>
      </c>
      <c r="N18" s="566" t="s">
        <v>333</v>
      </c>
      <c r="O18" s="565" t="s">
        <v>745</v>
      </c>
    </row>
    <row r="19" spans="1:15" s="565" customFormat="1" ht="12.75" x14ac:dyDescent="0.2">
      <c r="A19" s="412">
        <v>18</v>
      </c>
      <c r="B19" s="127" t="s">
        <v>647</v>
      </c>
      <c r="C19" s="127" t="s">
        <v>474</v>
      </c>
      <c r="D19" s="127" t="s">
        <v>60</v>
      </c>
      <c r="E19" s="288">
        <v>510</v>
      </c>
      <c r="F19" s="284">
        <v>0</v>
      </c>
      <c r="G19" s="284">
        <v>0</v>
      </c>
      <c r="H19" s="284">
        <f t="shared" si="0"/>
        <v>510</v>
      </c>
      <c r="I19" s="417" t="s">
        <v>194</v>
      </c>
      <c r="J19" s="416" t="s">
        <v>102</v>
      </c>
      <c r="K19" s="418" t="s">
        <v>366</v>
      </c>
      <c r="L19" s="416">
        <v>440000</v>
      </c>
      <c r="M19" s="418" t="s">
        <v>648</v>
      </c>
      <c r="N19" s="566" t="s">
        <v>333</v>
      </c>
    </row>
    <row r="20" spans="1:15" s="565" customFormat="1" ht="12.75" x14ac:dyDescent="0.2">
      <c r="A20" s="412">
        <v>30</v>
      </c>
      <c r="B20" s="127" t="s">
        <v>292</v>
      </c>
      <c r="C20" s="127" t="s">
        <v>328</v>
      </c>
      <c r="D20" s="127" t="s">
        <v>60</v>
      </c>
      <c r="E20" s="288">
        <v>96694</v>
      </c>
      <c r="F20" s="284">
        <v>2691</v>
      </c>
      <c r="G20" s="284">
        <v>2691</v>
      </c>
      <c r="H20" s="284">
        <f t="shared" si="0"/>
        <v>102076</v>
      </c>
      <c r="I20" s="417" t="s">
        <v>194</v>
      </c>
      <c r="J20" s="416" t="s">
        <v>102</v>
      </c>
      <c r="K20" s="418" t="s">
        <v>364</v>
      </c>
      <c r="L20" s="416">
        <v>440000</v>
      </c>
      <c r="M20" s="418" t="s">
        <v>661</v>
      </c>
    </row>
    <row r="21" spans="1:15" s="565" customFormat="1" ht="12.75" x14ac:dyDescent="0.2">
      <c r="A21" s="412">
        <v>31</v>
      </c>
      <c r="B21" s="127" t="s">
        <v>662</v>
      </c>
      <c r="C21" s="127" t="s">
        <v>328</v>
      </c>
      <c r="D21" s="127" t="s">
        <v>60</v>
      </c>
      <c r="E21" s="288">
        <v>12000</v>
      </c>
      <c r="F21" s="284">
        <v>2000</v>
      </c>
      <c r="G21" s="284">
        <v>0</v>
      </c>
      <c r="H21" s="284">
        <f t="shared" si="0"/>
        <v>14000</v>
      </c>
      <c r="I21" s="417" t="s">
        <v>194</v>
      </c>
      <c r="J21" s="416" t="s">
        <v>102</v>
      </c>
      <c r="K21" s="418" t="s">
        <v>364</v>
      </c>
      <c r="L21" s="416">
        <v>440000</v>
      </c>
      <c r="M21" s="418" t="s">
        <v>663</v>
      </c>
    </row>
    <row r="22" spans="1:15" s="565" customFormat="1" ht="12.75" x14ac:dyDescent="0.2">
      <c r="A22" s="412">
        <v>33</v>
      </c>
      <c r="B22" s="127" t="s">
        <v>666</v>
      </c>
      <c r="C22" s="127" t="s">
        <v>328</v>
      </c>
      <c r="D22" s="127" t="s">
        <v>60</v>
      </c>
      <c r="E22" s="421">
        <v>2776</v>
      </c>
      <c r="F22" s="284">
        <v>0</v>
      </c>
      <c r="G22" s="284">
        <v>0</v>
      </c>
      <c r="H22" s="284">
        <f t="shared" si="0"/>
        <v>2776</v>
      </c>
      <c r="I22" s="417" t="s">
        <v>194</v>
      </c>
      <c r="J22" s="416" t="s">
        <v>102</v>
      </c>
      <c r="K22" s="418" t="s">
        <v>364</v>
      </c>
      <c r="L22" s="416">
        <v>440000</v>
      </c>
      <c r="M22" s="418" t="s">
        <v>667</v>
      </c>
    </row>
    <row r="23" spans="1:15" s="565" customFormat="1" ht="12.75" x14ac:dyDescent="0.2">
      <c r="A23" s="412">
        <v>1</v>
      </c>
      <c r="B23" s="127" t="s">
        <v>624</v>
      </c>
      <c r="C23" s="127" t="s">
        <v>196</v>
      </c>
      <c r="D23" s="127" t="s">
        <v>60</v>
      </c>
      <c r="E23" s="288">
        <v>17000</v>
      </c>
      <c r="F23" s="284">
        <v>0</v>
      </c>
      <c r="G23" s="284">
        <v>0</v>
      </c>
      <c r="H23" s="284">
        <f t="shared" si="0"/>
        <v>17000</v>
      </c>
      <c r="I23" s="417" t="s">
        <v>194</v>
      </c>
      <c r="J23" s="416" t="s">
        <v>102</v>
      </c>
      <c r="K23" s="418" t="s">
        <v>363</v>
      </c>
      <c r="L23" s="416">
        <v>440000</v>
      </c>
      <c r="M23" s="418" t="s">
        <v>625</v>
      </c>
    </row>
    <row r="24" spans="1:15" s="565" customFormat="1" ht="12.75" x14ac:dyDescent="0.2">
      <c r="A24" s="412">
        <v>2</v>
      </c>
      <c r="B24" s="127" t="s">
        <v>626</v>
      </c>
      <c r="C24" s="127" t="s">
        <v>196</v>
      </c>
      <c r="D24" s="127" t="s">
        <v>60</v>
      </c>
      <c r="E24" s="288">
        <v>11500</v>
      </c>
      <c r="F24" s="284">
        <v>0</v>
      </c>
      <c r="G24" s="284">
        <v>0</v>
      </c>
      <c r="H24" s="284">
        <f t="shared" si="0"/>
        <v>11500</v>
      </c>
      <c r="I24" s="417" t="s">
        <v>194</v>
      </c>
      <c r="J24" s="416" t="s">
        <v>102</v>
      </c>
      <c r="K24" s="418" t="s">
        <v>363</v>
      </c>
      <c r="L24" s="416">
        <v>440000</v>
      </c>
      <c r="M24" s="418" t="s">
        <v>627</v>
      </c>
    </row>
    <row r="25" spans="1:15" s="565" customFormat="1" ht="12.75" x14ac:dyDescent="0.2">
      <c r="A25" s="412">
        <v>3</v>
      </c>
      <c r="B25" s="127" t="s">
        <v>628</v>
      </c>
      <c r="C25" s="127" t="s">
        <v>196</v>
      </c>
      <c r="D25" s="127" t="s">
        <v>60</v>
      </c>
      <c r="E25" s="288">
        <v>4000</v>
      </c>
      <c r="F25" s="284">
        <v>0</v>
      </c>
      <c r="G25" s="284">
        <v>0</v>
      </c>
      <c r="H25" s="284">
        <f t="shared" si="0"/>
        <v>4000</v>
      </c>
      <c r="I25" s="417" t="s">
        <v>194</v>
      </c>
      <c r="J25" s="416" t="s">
        <v>102</v>
      </c>
      <c r="K25" s="418" t="s">
        <v>363</v>
      </c>
      <c r="L25" s="416">
        <v>440000</v>
      </c>
      <c r="M25" s="418" t="s">
        <v>629</v>
      </c>
    </row>
    <row r="26" spans="1:15" s="565" customFormat="1" ht="12.75" x14ac:dyDescent="0.2">
      <c r="A26" s="412">
        <v>40</v>
      </c>
      <c r="B26" s="127" t="s">
        <v>674</v>
      </c>
      <c r="C26" s="127" t="s">
        <v>196</v>
      </c>
      <c r="D26" s="127" t="s">
        <v>60</v>
      </c>
      <c r="E26" s="421">
        <v>2225</v>
      </c>
      <c r="F26" s="284">
        <v>0</v>
      </c>
      <c r="G26" s="284">
        <v>0</v>
      </c>
      <c r="H26" s="284">
        <f t="shared" si="0"/>
        <v>2225</v>
      </c>
      <c r="I26" s="417" t="s">
        <v>194</v>
      </c>
      <c r="J26" s="416" t="s">
        <v>102</v>
      </c>
      <c r="K26" s="418" t="s">
        <v>363</v>
      </c>
      <c r="L26" s="416">
        <v>440000</v>
      </c>
      <c r="M26" s="418" t="s">
        <v>675</v>
      </c>
    </row>
    <row r="27" spans="1:15" s="565" customFormat="1" ht="12.75" x14ac:dyDescent="0.2">
      <c r="A27" s="412">
        <v>41</v>
      </c>
      <c r="B27" s="127" t="s">
        <v>676</v>
      </c>
      <c r="C27" s="127" t="s">
        <v>196</v>
      </c>
      <c r="D27" s="127" t="s">
        <v>60</v>
      </c>
      <c r="E27" s="288">
        <v>41951</v>
      </c>
      <c r="F27" s="284">
        <v>0</v>
      </c>
      <c r="G27" s="284">
        <v>0</v>
      </c>
      <c r="H27" s="284">
        <f t="shared" si="0"/>
        <v>41951</v>
      </c>
      <c r="I27" s="417" t="s">
        <v>194</v>
      </c>
      <c r="J27" s="416" t="s">
        <v>102</v>
      </c>
      <c r="K27" s="418" t="s">
        <v>363</v>
      </c>
      <c r="L27" s="416">
        <v>440000</v>
      </c>
      <c r="M27" s="418" t="s">
        <v>677</v>
      </c>
    </row>
    <row r="28" spans="1:15" s="565" customFormat="1" ht="12.75" x14ac:dyDescent="0.2">
      <c r="A28" s="412">
        <v>45</v>
      </c>
      <c r="B28" s="127" t="s">
        <v>685</v>
      </c>
      <c r="C28" s="127" t="s">
        <v>196</v>
      </c>
      <c r="D28" s="127" t="s">
        <v>60</v>
      </c>
      <c r="E28" s="288">
        <v>2925</v>
      </c>
      <c r="F28" s="284">
        <v>0</v>
      </c>
      <c r="G28" s="284">
        <v>0</v>
      </c>
      <c r="H28" s="284">
        <f t="shared" si="0"/>
        <v>2925</v>
      </c>
      <c r="I28" s="417" t="s">
        <v>194</v>
      </c>
      <c r="J28" s="416" t="s">
        <v>102</v>
      </c>
      <c r="K28" s="418" t="s">
        <v>363</v>
      </c>
      <c r="L28" s="416">
        <v>440000</v>
      </c>
      <c r="M28" s="418" t="s">
        <v>686</v>
      </c>
    </row>
    <row r="29" spans="1:15" s="565" customFormat="1" ht="12.75" x14ac:dyDescent="0.2">
      <c r="A29" s="412">
        <v>21</v>
      </c>
      <c r="B29" s="127" t="s">
        <v>651</v>
      </c>
      <c r="C29" s="127" t="s">
        <v>323</v>
      </c>
      <c r="D29" s="127" t="s">
        <v>60</v>
      </c>
      <c r="E29" s="288">
        <v>30330</v>
      </c>
      <c r="F29" s="284">
        <v>0</v>
      </c>
      <c r="G29" s="284">
        <v>0</v>
      </c>
      <c r="H29" s="284">
        <f t="shared" si="0"/>
        <v>30330</v>
      </c>
      <c r="I29" s="422" t="s">
        <v>194</v>
      </c>
      <c r="J29" s="424" t="s">
        <v>102</v>
      </c>
      <c r="K29" s="423" t="s">
        <v>387</v>
      </c>
      <c r="L29" s="424">
        <v>440000</v>
      </c>
      <c r="M29" s="423" t="s">
        <v>652</v>
      </c>
    </row>
    <row r="30" spans="1:15" s="565" customFormat="1" ht="12.75" x14ac:dyDescent="0.2">
      <c r="A30" s="419">
        <v>46</v>
      </c>
      <c r="B30" s="285" t="s">
        <v>687</v>
      </c>
      <c r="C30" s="285" t="s">
        <v>323</v>
      </c>
      <c r="D30" s="285" t="s">
        <v>60</v>
      </c>
      <c r="E30" s="289">
        <v>5715.61</v>
      </c>
      <c r="F30" s="286">
        <v>0</v>
      </c>
      <c r="G30" s="286">
        <v>0</v>
      </c>
      <c r="H30" s="286">
        <f t="shared" si="0"/>
        <v>5715.61</v>
      </c>
      <c r="I30" s="413" t="s">
        <v>194</v>
      </c>
      <c r="J30" s="414" t="s">
        <v>102</v>
      </c>
      <c r="K30" s="414" t="s">
        <v>387</v>
      </c>
      <c r="L30" s="414">
        <v>440000</v>
      </c>
      <c r="M30" s="414" t="s">
        <v>688</v>
      </c>
      <c r="N30" s="567"/>
    </row>
    <row r="31" spans="1:15" s="565" customFormat="1" ht="12.75" x14ac:dyDescent="0.2">
      <c r="A31" s="419">
        <v>5</v>
      </c>
      <c r="B31" s="285" t="s">
        <v>630</v>
      </c>
      <c r="C31" s="285" t="s">
        <v>631</v>
      </c>
      <c r="D31" s="285" t="s">
        <v>60</v>
      </c>
      <c r="E31" s="289">
        <v>95000</v>
      </c>
      <c r="F31" s="286">
        <v>70500</v>
      </c>
      <c r="G31" s="286">
        <v>11000</v>
      </c>
      <c r="H31" s="286">
        <f t="shared" si="0"/>
        <v>176500</v>
      </c>
      <c r="I31" s="413" t="s">
        <v>194</v>
      </c>
      <c r="J31" s="414" t="s">
        <v>102</v>
      </c>
      <c r="K31" s="414" t="s">
        <v>361</v>
      </c>
      <c r="L31" s="414">
        <v>440000</v>
      </c>
      <c r="M31" s="414" t="s">
        <v>632</v>
      </c>
      <c r="N31" s="567"/>
    </row>
    <row r="32" spans="1:15" s="565" customFormat="1" ht="12.75" x14ac:dyDescent="0.2">
      <c r="A32" s="419">
        <v>23</v>
      </c>
      <c r="B32" s="285" t="s">
        <v>653</v>
      </c>
      <c r="C32" s="285" t="s">
        <v>631</v>
      </c>
      <c r="D32" s="285" t="s">
        <v>60</v>
      </c>
      <c r="E32" s="289">
        <v>77678</v>
      </c>
      <c r="F32" s="286">
        <v>2250</v>
      </c>
      <c r="G32" s="286">
        <v>2250</v>
      </c>
      <c r="H32" s="286">
        <f t="shared" si="0"/>
        <v>82178</v>
      </c>
      <c r="I32" s="413" t="s">
        <v>194</v>
      </c>
      <c r="J32" s="414" t="s">
        <v>102</v>
      </c>
      <c r="K32" s="414" t="s">
        <v>361</v>
      </c>
      <c r="L32" s="414">
        <v>440000</v>
      </c>
      <c r="M32" s="414" t="s">
        <v>654</v>
      </c>
      <c r="N32" s="567"/>
    </row>
    <row r="33" spans="1:15" s="565" customFormat="1" ht="12.75" x14ac:dyDescent="0.2">
      <c r="A33" s="419">
        <v>26</v>
      </c>
      <c r="B33" s="285" t="s">
        <v>657</v>
      </c>
      <c r="C33" s="285" t="s">
        <v>631</v>
      </c>
      <c r="D33" s="285" t="s">
        <v>60</v>
      </c>
      <c r="E33" s="420">
        <v>7699</v>
      </c>
      <c r="F33" s="286">
        <v>2000</v>
      </c>
      <c r="G33" s="286">
        <v>1000</v>
      </c>
      <c r="H33" s="286">
        <f t="shared" si="0"/>
        <v>10699</v>
      </c>
      <c r="I33" s="413" t="s">
        <v>194</v>
      </c>
      <c r="J33" s="414" t="s">
        <v>102</v>
      </c>
      <c r="K33" s="414" t="s">
        <v>361</v>
      </c>
      <c r="L33" s="414">
        <v>440000</v>
      </c>
      <c r="M33" s="414" t="s">
        <v>658</v>
      </c>
      <c r="N33" s="567"/>
    </row>
    <row r="34" spans="1:15" s="565" customFormat="1" ht="12.75" x14ac:dyDescent="0.2">
      <c r="A34" s="419">
        <v>29</v>
      </c>
      <c r="B34" s="285" t="s">
        <v>659</v>
      </c>
      <c r="C34" s="285" t="s">
        <v>631</v>
      </c>
      <c r="D34" s="285" t="s">
        <v>60</v>
      </c>
      <c r="E34" s="289">
        <v>11295</v>
      </c>
      <c r="F34" s="286">
        <v>0</v>
      </c>
      <c r="G34" s="286">
        <v>0</v>
      </c>
      <c r="H34" s="286">
        <f t="shared" si="0"/>
        <v>11295</v>
      </c>
      <c r="I34" s="413" t="s">
        <v>194</v>
      </c>
      <c r="J34" s="414" t="s">
        <v>102</v>
      </c>
      <c r="K34" s="414" t="s">
        <v>361</v>
      </c>
      <c r="L34" s="414">
        <v>440000</v>
      </c>
      <c r="M34" s="414" t="s">
        <v>660</v>
      </c>
      <c r="N34" s="567"/>
    </row>
    <row r="35" spans="1:15" s="565" customFormat="1" ht="12.75" x14ac:dyDescent="0.2">
      <c r="A35" s="419">
        <v>34</v>
      </c>
      <c r="B35" s="285" t="s">
        <v>668</v>
      </c>
      <c r="C35" s="285" t="s">
        <v>631</v>
      </c>
      <c r="D35" s="285" t="s">
        <v>60</v>
      </c>
      <c r="E35" s="289">
        <v>16000</v>
      </c>
      <c r="F35" s="286">
        <v>0</v>
      </c>
      <c r="G35" s="286">
        <v>0</v>
      </c>
      <c r="H35" s="286">
        <f t="shared" ref="H35:H59" si="1">SUM(E35:G35)</f>
        <v>16000</v>
      </c>
      <c r="I35" s="413" t="s">
        <v>194</v>
      </c>
      <c r="J35" s="414" t="s">
        <v>102</v>
      </c>
      <c r="K35" s="414" t="s">
        <v>361</v>
      </c>
      <c r="L35" s="414">
        <v>440000</v>
      </c>
      <c r="M35" s="414" t="s">
        <v>669</v>
      </c>
      <c r="N35" s="567"/>
    </row>
    <row r="36" spans="1:15" s="565" customFormat="1" ht="12.75" x14ac:dyDescent="0.2">
      <c r="A36" s="419">
        <v>37</v>
      </c>
      <c r="B36" s="285" t="s">
        <v>670</v>
      </c>
      <c r="C36" s="285" t="s">
        <v>631</v>
      </c>
      <c r="D36" s="285" t="s">
        <v>60</v>
      </c>
      <c r="E36" s="289">
        <v>53584.480000000003</v>
      </c>
      <c r="F36" s="286">
        <v>0</v>
      </c>
      <c r="G36" s="286">
        <v>0</v>
      </c>
      <c r="H36" s="286">
        <f t="shared" si="1"/>
        <v>53584.480000000003</v>
      </c>
      <c r="I36" s="413" t="s">
        <v>194</v>
      </c>
      <c r="J36" s="414" t="s">
        <v>102</v>
      </c>
      <c r="K36" s="414" t="s">
        <v>361</v>
      </c>
      <c r="L36" s="414">
        <v>440000</v>
      </c>
      <c r="M36" s="414" t="s">
        <v>671</v>
      </c>
      <c r="N36" s="567"/>
    </row>
    <row r="37" spans="1:15" s="565" customFormat="1" ht="12.75" x14ac:dyDescent="0.2">
      <c r="A37" s="431">
        <v>44</v>
      </c>
      <c r="B37" s="385" t="s">
        <v>683</v>
      </c>
      <c r="C37" s="385" t="s">
        <v>631</v>
      </c>
      <c r="D37" s="385" t="s">
        <v>60</v>
      </c>
      <c r="E37" s="432">
        <v>12000</v>
      </c>
      <c r="F37" s="384">
        <v>0</v>
      </c>
      <c r="G37" s="384">
        <v>0</v>
      </c>
      <c r="H37" s="384">
        <f t="shared" si="1"/>
        <v>12000</v>
      </c>
      <c r="I37" s="433" t="s">
        <v>194</v>
      </c>
      <c r="J37" s="434" t="s">
        <v>102</v>
      </c>
      <c r="K37" s="434" t="s">
        <v>361</v>
      </c>
      <c r="L37" s="434">
        <v>440000</v>
      </c>
      <c r="M37" s="434" t="s">
        <v>684</v>
      </c>
      <c r="N37" s="567"/>
    </row>
    <row r="38" spans="1:15" s="565" customFormat="1" ht="12.75" x14ac:dyDescent="0.2">
      <c r="A38" s="419">
        <v>50</v>
      </c>
      <c r="B38" s="285" t="s">
        <v>746</v>
      </c>
      <c r="C38" s="285" t="s">
        <v>72</v>
      </c>
      <c r="D38" s="285" t="s">
        <v>60</v>
      </c>
      <c r="E38" s="289">
        <v>17600</v>
      </c>
      <c r="F38" s="286">
        <v>0</v>
      </c>
      <c r="G38" s="286">
        <v>0</v>
      </c>
      <c r="H38" s="286">
        <f t="shared" si="1"/>
        <v>17600</v>
      </c>
      <c r="I38" s="413" t="s">
        <v>193</v>
      </c>
      <c r="J38" s="414" t="s">
        <v>102</v>
      </c>
      <c r="K38" s="414" t="s">
        <v>562</v>
      </c>
      <c r="L38" s="414">
        <v>440000</v>
      </c>
      <c r="M38" s="414" t="s">
        <v>747</v>
      </c>
      <c r="N38" s="567"/>
      <c r="O38" s="565" t="s">
        <v>744</v>
      </c>
    </row>
    <row r="39" spans="1:15" s="565" customFormat="1" ht="12.75" x14ac:dyDescent="0.2">
      <c r="A39" s="419">
        <v>24</v>
      </c>
      <c r="B39" s="285" t="s">
        <v>748</v>
      </c>
      <c r="C39" s="285" t="s">
        <v>336</v>
      </c>
      <c r="D39" s="285" t="s">
        <v>60</v>
      </c>
      <c r="E39" s="289">
        <v>479410</v>
      </c>
      <c r="F39" s="286">
        <v>155490</v>
      </c>
      <c r="G39" s="286">
        <v>155490</v>
      </c>
      <c r="H39" s="286">
        <f t="shared" si="1"/>
        <v>790390</v>
      </c>
      <c r="I39" s="413" t="s">
        <v>193</v>
      </c>
      <c r="J39" s="414" t="s">
        <v>102</v>
      </c>
      <c r="K39" s="414" t="s">
        <v>367</v>
      </c>
      <c r="L39" s="414">
        <v>440000</v>
      </c>
      <c r="M39" s="414" t="s">
        <v>749</v>
      </c>
      <c r="N39" s="567"/>
    </row>
    <row r="40" spans="1:15" s="565" customFormat="1" ht="12.75" x14ac:dyDescent="0.2">
      <c r="A40" s="412">
        <v>7</v>
      </c>
      <c r="B40" s="127" t="s">
        <v>750</v>
      </c>
      <c r="C40" s="127" t="s">
        <v>474</v>
      </c>
      <c r="D40" s="127" t="s">
        <v>60</v>
      </c>
      <c r="E40" s="288">
        <v>48266</v>
      </c>
      <c r="F40" s="284">
        <v>0</v>
      </c>
      <c r="G40" s="284">
        <v>0</v>
      </c>
      <c r="H40" s="284">
        <f t="shared" si="1"/>
        <v>48266</v>
      </c>
      <c r="I40" s="415" t="s">
        <v>193</v>
      </c>
      <c r="J40" s="416" t="s">
        <v>102</v>
      </c>
      <c r="K40" s="416" t="s">
        <v>366</v>
      </c>
      <c r="L40" s="416">
        <v>440000</v>
      </c>
      <c r="M40" s="416" t="s">
        <v>751</v>
      </c>
      <c r="N40" s="566" t="s">
        <v>333</v>
      </c>
    </row>
    <row r="41" spans="1:15" s="565" customFormat="1" ht="12.75" x14ac:dyDescent="0.2">
      <c r="A41" s="431">
        <v>17</v>
      </c>
      <c r="B41" s="385" t="s">
        <v>752</v>
      </c>
      <c r="C41" s="385" t="s">
        <v>474</v>
      </c>
      <c r="D41" s="385" t="s">
        <v>60</v>
      </c>
      <c r="E41" s="432">
        <v>1195</v>
      </c>
      <c r="F41" s="384">
        <v>0</v>
      </c>
      <c r="G41" s="384">
        <v>0</v>
      </c>
      <c r="H41" s="384">
        <f t="shared" si="1"/>
        <v>1195</v>
      </c>
      <c r="I41" s="573" t="s">
        <v>193</v>
      </c>
      <c r="J41" s="574" t="s">
        <v>102</v>
      </c>
      <c r="K41" s="575" t="s">
        <v>366</v>
      </c>
      <c r="L41" s="574">
        <v>440000</v>
      </c>
      <c r="M41" s="575" t="s">
        <v>753</v>
      </c>
      <c r="N41" s="576" t="s">
        <v>333</v>
      </c>
    </row>
    <row r="42" spans="1:15" s="565" customFormat="1" ht="12.75" x14ac:dyDescent="0.2">
      <c r="A42" s="419">
        <v>53</v>
      </c>
      <c r="B42" s="285" t="s">
        <v>754</v>
      </c>
      <c r="C42" s="285" t="s">
        <v>72</v>
      </c>
      <c r="D42" s="285" t="s">
        <v>60</v>
      </c>
      <c r="E42" s="289">
        <v>0</v>
      </c>
      <c r="F42" s="286">
        <v>13000</v>
      </c>
      <c r="G42" s="286">
        <v>7500</v>
      </c>
      <c r="H42" s="286">
        <f t="shared" si="1"/>
        <v>20500</v>
      </c>
      <c r="I42" s="413" t="s">
        <v>202</v>
      </c>
      <c r="J42" s="414" t="s">
        <v>102</v>
      </c>
      <c r="K42" s="414" t="s">
        <v>562</v>
      </c>
      <c r="L42" s="414">
        <v>440000</v>
      </c>
      <c r="M42" s="414" t="s">
        <v>755</v>
      </c>
      <c r="N42" s="567"/>
    </row>
    <row r="43" spans="1:15" s="565" customFormat="1" ht="12.75" x14ac:dyDescent="0.2">
      <c r="A43" s="419">
        <v>4</v>
      </c>
      <c r="B43" s="285" t="s">
        <v>756</v>
      </c>
      <c r="C43" s="285" t="s">
        <v>336</v>
      </c>
      <c r="D43" s="285" t="s">
        <v>60</v>
      </c>
      <c r="E43" s="289">
        <v>5800</v>
      </c>
      <c r="F43" s="286">
        <v>0</v>
      </c>
      <c r="G43" s="286">
        <v>0</v>
      </c>
      <c r="H43" s="286">
        <f t="shared" si="1"/>
        <v>5800</v>
      </c>
      <c r="I43" s="413" t="s">
        <v>202</v>
      </c>
      <c r="J43" s="414" t="s">
        <v>102</v>
      </c>
      <c r="K43" s="414" t="s">
        <v>367</v>
      </c>
      <c r="L43" s="414">
        <v>440000</v>
      </c>
      <c r="M43" s="414" t="s">
        <v>757</v>
      </c>
      <c r="N43" s="567"/>
    </row>
    <row r="44" spans="1:15" s="565" customFormat="1" ht="12.75" x14ac:dyDescent="0.2">
      <c r="A44" s="419">
        <v>10</v>
      </c>
      <c r="B44" s="285" t="s">
        <v>758</v>
      </c>
      <c r="C44" s="285" t="s">
        <v>336</v>
      </c>
      <c r="D44" s="285" t="s">
        <v>60</v>
      </c>
      <c r="E44" s="289">
        <v>18250</v>
      </c>
      <c r="F44" s="286">
        <v>0</v>
      </c>
      <c r="G44" s="286">
        <v>0</v>
      </c>
      <c r="H44" s="286">
        <f t="shared" si="1"/>
        <v>18250</v>
      </c>
      <c r="I44" s="413" t="s">
        <v>202</v>
      </c>
      <c r="J44" s="414" t="s">
        <v>102</v>
      </c>
      <c r="K44" s="414" t="s">
        <v>367</v>
      </c>
      <c r="L44" s="414">
        <v>440000</v>
      </c>
      <c r="M44" s="414" t="s">
        <v>759</v>
      </c>
      <c r="N44" s="567"/>
    </row>
    <row r="45" spans="1:15" s="565" customFormat="1" ht="12.75" x14ac:dyDescent="0.2">
      <c r="A45" s="419">
        <v>20</v>
      </c>
      <c r="B45" s="285" t="s">
        <v>760</v>
      </c>
      <c r="C45" s="285" t="s">
        <v>336</v>
      </c>
      <c r="D45" s="285" t="s">
        <v>60</v>
      </c>
      <c r="E45" s="289">
        <v>16750</v>
      </c>
      <c r="F45" s="286">
        <v>16965</v>
      </c>
      <c r="G45" s="286">
        <v>0</v>
      </c>
      <c r="H45" s="286">
        <f t="shared" si="1"/>
        <v>33715</v>
      </c>
      <c r="I45" s="413" t="s">
        <v>202</v>
      </c>
      <c r="J45" s="414" t="s">
        <v>102</v>
      </c>
      <c r="K45" s="414" t="s">
        <v>367</v>
      </c>
      <c r="L45" s="414">
        <v>440000</v>
      </c>
      <c r="M45" s="414" t="s">
        <v>761</v>
      </c>
      <c r="N45" s="567"/>
    </row>
    <row r="46" spans="1:15" s="565" customFormat="1" ht="12.75" x14ac:dyDescent="0.2">
      <c r="A46" s="419">
        <v>35</v>
      </c>
      <c r="B46" s="285" t="s">
        <v>762</v>
      </c>
      <c r="C46" s="285" t="s">
        <v>336</v>
      </c>
      <c r="D46" s="285" t="s">
        <v>60</v>
      </c>
      <c r="E46" s="289">
        <v>61131.57</v>
      </c>
      <c r="F46" s="286">
        <v>0</v>
      </c>
      <c r="G46" s="286">
        <v>0</v>
      </c>
      <c r="H46" s="286">
        <f t="shared" si="1"/>
        <v>61131.57</v>
      </c>
      <c r="I46" s="413" t="s">
        <v>202</v>
      </c>
      <c r="J46" s="414" t="s">
        <v>102</v>
      </c>
      <c r="K46" s="414" t="s">
        <v>367</v>
      </c>
      <c r="L46" s="414">
        <v>440000</v>
      </c>
      <c r="M46" s="414" t="s">
        <v>763</v>
      </c>
      <c r="N46" s="567"/>
    </row>
    <row r="47" spans="1:15" s="565" customFormat="1" ht="12.75" x14ac:dyDescent="0.2">
      <c r="A47" s="419">
        <v>36</v>
      </c>
      <c r="B47" s="285" t="s">
        <v>764</v>
      </c>
      <c r="C47" s="285" t="s">
        <v>336</v>
      </c>
      <c r="D47" s="285" t="s">
        <v>60</v>
      </c>
      <c r="E47" s="289">
        <v>19904.64</v>
      </c>
      <c r="F47" s="286">
        <v>0</v>
      </c>
      <c r="G47" s="286">
        <v>0</v>
      </c>
      <c r="H47" s="286">
        <f t="shared" si="1"/>
        <v>19904.64</v>
      </c>
      <c r="I47" s="413" t="s">
        <v>202</v>
      </c>
      <c r="J47" s="414" t="s">
        <v>102</v>
      </c>
      <c r="K47" s="414" t="s">
        <v>367</v>
      </c>
      <c r="L47" s="414">
        <v>440000</v>
      </c>
      <c r="M47" s="414" t="s">
        <v>765</v>
      </c>
      <c r="N47" s="567"/>
    </row>
    <row r="48" spans="1:15" s="565" customFormat="1" ht="12.75" x14ac:dyDescent="0.2">
      <c r="A48" s="419">
        <v>27</v>
      </c>
      <c r="B48" s="285" t="s">
        <v>766</v>
      </c>
      <c r="C48" s="285" t="s">
        <v>551</v>
      </c>
      <c r="D48" s="285" t="s">
        <v>60</v>
      </c>
      <c r="E48" s="289">
        <v>11000</v>
      </c>
      <c r="F48" s="286">
        <v>0</v>
      </c>
      <c r="G48" s="286">
        <v>0</v>
      </c>
      <c r="H48" s="286">
        <f t="shared" si="1"/>
        <v>11000</v>
      </c>
      <c r="I48" s="413" t="s">
        <v>202</v>
      </c>
      <c r="J48" s="414" t="s">
        <v>102</v>
      </c>
      <c r="K48" s="414" t="s">
        <v>553</v>
      </c>
      <c r="L48" s="414">
        <v>440000</v>
      </c>
      <c r="M48" s="414" t="s">
        <v>767</v>
      </c>
      <c r="N48" s="567"/>
    </row>
    <row r="49" spans="1:14" s="565" customFormat="1" ht="12.75" x14ac:dyDescent="0.2">
      <c r="A49" s="419">
        <v>11</v>
      </c>
      <c r="B49" s="285" t="s">
        <v>768</v>
      </c>
      <c r="C49" s="285" t="s">
        <v>474</v>
      </c>
      <c r="D49" s="285" t="s">
        <v>60</v>
      </c>
      <c r="E49" s="289">
        <v>27080</v>
      </c>
      <c r="F49" s="286">
        <v>0</v>
      </c>
      <c r="G49" s="286">
        <v>0</v>
      </c>
      <c r="H49" s="286">
        <f t="shared" si="1"/>
        <v>27080</v>
      </c>
      <c r="I49" s="413" t="s">
        <v>202</v>
      </c>
      <c r="J49" s="414" t="s">
        <v>102</v>
      </c>
      <c r="K49" s="414" t="s">
        <v>366</v>
      </c>
      <c r="L49" s="414">
        <v>440000</v>
      </c>
      <c r="M49" s="414" t="s">
        <v>769</v>
      </c>
      <c r="N49" s="568" t="s">
        <v>333</v>
      </c>
    </row>
    <row r="50" spans="1:14" s="565" customFormat="1" ht="12.75" x14ac:dyDescent="0.2">
      <c r="A50" s="419">
        <v>12</v>
      </c>
      <c r="B50" s="285" t="s">
        <v>770</v>
      </c>
      <c r="C50" s="285" t="s">
        <v>474</v>
      </c>
      <c r="D50" s="285" t="s">
        <v>60</v>
      </c>
      <c r="E50" s="289">
        <v>13400</v>
      </c>
      <c r="F50" s="286">
        <v>0</v>
      </c>
      <c r="G50" s="286">
        <v>0</v>
      </c>
      <c r="H50" s="286">
        <f t="shared" si="1"/>
        <v>13400</v>
      </c>
      <c r="I50" s="413" t="s">
        <v>202</v>
      </c>
      <c r="J50" s="414" t="s">
        <v>102</v>
      </c>
      <c r="K50" s="414" t="s">
        <v>366</v>
      </c>
      <c r="L50" s="414">
        <v>440000</v>
      </c>
      <c r="M50" s="414" t="s">
        <v>771</v>
      </c>
      <c r="N50" s="568" t="s">
        <v>333</v>
      </c>
    </row>
    <row r="51" spans="1:14" s="565" customFormat="1" ht="12.75" x14ac:dyDescent="0.2">
      <c r="A51" s="419">
        <v>22</v>
      </c>
      <c r="B51" s="285" t="s">
        <v>772</v>
      </c>
      <c r="C51" s="285" t="s">
        <v>328</v>
      </c>
      <c r="D51" s="285" t="s">
        <v>60</v>
      </c>
      <c r="E51" s="289">
        <v>1000</v>
      </c>
      <c r="F51" s="286">
        <v>1000</v>
      </c>
      <c r="G51" s="286">
        <v>1000</v>
      </c>
      <c r="H51" s="286">
        <f t="shared" si="1"/>
        <v>3000</v>
      </c>
      <c r="I51" s="413" t="s">
        <v>202</v>
      </c>
      <c r="J51" s="414" t="s">
        <v>102</v>
      </c>
      <c r="K51" s="414" t="s">
        <v>364</v>
      </c>
      <c r="L51" s="414">
        <v>440000</v>
      </c>
      <c r="M51" s="414" t="s">
        <v>773</v>
      </c>
      <c r="N51" s="567"/>
    </row>
    <row r="52" spans="1:14" s="565" customFormat="1" ht="12.75" x14ac:dyDescent="0.2">
      <c r="A52" s="419">
        <v>38</v>
      </c>
      <c r="B52" s="285" t="s">
        <v>290</v>
      </c>
      <c r="C52" s="285" t="s">
        <v>328</v>
      </c>
      <c r="D52" s="285" t="s">
        <v>60</v>
      </c>
      <c r="E52" s="289">
        <v>100000</v>
      </c>
      <c r="F52" s="286">
        <v>0</v>
      </c>
      <c r="G52" s="286">
        <v>0</v>
      </c>
      <c r="H52" s="286">
        <f t="shared" si="1"/>
        <v>100000</v>
      </c>
      <c r="I52" s="413" t="s">
        <v>202</v>
      </c>
      <c r="J52" s="414" t="s">
        <v>102</v>
      </c>
      <c r="K52" s="414" t="s">
        <v>364</v>
      </c>
      <c r="L52" s="414">
        <v>440000</v>
      </c>
      <c r="M52" s="414" t="s">
        <v>774</v>
      </c>
      <c r="N52" s="567"/>
    </row>
    <row r="53" spans="1:14" s="565" customFormat="1" ht="12.75" x14ac:dyDescent="0.2">
      <c r="A53" s="431">
        <v>28</v>
      </c>
      <c r="B53" s="385" t="s">
        <v>775</v>
      </c>
      <c r="C53" s="385" t="s">
        <v>631</v>
      </c>
      <c r="D53" s="385" t="s">
        <v>60</v>
      </c>
      <c r="E53" s="432">
        <v>40375</v>
      </c>
      <c r="F53" s="384">
        <v>0</v>
      </c>
      <c r="G53" s="384">
        <v>0</v>
      </c>
      <c r="H53" s="384">
        <f t="shared" si="1"/>
        <v>40375</v>
      </c>
      <c r="I53" s="433" t="s">
        <v>202</v>
      </c>
      <c r="J53" s="434" t="s">
        <v>102</v>
      </c>
      <c r="K53" s="434" t="s">
        <v>361</v>
      </c>
      <c r="L53" s="434">
        <v>440000</v>
      </c>
      <c r="M53" s="434" t="s">
        <v>776</v>
      </c>
      <c r="N53" s="567"/>
    </row>
    <row r="54" spans="1:14" s="565" customFormat="1" ht="12.75" x14ac:dyDescent="0.2">
      <c r="A54" s="412">
        <v>54</v>
      </c>
      <c r="B54" s="127" t="s">
        <v>777</v>
      </c>
      <c r="C54" s="127" t="s">
        <v>336</v>
      </c>
      <c r="D54" s="127" t="s">
        <v>778</v>
      </c>
      <c r="E54" s="288">
        <v>5438.4</v>
      </c>
      <c r="F54" s="284">
        <v>0</v>
      </c>
      <c r="G54" s="284">
        <v>0</v>
      </c>
      <c r="H54" s="284">
        <f t="shared" si="1"/>
        <v>5438.4</v>
      </c>
      <c r="I54" s="415"/>
      <c r="J54" s="416"/>
      <c r="K54" s="416"/>
      <c r="L54" s="416"/>
      <c r="M54" s="416"/>
      <c r="N54" s="577"/>
    </row>
    <row r="55" spans="1:14" s="565" customFormat="1" ht="12.75" x14ac:dyDescent="0.2">
      <c r="A55" s="412">
        <v>55</v>
      </c>
      <c r="B55" s="127" t="s">
        <v>779</v>
      </c>
      <c r="C55" s="127" t="s">
        <v>336</v>
      </c>
      <c r="D55" s="127" t="s">
        <v>73</v>
      </c>
      <c r="E55" s="288">
        <v>32940</v>
      </c>
      <c r="F55" s="284">
        <v>0</v>
      </c>
      <c r="G55" s="284">
        <v>0</v>
      </c>
      <c r="H55" s="284">
        <f t="shared" si="1"/>
        <v>32940</v>
      </c>
      <c r="I55" s="417"/>
      <c r="J55" s="418"/>
      <c r="K55" s="418"/>
      <c r="L55" s="418"/>
      <c r="M55" s="418"/>
    </row>
    <row r="56" spans="1:14" s="565" customFormat="1" ht="12.75" x14ac:dyDescent="0.2">
      <c r="A56" s="412">
        <v>57</v>
      </c>
      <c r="B56" s="127" t="s">
        <v>292</v>
      </c>
      <c r="C56" s="127" t="s">
        <v>328</v>
      </c>
      <c r="D56" s="127" t="s">
        <v>73</v>
      </c>
      <c r="E56" s="288">
        <v>96694</v>
      </c>
      <c r="F56" s="284">
        <v>2691</v>
      </c>
      <c r="G56" s="284">
        <v>2691</v>
      </c>
      <c r="H56" s="284">
        <f t="shared" si="1"/>
        <v>102076</v>
      </c>
      <c r="I56" s="417"/>
      <c r="J56" s="418"/>
      <c r="K56" s="418"/>
      <c r="L56" s="418"/>
      <c r="M56" s="418"/>
    </row>
    <row r="57" spans="1:14" s="565" customFormat="1" ht="12.75" x14ac:dyDescent="0.2">
      <c r="A57" s="419">
        <v>51</v>
      </c>
      <c r="B57" s="285" t="s">
        <v>780</v>
      </c>
      <c r="C57" s="285" t="s">
        <v>321</v>
      </c>
      <c r="D57" s="285" t="s">
        <v>778</v>
      </c>
      <c r="E57" s="289">
        <v>9480</v>
      </c>
      <c r="F57" s="286">
        <v>9480</v>
      </c>
      <c r="G57" s="286">
        <v>9480</v>
      </c>
      <c r="H57" s="284">
        <f t="shared" si="1"/>
        <v>28440</v>
      </c>
      <c r="I57" s="417"/>
      <c r="J57" s="418"/>
      <c r="K57" s="418"/>
      <c r="L57" s="418"/>
      <c r="M57" s="418"/>
    </row>
    <row r="58" spans="1:14" s="565" customFormat="1" ht="12.75" x14ac:dyDescent="0.2">
      <c r="A58" s="412">
        <v>56</v>
      </c>
      <c r="B58" s="127" t="s">
        <v>781</v>
      </c>
      <c r="C58" s="127" t="s">
        <v>631</v>
      </c>
      <c r="D58" s="127" t="s">
        <v>73</v>
      </c>
      <c r="E58" s="288">
        <v>2000</v>
      </c>
      <c r="F58" s="284">
        <v>0</v>
      </c>
      <c r="G58" s="284">
        <v>0</v>
      </c>
      <c r="H58" s="284">
        <f t="shared" si="1"/>
        <v>2000</v>
      </c>
      <c r="I58" s="417"/>
      <c r="J58" s="418"/>
      <c r="K58" s="418"/>
      <c r="L58" s="418"/>
      <c r="M58" s="418"/>
    </row>
    <row r="59" spans="1:14" s="565" customFormat="1" ht="12.75" x14ac:dyDescent="0.2">
      <c r="A59" s="431">
        <v>49</v>
      </c>
      <c r="B59" s="385" t="s">
        <v>782</v>
      </c>
      <c r="C59" s="385" t="s">
        <v>783</v>
      </c>
      <c r="D59" s="385" t="s">
        <v>778</v>
      </c>
      <c r="E59" s="432">
        <v>4490</v>
      </c>
      <c r="F59" s="384">
        <v>0</v>
      </c>
      <c r="G59" s="384">
        <v>0</v>
      </c>
      <c r="H59" s="384">
        <f t="shared" si="1"/>
        <v>4490</v>
      </c>
      <c r="I59" s="573"/>
      <c r="J59" s="575"/>
      <c r="K59" s="575"/>
      <c r="L59" s="575"/>
      <c r="M59" s="575"/>
    </row>
    <row r="60" spans="1:14" s="127" customFormat="1" ht="12.75" x14ac:dyDescent="0.2">
      <c r="A60" s="412"/>
      <c r="B60" s="127" t="s">
        <v>66</v>
      </c>
      <c r="C60" s="127" t="s">
        <v>2</v>
      </c>
      <c r="D60" s="127" t="s">
        <v>12</v>
      </c>
      <c r="E60" s="288" t="s">
        <v>63</v>
      </c>
      <c r="F60" s="284" t="s">
        <v>64</v>
      </c>
      <c r="G60" s="284" t="s">
        <v>65</v>
      </c>
      <c r="H60" s="284" t="s">
        <v>62</v>
      </c>
      <c r="I60" s="578"/>
      <c r="J60" s="572"/>
      <c r="K60" s="572"/>
      <c r="L60" s="572"/>
      <c r="M60" s="572"/>
    </row>
    <row r="61" spans="1:14" s="127" customFormat="1" ht="12.75" x14ac:dyDescent="0.2">
      <c r="A61" s="412"/>
      <c r="B61" s="127" t="s">
        <v>9</v>
      </c>
      <c r="E61" s="288">
        <f>SUM(E3:E59)</f>
        <v>1937615.92</v>
      </c>
      <c r="F61" s="284">
        <f>SUM(F3:F60)</f>
        <v>375869.48</v>
      </c>
      <c r="G61" s="284">
        <f>SUM(G3:G59)</f>
        <v>259365.32</v>
      </c>
      <c r="H61" s="284">
        <f>SUM(H3:H59)</f>
        <v>2572850.7199999997</v>
      </c>
      <c r="I61" s="571"/>
      <c r="J61" s="572"/>
      <c r="K61" s="572"/>
      <c r="L61" s="572"/>
      <c r="M61" s="572"/>
    </row>
    <row r="62" spans="1:14" s="127" customFormat="1" ht="12.75" x14ac:dyDescent="0.2">
      <c r="A62" s="412"/>
      <c r="B62" s="579" t="s">
        <v>59</v>
      </c>
      <c r="C62" s="579"/>
      <c r="D62" s="579"/>
      <c r="E62" s="580">
        <f>SUM(E3:E37)</f>
        <v>925411.30999999994</v>
      </c>
      <c r="F62" s="428">
        <f>SUM(F3:F37)</f>
        <v>177243.48</v>
      </c>
      <c r="G62" s="428">
        <f>SUM(G3:G37)</f>
        <v>83204.320000000007</v>
      </c>
      <c r="H62" s="428">
        <f>SUM(H3:H37)</f>
        <v>1185859.1099999999</v>
      </c>
      <c r="I62" s="571"/>
      <c r="J62" s="572"/>
      <c r="K62" s="572"/>
      <c r="L62" s="572"/>
      <c r="M62" s="572"/>
    </row>
    <row r="63" spans="1:14" s="127" customFormat="1" ht="12.75" x14ac:dyDescent="0.2">
      <c r="A63" s="412"/>
      <c r="B63" s="127" t="s">
        <v>784</v>
      </c>
      <c r="E63" s="288">
        <f>SUM(E38:E41)</f>
        <v>546471</v>
      </c>
      <c r="F63" s="581">
        <f>SUM(F38:F41)</f>
        <v>155490</v>
      </c>
      <c r="G63" s="284">
        <f>SUM(G38:G41)</f>
        <v>155490</v>
      </c>
      <c r="H63" s="284">
        <f>SUM(H38:H41)</f>
        <v>857451</v>
      </c>
      <c r="I63" s="571"/>
      <c r="J63" s="572"/>
      <c r="K63" s="572"/>
      <c r="L63" s="572"/>
      <c r="M63" s="572"/>
    </row>
    <row r="64" spans="1:14" s="127" customFormat="1" ht="12.75" x14ac:dyDescent="0.2">
      <c r="A64" s="412"/>
      <c r="B64" s="127" t="s">
        <v>785</v>
      </c>
      <c r="E64" s="288">
        <f>SUM(E42:E59)</f>
        <v>465733.61000000004</v>
      </c>
      <c r="F64" s="581">
        <f>SUM(F42:F59)</f>
        <v>43136</v>
      </c>
      <c r="G64" s="284">
        <f>SUM(G42:G59)</f>
        <v>20671</v>
      </c>
      <c r="H64" s="284">
        <f>SUM(H42:H59)</f>
        <v>529540.6100000001</v>
      </c>
      <c r="I64" s="571"/>
      <c r="J64" s="572"/>
      <c r="K64" s="572"/>
      <c r="L64" s="572"/>
      <c r="M64" s="572"/>
    </row>
    <row r="65" spans="1:18" ht="12" customHeight="1" x14ac:dyDescent="0.2">
      <c r="A65" s="127"/>
      <c r="E65" s="581">
        <f>SUM(E62:E64)</f>
        <v>1937615.9200000002</v>
      </c>
      <c r="F65" s="287">
        <f>SUM(F62:F64)</f>
        <v>375869.48</v>
      </c>
      <c r="G65" s="287">
        <f>SUM(G62:G64)</f>
        <v>259365.32</v>
      </c>
      <c r="H65" s="581">
        <f>SUM(H62:H64)</f>
        <v>2572850.7199999997</v>
      </c>
      <c r="I65" s="127"/>
      <c r="J65" s="127"/>
      <c r="K65" s="127"/>
      <c r="L65" s="127"/>
      <c r="M65" s="127"/>
      <c r="O65" s="127"/>
      <c r="P65" s="127"/>
      <c r="Q65" s="127"/>
      <c r="R65" s="127"/>
    </row>
    <row r="66" spans="1:18" ht="12" customHeight="1" x14ac:dyDescent="0.2">
      <c r="A66" s="127"/>
      <c r="E66" s="288">
        <f>+Table134[[#Totals],[Year 1]]-E61</f>
        <v>0</v>
      </c>
      <c r="F66" s="288">
        <f>+Table134[[#Totals],[Year 2]]-F61</f>
        <v>0</v>
      </c>
      <c r="G66" s="284">
        <f>+Table134[[#Totals],[Year 3]]-G61</f>
        <v>0</v>
      </c>
      <c r="H66" s="284">
        <f>+Table134[[#Totals],[Total]]-H61</f>
        <v>0</v>
      </c>
      <c r="I66" s="127"/>
      <c r="J66" s="127"/>
      <c r="K66" s="127"/>
      <c r="L66" s="127"/>
      <c r="M66" s="127"/>
      <c r="O66" s="127"/>
      <c r="P66" s="127"/>
      <c r="Q66" s="127"/>
      <c r="R66" s="127"/>
    </row>
    <row r="68" spans="1:18" ht="12" customHeight="1" x14ac:dyDescent="0.25">
      <c r="A68" s="412" t="s">
        <v>786</v>
      </c>
    </row>
    <row r="69" spans="1:18" ht="12" customHeight="1" x14ac:dyDescent="0.2">
      <c r="A69" s="419">
        <v>47</v>
      </c>
      <c r="B69" s="285" t="s">
        <v>689</v>
      </c>
      <c r="C69" s="285" t="s">
        <v>72</v>
      </c>
      <c r="D69" s="285" t="s">
        <v>60</v>
      </c>
      <c r="E69" s="289">
        <v>46285</v>
      </c>
      <c r="F69" s="286">
        <v>0</v>
      </c>
      <c r="G69" s="286">
        <v>0</v>
      </c>
      <c r="H69" s="284">
        <f>SUM(E69:G69)</f>
        <v>46285</v>
      </c>
      <c r="I69" s="413" t="s">
        <v>690</v>
      </c>
      <c r="J69" s="414" t="s">
        <v>102</v>
      </c>
      <c r="K69" s="414" t="s">
        <v>562</v>
      </c>
      <c r="L69" s="414">
        <v>440000</v>
      </c>
      <c r="M69" s="414" t="s">
        <v>691</v>
      </c>
      <c r="N69" s="541"/>
      <c r="O69" s="541"/>
      <c r="P69" s="127"/>
      <c r="Q69" s="127"/>
      <c r="R69" s="127"/>
    </row>
  </sheetData>
  <mergeCells count="1">
    <mergeCell ref="J1:M1"/>
  </mergeCell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124"/>
  <sheetViews>
    <sheetView zoomScaleNormal="100" workbookViewId="0">
      <pane xSplit="4" ySplit="3" topLeftCell="P37" activePane="bottomRight" state="frozen"/>
      <selection pane="topRight" activeCell="E1" sqref="E1"/>
      <selection pane="bottomLeft" activeCell="A4" sqref="A4"/>
      <selection pane="bottomRight" activeCell="T22" sqref="T22"/>
    </sheetView>
  </sheetViews>
  <sheetFormatPr defaultRowHeight="12" customHeight="1" outlineLevelRow="2" x14ac:dyDescent="0.2"/>
  <cols>
    <col min="1" max="1" width="5.85546875" style="352" customWidth="1"/>
    <col min="2" max="2" width="9.5703125" style="352" customWidth="1"/>
    <col min="3" max="3" width="7.5703125" style="352" hidden="1" customWidth="1"/>
    <col min="4" max="4" width="22.140625" style="352" customWidth="1"/>
    <col min="5" max="5" width="25.7109375" style="352" hidden="1" customWidth="1"/>
    <col min="6" max="6" width="24.28515625" style="352" hidden="1" customWidth="1"/>
    <col min="7" max="7" width="34.140625" style="352" hidden="1" customWidth="1"/>
    <col min="8" max="8" width="47.28515625" style="352" customWidth="1"/>
    <col min="9" max="9" width="8.42578125" style="352" hidden="1" customWidth="1"/>
    <col min="10" max="10" width="8.85546875" style="352" hidden="1" customWidth="1"/>
    <col min="11" max="11" width="8.7109375" style="352" hidden="1" customWidth="1"/>
    <col min="12" max="12" width="13.7109375" style="383" customWidth="1"/>
    <col min="13" max="13" width="15.42578125" style="352" customWidth="1"/>
    <col min="14" max="14" width="14.28515625" style="352" customWidth="1"/>
    <col min="15" max="15" width="14.5703125" style="352" customWidth="1"/>
    <col min="16" max="16" width="19.7109375" style="352" customWidth="1"/>
    <col min="17" max="17" width="11.7109375" style="90" customWidth="1"/>
    <col min="18" max="16384" width="9.140625" style="90"/>
  </cols>
  <sheetData>
    <row r="2" spans="1:16" ht="12" customHeight="1" x14ac:dyDescent="0.25">
      <c r="L2" s="353" t="s">
        <v>409</v>
      </c>
      <c r="M2" s="354" t="s">
        <v>413</v>
      </c>
      <c r="N2" s="354" t="s">
        <v>414</v>
      </c>
      <c r="O2" s="354" t="s">
        <v>415</v>
      </c>
      <c r="P2" s="354" t="s">
        <v>416</v>
      </c>
    </row>
    <row r="3" spans="1:16" ht="24.75" customHeight="1" thickBot="1" x14ac:dyDescent="0.3">
      <c r="A3" s="355"/>
      <c r="B3" s="356" t="s">
        <v>457</v>
      </c>
      <c r="C3" s="357" t="s">
        <v>502</v>
      </c>
      <c r="D3" s="358" t="s">
        <v>411</v>
      </c>
      <c r="E3" s="358" t="s">
        <v>423</v>
      </c>
      <c r="F3" s="359" t="s">
        <v>503</v>
      </c>
      <c r="G3" s="359" t="s">
        <v>0</v>
      </c>
      <c r="H3" s="360" t="s">
        <v>504</v>
      </c>
      <c r="I3" s="361" t="s">
        <v>505</v>
      </c>
      <c r="J3" s="362" t="s">
        <v>506</v>
      </c>
      <c r="K3" s="360" t="s">
        <v>507</v>
      </c>
      <c r="L3" s="363" t="s">
        <v>97</v>
      </c>
      <c r="M3" s="364" t="s">
        <v>189</v>
      </c>
      <c r="N3" s="364" t="s">
        <v>349</v>
      </c>
      <c r="O3" s="364" t="s">
        <v>410</v>
      </c>
      <c r="P3" s="354" t="s">
        <v>67</v>
      </c>
    </row>
    <row r="4" spans="1:16" ht="15" customHeight="1" outlineLevel="2" x14ac:dyDescent="0.25">
      <c r="A4" s="365"/>
      <c r="B4" s="314" t="s">
        <v>464</v>
      </c>
      <c r="C4" s="315" t="s">
        <v>528</v>
      </c>
      <c r="D4" s="316" t="s">
        <v>15</v>
      </c>
      <c r="E4" s="316"/>
      <c r="F4" s="316" t="s">
        <v>557</v>
      </c>
      <c r="G4" s="316" t="s">
        <v>14</v>
      </c>
      <c r="H4" s="316" t="s">
        <v>558</v>
      </c>
      <c r="I4" s="317" t="s">
        <v>102</v>
      </c>
      <c r="J4" s="317" t="s">
        <v>361</v>
      </c>
      <c r="K4" s="316" t="s">
        <v>510</v>
      </c>
      <c r="L4" s="317" t="s">
        <v>125</v>
      </c>
      <c r="M4" s="318">
        <v>15500</v>
      </c>
      <c r="N4" s="318">
        <v>0</v>
      </c>
      <c r="O4" s="318">
        <v>0</v>
      </c>
      <c r="P4" s="319">
        <f t="shared" ref="P4:P14" si="0">SUM(M4:O4)</f>
        <v>15500</v>
      </c>
    </row>
    <row r="5" spans="1:16" ht="15" customHeight="1" outlineLevel="2" x14ac:dyDescent="0.2">
      <c r="B5" s="314" t="s">
        <v>464</v>
      </c>
      <c r="C5" s="320" t="s">
        <v>528</v>
      </c>
      <c r="D5" s="316" t="s">
        <v>15</v>
      </c>
      <c r="E5" s="316"/>
      <c r="F5" s="316" t="s">
        <v>557</v>
      </c>
      <c r="G5" s="316" t="s">
        <v>412</v>
      </c>
      <c r="H5" s="316" t="s">
        <v>106</v>
      </c>
      <c r="I5" s="317" t="s">
        <v>102</v>
      </c>
      <c r="J5" s="317" t="s">
        <v>361</v>
      </c>
      <c r="K5" s="316" t="s">
        <v>510</v>
      </c>
      <c r="L5" s="317" t="s">
        <v>126</v>
      </c>
      <c r="M5" s="318">
        <v>72065</v>
      </c>
      <c r="N5" s="318">
        <v>440</v>
      </c>
      <c r="O5" s="318">
        <v>11990</v>
      </c>
      <c r="P5" s="319">
        <f t="shared" si="0"/>
        <v>84495</v>
      </c>
    </row>
    <row r="6" spans="1:16" ht="15" customHeight="1" outlineLevel="2" x14ac:dyDescent="0.2">
      <c r="B6" s="314" t="s">
        <v>464</v>
      </c>
      <c r="C6" s="320" t="s">
        <v>528</v>
      </c>
      <c r="D6" s="316" t="s">
        <v>15</v>
      </c>
      <c r="E6" s="316"/>
      <c r="F6" s="316" t="s">
        <v>557</v>
      </c>
      <c r="G6" s="316" t="s">
        <v>18</v>
      </c>
      <c r="H6" s="316" t="s">
        <v>107</v>
      </c>
      <c r="I6" s="317" t="s">
        <v>102</v>
      </c>
      <c r="J6" s="317" t="s">
        <v>361</v>
      </c>
      <c r="K6" s="316" t="s">
        <v>510</v>
      </c>
      <c r="L6" s="317" t="s">
        <v>127</v>
      </c>
      <c r="M6" s="318">
        <v>17651</v>
      </c>
      <c r="N6" s="318">
        <v>0</v>
      </c>
      <c r="O6" s="318">
        <v>0</v>
      </c>
      <c r="P6" s="319">
        <f t="shared" si="0"/>
        <v>17651</v>
      </c>
    </row>
    <row r="7" spans="1:16" ht="15" customHeight="1" outlineLevel="2" x14ac:dyDescent="0.2">
      <c r="B7" s="314" t="s">
        <v>464</v>
      </c>
      <c r="C7" s="320" t="s">
        <v>528</v>
      </c>
      <c r="D7" s="316" t="s">
        <v>15</v>
      </c>
      <c r="E7" s="316"/>
      <c r="F7" s="316" t="s">
        <v>557</v>
      </c>
      <c r="G7" s="316" t="s">
        <v>16</v>
      </c>
      <c r="H7" s="316" t="s">
        <v>108</v>
      </c>
      <c r="I7" s="317" t="s">
        <v>102</v>
      </c>
      <c r="J7" s="317" t="s">
        <v>361</v>
      </c>
      <c r="K7" s="316" t="s">
        <v>510</v>
      </c>
      <c r="L7" s="317" t="s">
        <v>128</v>
      </c>
      <c r="M7" s="318">
        <v>25000</v>
      </c>
      <c r="N7" s="318" t="s">
        <v>94</v>
      </c>
      <c r="O7" s="318" t="s">
        <v>94</v>
      </c>
      <c r="P7" s="319">
        <f t="shared" si="0"/>
        <v>25000</v>
      </c>
    </row>
    <row r="8" spans="1:16" ht="15" customHeight="1" outlineLevel="2" x14ac:dyDescent="0.2">
      <c r="B8" s="314" t="s">
        <v>464</v>
      </c>
      <c r="C8" s="320" t="s">
        <v>528</v>
      </c>
      <c r="D8" s="316" t="s">
        <v>15</v>
      </c>
      <c r="E8" s="316"/>
      <c r="F8" s="316" t="s">
        <v>557</v>
      </c>
      <c r="G8" s="316" t="s">
        <v>37</v>
      </c>
      <c r="H8" s="316" t="s">
        <v>109</v>
      </c>
      <c r="I8" s="317" t="s">
        <v>102</v>
      </c>
      <c r="J8" s="317" t="s">
        <v>361</v>
      </c>
      <c r="K8" s="316" t="s">
        <v>510</v>
      </c>
      <c r="L8" s="317" t="s">
        <v>129</v>
      </c>
      <c r="M8" s="318">
        <v>181471</v>
      </c>
      <c r="N8" s="318">
        <v>150513</v>
      </c>
      <c r="O8" s="318">
        <v>150513</v>
      </c>
      <c r="P8" s="319">
        <f t="shared" si="0"/>
        <v>482497</v>
      </c>
    </row>
    <row r="9" spans="1:16" ht="15" customHeight="1" outlineLevel="2" x14ac:dyDescent="0.2">
      <c r="B9" s="314" t="s">
        <v>463</v>
      </c>
      <c r="C9" s="320" t="s">
        <v>528</v>
      </c>
      <c r="D9" s="316" t="s">
        <v>15</v>
      </c>
      <c r="E9" s="321" t="s">
        <v>192</v>
      </c>
      <c r="F9" s="316" t="s">
        <v>557</v>
      </c>
      <c r="G9" s="321" t="s">
        <v>583</v>
      </c>
      <c r="H9" s="321" t="s">
        <v>394</v>
      </c>
      <c r="I9" s="317" t="s">
        <v>102</v>
      </c>
      <c r="J9" s="317" t="s">
        <v>361</v>
      </c>
      <c r="K9" s="316" t="s">
        <v>510</v>
      </c>
      <c r="L9" s="322" t="s">
        <v>310</v>
      </c>
      <c r="M9" s="323">
        <v>72100</v>
      </c>
      <c r="N9" s="323">
        <v>0</v>
      </c>
      <c r="O9" s="323">
        <v>0</v>
      </c>
      <c r="P9" s="319">
        <f t="shared" si="0"/>
        <v>72100</v>
      </c>
    </row>
    <row r="10" spans="1:16" ht="15" customHeight="1" outlineLevel="2" x14ac:dyDescent="0.2">
      <c r="B10" s="314" t="s">
        <v>463</v>
      </c>
      <c r="C10" s="320" t="s">
        <v>528</v>
      </c>
      <c r="D10" s="316" t="s">
        <v>15</v>
      </c>
      <c r="E10" s="321" t="s">
        <v>222</v>
      </c>
      <c r="F10" s="316" t="s">
        <v>557</v>
      </c>
      <c r="G10" s="321" t="s">
        <v>584</v>
      </c>
      <c r="H10" s="321" t="s">
        <v>395</v>
      </c>
      <c r="I10" s="317" t="s">
        <v>102</v>
      </c>
      <c r="J10" s="317" t="s">
        <v>361</v>
      </c>
      <c r="K10" s="316" t="s">
        <v>510</v>
      </c>
      <c r="L10" s="322" t="s">
        <v>312</v>
      </c>
      <c r="M10" s="323">
        <v>103408</v>
      </c>
      <c r="N10" s="323">
        <v>0</v>
      </c>
      <c r="O10" s="323">
        <v>0</v>
      </c>
      <c r="P10" s="319">
        <f t="shared" si="0"/>
        <v>103408</v>
      </c>
    </row>
    <row r="11" spans="1:16" ht="15" customHeight="1" outlineLevel="2" x14ac:dyDescent="0.2">
      <c r="B11" s="314" t="s">
        <v>463</v>
      </c>
      <c r="C11" s="320" t="s">
        <v>528</v>
      </c>
      <c r="D11" s="316" t="s">
        <v>15</v>
      </c>
      <c r="E11" s="321" t="s">
        <v>224</v>
      </c>
      <c r="F11" s="316" t="s">
        <v>557</v>
      </c>
      <c r="G11" s="321" t="s">
        <v>585</v>
      </c>
      <c r="H11" s="321" t="s">
        <v>315</v>
      </c>
      <c r="I11" s="317" t="s">
        <v>102</v>
      </c>
      <c r="J11" s="317" t="s">
        <v>361</v>
      </c>
      <c r="K11" s="316" t="s">
        <v>510</v>
      </c>
      <c r="L11" s="322" t="s">
        <v>314</v>
      </c>
      <c r="M11" s="323">
        <v>13156</v>
      </c>
      <c r="N11" s="323">
        <v>0</v>
      </c>
      <c r="O11" s="323">
        <v>0</v>
      </c>
      <c r="P11" s="319">
        <f t="shared" si="0"/>
        <v>13156</v>
      </c>
    </row>
    <row r="12" spans="1:16" ht="15" customHeight="1" outlineLevel="2" x14ac:dyDescent="0.2">
      <c r="B12" s="314" t="s">
        <v>463</v>
      </c>
      <c r="C12" s="320" t="s">
        <v>528</v>
      </c>
      <c r="D12" s="316" t="s">
        <v>15</v>
      </c>
      <c r="E12" s="321" t="s">
        <v>208</v>
      </c>
      <c r="F12" s="316" t="s">
        <v>557</v>
      </c>
      <c r="G12" s="321" t="s">
        <v>586</v>
      </c>
      <c r="H12" s="321" t="s">
        <v>396</v>
      </c>
      <c r="I12" s="317" t="s">
        <v>102</v>
      </c>
      <c r="J12" s="317" t="s">
        <v>361</v>
      </c>
      <c r="K12" s="316" t="s">
        <v>510</v>
      </c>
      <c r="L12" s="322" t="s">
        <v>316</v>
      </c>
      <c r="M12" s="323">
        <v>16381.92</v>
      </c>
      <c r="N12" s="323">
        <v>125</v>
      </c>
      <c r="O12" s="323">
        <v>125</v>
      </c>
      <c r="P12" s="319">
        <f t="shared" si="0"/>
        <v>16631.919999999998</v>
      </c>
    </row>
    <row r="13" spans="1:16" ht="15" customHeight="1" outlineLevel="2" x14ac:dyDescent="0.2">
      <c r="B13" s="314" t="s">
        <v>463</v>
      </c>
      <c r="C13" s="320" t="s">
        <v>528</v>
      </c>
      <c r="D13" s="316" t="s">
        <v>15</v>
      </c>
      <c r="E13" s="321" t="s">
        <v>205</v>
      </c>
      <c r="F13" s="316" t="s">
        <v>557</v>
      </c>
      <c r="G13" s="321" t="s">
        <v>587</v>
      </c>
      <c r="H13" s="321" t="s">
        <v>397</v>
      </c>
      <c r="I13" s="317" t="s">
        <v>102</v>
      </c>
      <c r="J13" s="317" t="s">
        <v>361</v>
      </c>
      <c r="K13" s="316" t="s">
        <v>510</v>
      </c>
      <c r="L13" s="322" t="s">
        <v>317</v>
      </c>
      <c r="M13" s="323">
        <v>13711</v>
      </c>
      <c r="N13" s="323">
        <v>0</v>
      </c>
      <c r="O13" s="323">
        <v>0</v>
      </c>
      <c r="P13" s="319">
        <f t="shared" si="0"/>
        <v>13711</v>
      </c>
    </row>
    <row r="14" spans="1:16" ht="15" customHeight="1" outlineLevel="2" x14ac:dyDescent="0.2">
      <c r="B14" s="314" t="s">
        <v>463</v>
      </c>
      <c r="C14" s="320" t="s">
        <v>528</v>
      </c>
      <c r="D14" s="316" t="s">
        <v>15</v>
      </c>
      <c r="E14" s="321" t="s">
        <v>205</v>
      </c>
      <c r="F14" s="316" t="s">
        <v>557</v>
      </c>
      <c r="G14" s="321" t="s">
        <v>588</v>
      </c>
      <c r="H14" s="321" t="s">
        <v>320</v>
      </c>
      <c r="I14" s="317" t="s">
        <v>102</v>
      </c>
      <c r="J14" s="317" t="s">
        <v>361</v>
      </c>
      <c r="K14" s="316" t="s">
        <v>510</v>
      </c>
      <c r="L14" s="322" t="s">
        <v>319</v>
      </c>
      <c r="M14" s="323">
        <v>25534.6</v>
      </c>
      <c r="N14" s="323">
        <v>25534.6</v>
      </c>
      <c r="O14" s="323">
        <v>25534.6</v>
      </c>
      <c r="P14" s="319">
        <f t="shared" si="0"/>
        <v>76603.799999999988</v>
      </c>
    </row>
    <row r="15" spans="1:16" ht="15" customHeight="1" outlineLevel="1" x14ac:dyDescent="0.25">
      <c r="A15" s="366" t="s">
        <v>568</v>
      </c>
      <c r="B15" s="324"/>
      <c r="C15" s="325"/>
      <c r="D15" s="326"/>
      <c r="E15" s="324"/>
      <c r="F15" s="327"/>
      <c r="G15" s="324"/>
      <c r="H15" s="324"/>
      <c r="I15" s="328"/>
      <c r="J15" s="328"/>
      <c r="K15" s="327"/>
      <c r="L15" s="329"/>
      <c r="M15" s="330">
        <f>SUM(M4:M14)</f>
        <v>555978.5199999999</v>
      </c>
      <c r="N15" s="330">
        <f t="shared" ref="N15:O15" si="1">SUM(N4:N14)</f>
        <v>176612.6</v>
      </c>
      <c r="O15" s="330">
        <f t="shared" si="1"/>
        <v>188162.6</v>
      </c>
      <c r="P15" s="331">
        <f>SUM(P4:P14)</f>
        <v>920753.72</v>
      </c>
    </row>
    <row r="16" spans="1:16" ht="15" customHeight="1" outlineLevel="2" x14ac:dyDescent="0.2">
      <c r="B16" s="314" t="s">
        <v>464</v>
      </c>
      <c r="C16" s="315" t="s">
        <v>528</v>
      </c>
      <c r="D16" s="316" t="s">
        <v>29</v>
      </c>
      <c r="E16" s="316"/>
      <c r="F16" s="316" t="s">
        <v>554</v>
      </c>
      <c r="G16" s="316" t="s">
        <v>28</v>
      </c>
      <c r="H16" s="316" t="s">
        <v>110</v>
      </c>
      <c r="I16" s="317" t="s">
        <v>102</v>
      </c>
      <c r="J16" s="317" t="s">
        <v>387</v>
      </c>
      <c r="K16" s="316" t="s">
        <v>510</v>
      </c>
      <c r="L16" s="317" t="s">
        <v>130</v>
      </c>
      <c r="M16" s="318">
        <v>42027</v>
      </c>
      <c r="N16" s="318">
        <v>0</v>
      </c>
      <c r="O16" s="318">
        <v>1689</v>
      </c>
      <c r="P16" s="319">
        <f>SUM(M16:O16)</f>
        <v>43716</v>
      </c>
    </row>
    <row r="17" spans="1:16" ht="15" customHeight="1" outlineLevel="2" x14ac:dyDescent="0.2">
      <c r="B17" s="314" t="s">
        <v>464</v>
      </c>
      <c r="C17" s="315" t="s">
        <v>528</v>
      </c>
      <c r="D17" s="316" t="s">
        <v>29</v>
      </c>
      <c r="E17" s="316"/>
      <c r="F17" s="316" t="s">
        <v>554</v>
      </c>
      <c r="G17" s="316" t="s">
        <v>36</v>
      </c>
      <c r="H17" s="316" t="s">
        <v>111</v>
      </c>
      <c r="I17" s="317" t="s">
        <v>102</v>
      </c>
      <c r="J17" s="317" t="s">
        <v>387</v>
      </c>
      <c r="K17" s="316" t="s">
        <v>510</v>
      </c>
      <c r="L17" s="317" t="s">
        <v>131</v>
      </c>
      <c r="M17" s="318">
        <v>4056</v>
      </c>
      <c r="N17" s="318">
        <v>0</v>
      </c>
      <c r="O17" s="318">
        <v>0</v>
      </c>
      <c r="P17" s="319">
        <f>SUM(M17:O17)</f>
        <v>4056</v>
      </c>
    </row>
    <row r="18" spans="1:16" ht="15" customHeight="1" outlineLevel="2" x14ac:dyDescent="0.2">
      <c r="B18" s="314" t="s">
        <v>463</v>
      </c>
      <c r="C18" s="315" t="s">
        <v>528</v>
      </c>
      <c r="D18" s="314" t="s">
        <v>323</v>
      </c>
      <c r="E18" s="314" t="s">
        <v>254</v>
      </c>
      <c r="F18" s="316" t="s">
        <v>554</v>
      </c>
      <c r="G18" s="321" t="s">
        <v>598</v>
      </c>
      <c r="H18" s="321" t="s">
        <v>324</v>
      </c>
      <c r="I18" s="317" t="s">
        <v>102</v>
      </c>
      <c r="J18" s="317" t="s">
        <v>387</v>
      </c>
      <c r="K18" s="316" t="s">
        <v>510</v>
      </c>
      <c r="L18" s="322" t="s">
        <v>352</v>
      </c>
      <c r="M18" s="323">
        <v>9415</v>
      </c>
      <c r="N18" s="323">
        <v>0</v>
      </c>
      <c r="O18" s="323">
        <v>0</v>
      </c>
      <c r="P18" s="319">
        <f>SUM(M18:O18)</f>
        <v>9415</v>
      </c>
    </row>
    <row r="19" spans="1:16" ht="15" customHeight="1" outlineLevel="2" x14ac:dyDescent="0.2">
      <c r="B19" s="314" t="s">
        <v>463</v>
      </c>
      <c r="C19" s="315" t="s">
        <v>528</v>
      </c>
      <c r="D19" s="314" t="s">
        <v>323</v>
      </c>
      <c r="E19" s="314" t="s">
        <v>263</v>
      </c>
      <c r="F19" s="316" t="s">
        <v>554</v>
      </c>
      <c r="G19" s="333" t="s">
        <v>599</v>
      </c>
      <c r="H19" s="333" t="s">
        <v>555</v>
      </c>
      <c r="I19" s="338" t="s">
        <v>102</v>
      </c>
      <c r="J19" s="338" t="s">
        <v>387</v>
      </c>
      <c r="K19" s="339" t="s">
        <v>510</v>
      </c>
      <c r="L19" s="334" t="s">
        <v>498</v>
      </c>
      <c r="M19" s="319">
        <v>0</v>
      </c>
      <c r="N19" s="319">
        <v>21300</v>
      </c>
      <c r="O19" s="319">
        <v>0</v>
      </c>
      <c r="P19" s="319">
        <f>SUM(M19:O19)</f>
        <v>21300</v>
      </c>
    </row>
    <row r="20" spans="1:16" ht="15" customHeight="1" outlineLevel="2" x14ac:dyDescent="0.2">
      <c r="B20" s="314" t="s">
        <v>463</v>
      </c>
      <c r="C20" s="315" t="s">
        <v>528</v>
      </c>
      <c r="D20" s="314" t="s">
        <v>323</v>
      </c>
      <c r="E20" s="314" t="s">
        <v>263</v>
      </c>
      <c r="F20" s="316" t="s">
        <v>554</v>
      </c>
      <c r="G20" s="333" t="s">
        <v>600</v>
      </c>
      <c r="H20" s="333" t="s">
        <v>556</v>
      </c>
      <c r="I20" s="338" t="s">
        <v>102</v>
      </c>
      <c r="J20" s="338" t="s">
        <v>387</v>
      </c>
      <c r="K20" s="339" t="s">
        <v>510</v>
      </c>
      <c r="L20" s="334" t="s">
        <v>499</v>
      </c>
      <c r="M20" s="319">
        <v>0</v>
      </c>
      <c r="N20" s="319">
        <v>6708</v>
      </c>
      <c r="O20" s="319">
        <v>600</v>
      </c>
      <c r="P20" s="319">
        <f>SUM(M20:O20)</f>
        <v>7308</v>
      </c>
    </row>
    <row r="21" spans="1:16" ht="15" customHeight="1" outlineLevel="1" x14ac:dyDescent="0.25">
      <c r="A21" s="367" t="s">
        <v>569</v>
      </c>
      <c r="B21" s="324"/>
      <c r="C21" s="325"/>
      <c r="D21" s="326"/>
      <c r="E21" s="327"/>
      <c r="F21" s="327"/>
      <c r="G21" s="327"/>
      <c r="H21" s="327"/>
      <c r="I21" s="328"/>
      <c r="J21" s="328"/>
      <c r="K21" s="327"/>
      <c r="L21" s="328"/>
      <c r="M21" s="330">
        <f t="shared" ref="M21:O21" si="2">SUM(M16:M20)</f>
        <v>55498</v>
      </c>
      <c r="N21" s="330">
        <f t="shared" si="2"/>
        <v>28008</v>
      </c>
      <c r="O21" s="330">
        <f t="shared" si="2"/>
        <v>2289</v>
      </c>
      <c r="P21" s="331">
        <f>SUM(P16:P20)</f>
        <v>85795</v>
      </c>
    </row>
    <row r="22" spans="1:16" ht="15" customHeight="1" outlineLevel="2" x14ac:dyDescent="0.2">
      <c r="B22" s="314" t="s">
        <v>464</v>
      </c>
      <c r="C22" s="315" t="s">
        <v>528</v>
      </c>
      <c r="D22" s="316" t="s">
        <v>11</v>
      </c>
      <c r="E22" s="316"/>
      <c r="F22" s="316" t="s">
        <v>536</v>
      </c>
      <c r="G22" s="316" t="s">
        <v>19</v>
      </c>
      <c r="H22" s="316" t="s">
        <v>537</v>
      </c>
      <c r="I22" s="317" t="s">
        <v>102</v>
      </c>
      <c r="J22" s="317" t="s">
        <v>363</v>
      </c>
      <c r="K22" s="332" t="s">
        <v>510</v>
      </c>
      <c r="L22" s="317" t="s">
        <v>132</v>
      </c>
      <c r="M22" s="318">
        <v>5500</v>
      </c>
      <c r="N22" s="318">
        <v>0</v>
      </c>
      <c r="O22" s="318">
        <v>0</v>
      </c>
      <c r="P22" s="319">
        <f t="shared" ref="P22:P32" si="3">SUM(M22:O22)</f>
        <v>5500</v>
      </c>
    </row>
    <row r="23" spans="1:16" ht="15" customHeight="1" outlineLevel="2" x14ac:dyDescent="0.2">
      <c r="B23" s="314" t="s">
        <v>464</v>
      </c>
      <c r="C23" s="320" t="s">
        <v>528</v>
      </c>
      <c r="D23" s="316" t="s">
        <v>11</v>
      </c>
      <c r="E23" s="316" t="s">
        <v>196</v>
      </c>
      <c r="F23" s="316" t="s">
        <v>536</v>
      </c>
      <c r="G23" s="316" t="s">
        <v>38</v>
      </c>
      <c r="H23" s="316" t="s">
        <v>538</v>
      </c>
      <c r="I23" s="317" t="s">
        <v>102</v>
      </c>
      <c r="J23" s="317" t="s">
        <v>363</v>
      </c>
      <c r="K23" s="332" t="s">
        <v>510</v>
      </c>
      <c r="L23" s="317" t="s">
        <v>133</v>
      </c>
      <c r="M23" s="318">
        <v>35125</v>
      </c>
      <c r="N23" s="318">
        <v>0</v>
      </c>
      <c r="O23" s="318">
        <v>0</v>
      </c>
      <c r="P23" s="319">
        <f t="shared" si="3"/>
        <v>35125</v>
      </c>
    </row>
    <row r="24" spans="1:16" ht="15" customHeight="1" outlineLevel="2" x14ac:dyDescent="0.2">
      <c r="B24" s="314" t="s">
        <v>464</v>
      </c>
      <c r="C24" s="320" t="s">
        <v>528</v>
      </c>
      <c r="D24" s="316" t="s">
        <v>11</v>
      </c>
      <c r="E24" s="316" t="s">
        <v>196</v>
      </c>
      <c r="F24" s="316" t="s">
        <v>536</v>
      </c>
      <c r="G24" s="316" t="s">
        <v>17</v>
      </c>
      <c r="H24" s="316" t="s">
        <v>539</v>
      </c>
      <c r="I24" s="317" t="s">
        <v>102</v>
      </c>
      <c r="J24" s="317" t="s">
        <v>363</v>
      </c>
      <c r="K24" s="332" t="s">
        <v>510</v>
      </c>
      <c r="L24" s="317" t="s">
        <v>134</v>
      </c>
      <c r="M24" s="318">
        <v>22500</v>
      </c>
      <c r="N24" s="318">
        <v>0</v>
      </c>
      <c r="O24" s="318">
        <v>0</v>
      </c>
      <c r="P24" s="319">
        <f t="shared" si="3"/>
        <v>22500</v>
      </c>
    </row>
    <row r="25" spans="1:16" ht="15" customHeight="1" outlineLevel="2" x14ac:dyDescent="0.2">
      <c r="B25" s="314" t="s">
        <v>464</v>
      </c>
      <c r="C25" s="320" t="s">
        <v>528</v>
      </c>
      <c r="D25" s="316" t="s">
        <v>11</v>
      </c>
      <c r="E25" s="316" t="s">
        <v>196</v>
      </c>
      <c r="F25" s="316" t="s">
        <v>536</v>
      </c>
      <c r="G25" s="316" t="s">
        <v>10</v>
      </c>
      <c r="H25" s="316" t="s">
        <v>540</v>
      </c>
      <c r="I25" s="317" t="s">
        <v>102</v>
      </c>
      <c r="J25" s="317" t="s">
        <v>363</v>
      </c>
      <c r="K25" s="332" t="s">
        <v>510</v>
      </c>
      <c r="L25" s="317" t="s">
        <v>135</v>
      </c>
      <c r="M25" s="318">
        <v>15000</v>
      </c>
      <c r="N25" s="318">
        <v>0</v>
      </c>
      <c r="O25" s="318">
        <v>0</v>
      </c>
      <c r="P25" s="319">
        <f t="shared" si="3"/>
        <v>15000</v>
      </c>
    </row>
    <row r="26" spans="1:16" ht="15" customHeight="1" outlineLevel="2" x14ac:dyDescent="0.2">
      <c r="B26" s="314" t="s">
        <v>463</v>
      </c>
      <c r="C26" s="320" t="s">
        <v>528</v>
      </c>
      <c r="D26" s="316" t="s">
        <v>11</v>
      </c>
      <c r="E26" s="321" t="s">
        <v>196</v>
      </c>
      <c r="F26" s="316" t="s">
        <v>536</v>
      </c>
      <c r="G26" s="321" t="s">
        <v>589</v>
      </c>
      <c r="H26" s="321" t="s">
        <v>398</v>
      </c>
      <c r="I26" s="317" t="s">
        <v>102</v>
      </c>
      <c r="J26" s="317" t="s">
        <v>363</v>
      </c>
      <c r="K26" s="332" t="s">
        <v>510</v>
      </c>
      <c r="L26" s="322" t="s">
        <v>353</v>
      </c>
      <c r="M26" s="323">
        <v>24000</v>
      </c>
      <c r="N26" s="323">
        <v>0</v>
      </c>
      <c r="O26" s="323">
        <v>0</v>
      </c>
      <c r="P26" s="319">
        <f t="shared" si="3"/>
        <v>24000</v>
      </c>
    </row>
    <row r="27" spans="1:16" ht="15" customHeight="1" outlineLevel="2" x14ac:dyDescent="0.2">
      <c r="B27" s="314" t="s">
        <v>463</v>
      </c>
      <c r="C27" s="320" t="s">
        <v>528</v>
      </c>
      <c r="D27" s="316" t="s">
        <v>11</v>
      </c>
      <c r="E27" s="321" t="s">
        <v>234</v>
      </c>
      <c r="F27" s="316" t="s">
        <v>536</v>
      </c>
      <c r="G27" s="321" t="s">
        <v>590</v>
      </c>
      <c r="H27" s="321" t="s">
        <v>399</v>
      </c>
      <c r="I27" s="317" t="s">
        <v>102</v>
      </c>
      <c r="J27" s="317" t="s">
        <v>363</v>
      </c>
      <c r="K27" s="332" t="s">
        <v>510</v>
      </c>
      <c r="L27" s="322" t="s">
        <v>354</v>
      </c>
      <c r="M27" s="323">
        <v>19500</v>
      </c>
      <c r="N27" s="323">
        <v>0</v>
      </c>
      <c r="O27" s="323">
        <v>0</v>
      </c>
      <c r="P27" s="319">
        <f t="shared" si="3"/>
        <v>19500</v>
      </c>
    </row>
    <row r="28" spans="1:16" ht="15" customHeight="1" outlineLevel="2" x14ac:dyDescent="0.2">
      <c r="B28" s="314" t="s">
        <v>463</v>
      </c>
      <c r="C28" s="320" t="s">
        <v>528</v>
      </c>
      <c r="D28" s="316" t="s">
        <v>11</v>
      </c>
      <c r="E28" s="314" t="s">
        <v>234</v>
      </c>
      <c r="F28" s="316" t="s">
        <v>536</v>
      </c>
      <c r="G28" s="333" t="s">
        <v>591</v>
      </c>
      <c r="H28" s="333" t="s">
        <v>327</v>
      </c>
      <c r="I28" s="317" t="s">
        <v>102</v>
      </c>
      <c r="J28" s="317" t="s">
        <v>363</v>
      </c>
      <c r="K28" s="332" t="s">
        <v>510</v>
      </c>
      <c r="L28" s="334" t="s">
        <v>325</v>
      </c>
      <c r="M28" s="319">
        <v>8000</v>
      </c>
      <c r="N28" s="319">
        <v>0</v>
      </c>
      <c r="O28" s="319">
        <v>0</v>
      </c>
      <c r="P28" s="319">
        <f t="shared" si="3"/>
        <v>8000</v>
      </c>
    </row>
    <row r="29" spans="1:16" ht="15" customHeight="1" outlineLevel="2" x14ac:dyDescent="0.2">
      <c r="B29" s="314" t="s">
        <v>463</v>
      </c>
      <c r="C29" s="320" t="s">
        <v>528</v>
      </c>
      <c r="D29" s="316" t="s">
        <v>11</v>
      </c>
      <c r="E29" s="321" t="s">
        <v>236</v>
      </c>
      <c r="F29" s="316" t="s">
        <v>536</v>
      </c>
      <c r="G29" s="321" t="s">
        <v>592</v>
      </c>
      <c r="H29" s="321" t="s">
        <v>541</v>
      </c>
      <c r="I29" s="317" t="s">
        <v>102</v>
      </c>
      <c r="J29" s="317" t="s">
        <v>363</v>
      </c>
      <c r="K29" s="332" t="s">
        <v>510</v>
      </c>
      <c r="L29" s="322" t="s">
        <v>326</v>
      </c>
      <c r="M29" s="323">
        <v>19003.259999999998</v>
      </c>
      <c r="N29" s="323">
        <v>0</v>
      </c>
      <c r="O29" s="323">
        <v>0</v>
      </c>
      <c r="P29" s="319">
        <f t="shared" si="3"/>
        <v>19003.259999999998</v>
      </c>
    </row>
    <row r="30" spans="1:16" ht="15" customHeight="1" outlineLevel="2" x14ac:dyDescent="0.2">
      <c r="B30" s="314" t="s">
        <v>463</v>
      </c>
      <c r="C30" s="320" t="s">
        <v>528</v>
      </c>
      <c r="D30" s="316" t="s">
        <v>11</v>
      </c>
      <c r="E30" s="321" t="s">
        <v>236</v>
      </c>
      <c r="F30" s="316" t="s">
        <v>536</v>
      </c>
      <c r="G30" s="321" t="s">
        <v>593</v>
      </c>
      <c r="H30" s="321" t="s">
        <v>542</v>
      </c>
      <c r="I30" s="317" t="s">
        <v>102</v>
      </c>
      <c r="J30" s="317" t="s">
        <v>363</v>
      </c>
      <c r="K30" s="332" t="s">
        <v>510</v>
      </c>
      <c r="L30" s="322" t="s">
        <v>378</v>
      </c>
      <c r="M30" s="323">
        <v>22444.95</v>
      </c>
      <c r="N30" s="323">
        <v>0</v>
      </c>
      <c r="O30" s="323">
        <v>0</v>
      </c>
      <c r="P30" s="319">
        <f t="shared" si="3"/>
        <v>22444.95</v>
      </c>
    </row>
    <row r="31" spans="1:16" ht="15" customHeight="1" outlineLevel="2" x14ac:dyDescent="0.2">
      <c r="B31" s="314" t="s">
        <v>463</v>
      </c>
      <c r="C31" s="320" t="s">
        <v>194</v>
      </c>
      <c r="D31" s="314" t="s">
        <v>196</v>
      </c>
      <c r="E31" s="314" t="s">
        <v>543</v>
      </c>
      <c r="F31" s="316" t="s">
        <v>536</v>
      </c>
      <c r="G31" s="341" t="s">
        <v>601</v>
      </c>
      <c r="H31" s="341" t="s">
        <v>544</v>
      </c>
      <c r="I31" s="338" t="s">
        <v>102</v>
      </c>
      <c r="J31" s="338" t="s">
        <v>363</v>
      </c>
      <c r="K31" s="342" t="s">
        <v>510</v>
      </c>
      <c r="L31" s="322" t="s">
        <v>492</v>
      </c>
      <c r="M31" s="323">
        <v>0</v>
      </c>
      <c r="N31" s="323">
        <v>5080</v>
      </c>
      <c r="O31" s="323">
        <v>0</v>
      </c>
      <c r="P31" s="319">
        <f t="shared" si="3"/>
        <v>5080</v>
      </c>
    </row>
    <row r="32" spans="1:16" ht="15" customHeight="1" outlineLevel="2" x14ac:dyDescent="0.2">
      <c r="B32" s="314" t="s">
        <v>463</v>
      </c>
      <c r="C32" s="320" t="s">
        <v>528</v>
      </c>
      <c r="D32" s="314" t="s">
        <v>196</v>
      </c>
      <c r="E32" s="314" t="s">
        <v>200</v>
      </c>
      <c r="F32" s="316" t="s">
        <v>536</v>
      </c>
      <c r="G32" s="321" t="s">
        <v>602</v>
      </c>
      <c r="H32" s="321" t="s">
        <v>545</v>
      </c>
      <c r="I32" s="338" t="s">
        <v>102</v>
      </c>
      <c r="J32" s="338" t="s">
        <v>363</v>
      </c>
      <c r="K32" s="342" t="s">
        <v>510</v>
      </c>
      <c r="L32" s="322" t="s">
        <v>493</v>
      </c>
      <c r="M32" s="323">
        <v>0</v>
      </c>
      <c r="N32" s="323">
        <v>900</v>
      </c>
      <c r="O32" s="323">
        <v>0</v>
      </c>
      <c r="P32" s="319">
        <f t="shared" si="3"/>
        <v>900</v>
      </c>
    </row>
    <row r="33" spans="1:16" ht="15" customHeight="1" outlineLevel="1" x14ac:dyDescent="0.25">
      <c r="A33" s="367" t="s">
        <v>570</v>
      </c>
      <c r="B33" s="324"/>
      <c r="C33" s="325"/>
      <c r="D33" s="326"/>
      <c r="E33" s="324"/>
      <c r="F33" s="327"/>
      <c r="G33" s="324"/>
      <c r="H33" s="324"/>
      <c r="I33" s="328"/>
      <c r="J33" s="328"/>
      <c r="K33" s="335"/>
      <c r="L33" s="329"/>
      <c r="M33" s="330">
        <f t="shared" ref="M33:O33" si="4">SUM(M22:M32)</f>
        <v>171073.21000000002</v>
      </c>
      <c r="N33" s="330">
        <f t="shared" si="4"/>
        <v>5980</v>
      </c>
      <c r="O33" s="330">
        <f t="shared" si="4"/>
        <v>0</v>
      </c>
      <c r="P33" s="331">
        <f>SUM(P22:P32)</f>
        <v>177053.21000000002</v>
      </c>
    </row>
    <row r="34" spans="1:16" ht="15" customHeight="1" outlineLevel="2" x14ac:dyDescent="0.2">
      <c r="B34" s="314" t="s">
        <v>464</v>
      </c>
      <c r="C34" s="315" t="s">
        <v>528</v>
      </c>
      <c r="D34" s="316" t="s">
        <v>25</v>
      </c>
      <c r="E34" s="316" t="s">
        <v>25</v>
      </c>
      <c r="F34" s="321" t="s">
        <v>546</v>
      </c>
      <c r="G34" s="316" t="s">
        <v>45</v>
      </c>
      <c r="H34" s="316" t="s">
        <v>547</v>
      </c>
      <c r="I34" s="317" t="s">
        <v>102</v>
      </c>
      <c r="J34" s="317" t="s">
        <v>364</v>
      </c>
      <c r="K34" s="316" t="s">
        <v>510</v>
      </c>
      <c r="L34" s="317" t="s">
        <v>136</v>
      </c>
      <c r="M34" s="318">
        <v>90500</v>
      </c>
      <c r="N34" s="318">
        <v>32500</v>
      </c>
      <c r="O34" s="318">
        <v>32500</v>
      </c>
      <c r="P34" s="319">
        <f>SUM(M34:O34)</f>
        <v>155500</v>
      </c>
    </row>
    <row r="35" spans="1:16" ht="15" customHeight="1" outlineLevel="2" x14ac:dyDescent="0.2">
      <c r="B35" s="314" t="s">
        <v>464</v>
      </c>
      <c r="C35" s="315" t="s">
        <v>528</v>
      </c>
      <c r="D35" s="316" t="s">
        <v>25</v>
      </c>
      <c r="E35" s="316" t="s">
        <v>25</v>
      </c>
      <c r="F35" s="321" t="s">
        <v>546</v>
      </c>
      <c r="G35" s="316" t="s">
        <v>47</v>
      </c>
      <c r="H35" s="316" t="s">
        <v>548</v>
      </c>
      <c r="I35" s="317" t="s">
        <v>102</v>
      </c>
      <c r="J35" s="317" t="s">
        <v>364</v>
      </c>
      <c r="K35" s="316" t="s">
        <v>510</v>
      </c>
      <c r="L35" s="317" t="s">
        <v>137</v>
      </c>
      <c r="M35" s="318">
        <v>4774.16</v>
      </c>
      <c r="N35" s="318">
        <v>4774.16</v>
      </c>
      <c r="O35" s="318">
        <v>4774.16</v>
      </c>
      <c r="P35" s="319">
        <f>SUM(M35:O35)</f>
        <v>14322.48</v>
      </c>
    </row>
    <row r="36" spans="1:16" ht="15" customHeight="1" outlineLevel="2" x14ac:dyDescent="0.2">
      <c r="B36" s="314" t="s">
        <v>463</v>
      </c>
      <c r="C36" s="315" t="s">
        <v>528</v>
      </c>
      <c r="D36" s="316" t="s">
        <v>25</v>
      </c>
      <c r="E36" s="321" t="s">
        <v>210</v>
      </c>
      <c r="F36" s="321" t="s">
        <v>546</v>
      </c>
      <c r="G36" s="321" t="s">
        <v>594</v>
      </c>
      <c r="H36" s="321" t="s">
        <v>402</v>
      </c>
      <c r="I36" s="317" t="s">
        <v>102</v>
      </c>
      <c r="J36" s="317" t="s">
        <v>364</v>
      </c>
      <c r="K36" s="316" t="s">
        <v>510</v>
      </c>
      <c r="L36" s="322" t="s">
        <v>329</v>
      </c>
      <c r="M36" s="323">
        <v>8800</v>
      </c>
      <c r="N36" s="323">
        <v>3100</v>
      </c>
      <c r="O36" s="323">
        <v>3100</v>
      </c>
      <c r="P36" s="319">
        <f>SUM(M36:O36)</f>
        <v>15000</v>
      </c>
    </row>
    <row r="37" spans="1:16" ht="15" customHeight="1" outlineLevel="2" x14ac:dyDescent="0.2">
      <c r="B37" s="314" t="s">
        <v>463</v>
      </c>
      <c r="C37" s="315" t="s">
        <v>528</v>
      </c>
      <c r="D37" s="316" t="s">
        <v>25</v>
      </c>
      <c r="E37" s="314" t="s">
        <v>267</v>
      </c>
      <c r="F37" s="321" t="s">
        <v>546</v>
      </c>
      <c r="G37" s="333" t="s">
        <v>595</v>
      </c>
      <c r="H37" s="333" t="s">
        <v>405</v>
      </c>
      <c r="I37" s="317" t="s">
        <v>102</v>
      </c>
      <c r="J37" s="317" t="s">
        <v>364</v>
      </c>
      <c r="K37" s="316" t="s">
        <v>510</v>
      </c>
      <c r="L37" s="334" t="s">
        <v>332</v>
      </c>
      <c r="M37" s="319">
        <v>7494</v>
      </c>
      <c r="N37" s="319">
        <v>7494</v>
      </c>
      <c r="O37" s="319">
        <v>7494</v>
      </c>
      <c r="P37" s="319">
        <f>SUM(M37:O37)</f>
        <v>22482</v>
      </c>
    </row>
    <row r="38" spans="1:16" ht="15" customHeight="1" outlineLevel="1" x14ac:dyDescent="0.25">
      <c r="A38" s="367" t="s">
        <v>571</v>
      </c>
      <c r="B38" s="324"/>
      <c r="C38" s="325"/>
      <c r="D38" s="326"/>
      <c r="E38" s="324"/>
      <c r="F38" s="324"/>
      <c r="G38" s="324"/>
      <c r="H38" s="324"/>
      <c r="I38" s="328"/>
      <c r="J38" s="328"/>
      <c r="K38" s="327"/>
      <c r="L38" s="329"/>
      <c r="M38" s="330">
        <f t="shared" ref="M38:O38" si="5">SUM(M34:M37)</f>
        <v>111568.16</v>
      </c>
      <c r="N38" s="330">
        <f t="shared" si="5"/>
        <v>47868.160000000003</v>
      </c>
      <c r="O38" s="330">
        <f t="shared" si="5"/>
        <v>47868.160000000003</v>
      </c>
      <c r="P38" s="331">
        <f>SUM(P34:P37)</f>
        <v>207304.48</v>
      </c>
    </row>
    <row r="39" spans="1:16" ht="15" customHeight="1" outlineLevel="2" x14ac:dyDescent="0.2">
      <c r="B39" s="314" t="s">
        <v>464</v>
      </c>
      <c r="C39" s="315" t="s">
        <v>528</v>
      </c>
      <c r="D39" s="316" t="s">
        <v>21</v>
      </c>
      <c r="E39" s="316" t="s">
        <v>551</v>
      </c>
      <c r="F39" s="316" t="s">
        <v>552</v>
      </c>
      <c r="G39" s="316" t="s">
        <v>23</v>
      </c>
      <c r="H39" s="316" t="s">
        <v>151</v>
      </c>
      <c r="I39" s="317" t="s">
        <v>102</v>
      </c>
      <c r="J39" s="317" t="s">
        <v>553</v>
      </c>
      <c r="K39" s="316" t="s">
        <v>510</v>
      </c>
      <c r="L39" s="317" t="s">
        <v>144</v>
      </c>
      <c r="M39" s="318">
        <v>5142</v>
      </c>
      <c r="N39" s="318">
        <v>60000</v>
      </c>
      <c r="O39" s="318">
        <v>0</v>
      </c>
      <c r="P39" s="319">
        <f>SUM(M39:O39)</f>
        <v>65142</v>
      </c>
    </row>
    <row r="40" spans="1:16" ht="15" customHeight="1" outlineLevel="1" x14ac:dyDescent="0.25">
      <c r="A40" s="367" t="s">
        <v>572</v>
      </c>
      <c r="B40" s="324"/>
      <c r="C40" s="325"/>
      <c r="D40" s="337"/>
      <c r="E40" s="327"/>
      <c r="F40" s="327"/>
      <c r="G40" s="327"/>
      <c r="H40" s="327"/>
      <c r="I40" s="328"/>
      <c r="J40" s="328"/>
      <c r="K40" s="327"/>
      <c r="L40" s="328"/>
      <c r="M40" s="330">
        <f t="shared" ref="M40:O40" si="6">SUBTOTAL(9,M39:M39)</f>
        <v>5142</v>
      </c>
      <c r="N40" s="330">
        <f t="shared" si="6"/>
        <v>60000</v>
      </c>
      <c r="O40" s="330">
        <f t="shared" si="6"/>
        <v>0</v>
      </c>
      <c r="P40" s="331">
        <f>SUBTOTAL(9,P39:P39)</f>
        <v>65142</v>
      </c>
    </row>
    <row r="41" spans="1:16" ht="15" customHeight="1" outlineLevel="2" x14ac:dyDescent="0.2">
      <c r="B41" s="314" t="s">
        <v>464</v>
      </c>
      <c r="C41" s="315" t="s">
        <v>528</v>
      </c>
      <c r="D41" s="316" t="s">
        <v>27</v>
      </c>
      <c r="E41" s="316" t="s">
        <v>336</v>
      </c>
      <c r="F41" s="316" t="s">
        <v>529</v>
      </c>
      <c r="G41" s="316" t="s">
        <v>530</v>
      </c>
      <c r="H41" s="316" t="s">
        <v>530</v>
      </c>
      <c r="I41" s="317" t="s">
        <v>102</v>
      </c>
      <c r="J41" s="317" t="s">
        <v>367</v>
      </c>
      <c r="K41" s="332" t="s">
        <v>510</v>
      </c>
      <c r="L41" s="317" t="s">
        <v>145</v>
      </c>
      <c r="M41" s="318">
        <v>23036</v>
      </c>
      <c r="N41" s="318">
        <v>1836</v>
      </c>
      <c r="O41" s="318">
        <v>1836</v>
      </c>
      <c r="P41" s="319">
        <f t="shared" ref="P41:P49" si="7">SUM(M41:O41)</f>
        <v>26708</v>
      </c>
    </row>
    <row r="42" spans="1:16" ht="15" customHeight="1" outlineLevel="2" x14ac:dyDescent="0.2">
      <c r="B42" s="314" t="s">
        <v>464</v>
      </c>
      <c r="C42" s="315" t="s">
        <v>528</v>
      </c>
      <c r="D42" s="316" t="s">
        <v>27</v>
      </c>
      <c r="E42" s="316" t="s">
        <v>336</v>
      </c>
      <c r="F42" s="316" t="s">
        <v>529</v>
      </c>
      <c r="G42" s="316" t="s">
        <v>30</v>
      </c>
      <c r="H42" s="316" t="s">
        <v>531</v>
      </c>
      <c r="I42" s="317" t="s">
        <v>102</v>
      </c>
      <c r="J42" s="317" t="s">
        <v>367</v>
      </c>
      <c r="K42" s="332" t="s">
        <v>510</v>
      </c>
      <c r="L42" s="317" t="s">
        <v>146</v>
      </c>
      <c r="M42" s="318">
        <v>500</v>
      </c>
      <c r="N42" s="318">
        <v>0</v>
      </c>
      <c r="O42" s="318">
        <v>0</v>
      </c>
      <c r="P42" s="319">
        <f t="shared" si="7"/>
        <v>500</v>
      </c>
    </row>
    <row r="43" spans="1:16" ht="15" customHeight="1" outlineLevel="2" x14ac:dyDescent="0.2">
      <c r="B43" s="314" t="s">
        <v>464</v>
      </c>
      <c r="C43" s="315" t="s">
        <v>528</v>
      </c>
      <c r="D43" s="316" t="s">
        <v>27</v>
      </c>
      <c r="E43" s="316" t="s">
        <v>336</v>
      </c>
      <c r="F43" s="316" t="s">
        <v>529</v>
      </c>
      <c r="G43" s="316" t="s">
        <v>26</v>
      </c>
      <c r="H43" s="316" t="s">
        <v>122</v>
      </c>
      <c r="I43" s="317" t="s">
        <v>102</v>
      </c>
      <c r="J43" s="317" t="s">
        <v>367</v>
      </c>
      <c r="K43" s="332" t="s">
        <v>510</v>
      </c>
      <c r="L43" s="317" t="s">
        <v>147</v>
      </c>
      <c r="M43" s="318">
        <v>18990</v>
      </c>
      <c r="N43" s="318">
        <v>0</v>
      </c>
      <c r="O43" s="318">
        <v>0</v>
      </c>
      <c r="P43" s="319">
        <f t="shared" si="7"/>
        <v>18990</v>
      </c>
    </row>
    <row r="44" spans="1:16" ht="15" customHeight="1" outlineLevel="2" x14ac:dyDescent="0.2">
      <c r="B44" s="314" t="s">
        <v>464</v>
      </c>
      <c r="C44" s="315" t="s">
        <v>528</v>
      </c>
      <c r="D44" s="316" t="s">
        <v>27</v>
      </c>
      <c r="E44" s="316" t="s">
        <v>336</v>
      </c>
      <c r="F44" s="316" t="s">
        <v>529</v>
      </c>
      <c r="G44" s="316" t="s">
        <v>42</v>
      </c>
      <c r="H44" s="316" t="s">
        <v>532</v>
      </c>
      <c r="I44" s="317" t="s">
        <v>102</v>
      </c>
      <c r="J44" s="317" t="s">
        <v>367</v>
      </c>
      <c r="K44" s="332" t="s">
        <v>510</v>
      </c>
      <c r="L44" s="317" t="s">
        <v>148</v>
      </c>
      <c r="M44" s="318">
        <v>8389.35</v>
      </c>
      <c r="N44" s="318">
        <v>0</v>
      </c>
      <c r="O44" s="318">
        <v>0</v>
      </c>
      <c r="P44" s="319">
        <f t="shared" si="7"/>
        <v>8389.35</v>
      </c>
    </row>
    <row r="45" spans="1:16" ht="15" customHeight="1" outlineLevel="2" x14ac:dyDescent="0.2">
      <c r="B45" s="314" t="s">
        <v>463</v>
      </c>
      <c r="C45" s="315" t="s">
        <v>528</v>
      </c>
      <c r="D45" s="316" t="s">
        <v>27</v>
      </c>
      <c r="E45" s="336"/>
      <c r="F45" s="316" t="s">
        <v>529</v>
      </c>
      <c r="G45" s="321" t="s">
        <v>596</v>
      </c>
      <c r="H45" s="321" t="s">
        <v>392</v>
      </c>
      <c r="I45" s="317" t="s">
        <v>102</v>
      </c>
      <c r="J45" s="317" t="s">
        <v>367</v>
      </c>
      <c r="K45" s="332" t="s">
        <v>510</v>
      </c>
      <c r="L45" s="322" t="s">
        <v>341</v>
      </c>
      <c r="M45" s="323">
        <v>11158</v>
      </c>
      <c r="N45" s="323">
        <v>500</v>
      </c>
      <c r="O45" s="323">
        <v>500</v>
      </c>
      <c r="P45" s="319">
        <f t="shared" si="7"/>
        <v>12158</v>
      </c>
    </row>
    <row r="46" spans="1:16" ht="15" customHeight="1" outlineLevel="2" x14ac:dyDescent="0.2">
      <c r="B46" s="314" t="s">
        <v>463</v>
      </c>
      <c r="C46" s="315" t="s">
        <v>528</v>
      </c>
      <c r="D46" s="314" t="s">
        <v>336</v>
      </c>
      <c r="E46" s="314" t="s">
        <v>261</v>
      </c>
      <c r="F46" s="316" t="s">
        <v>529</v>
      </c>
      <c r="G46" s="333" t="s">
        <v>609</v>
      </c>
      <c r="H46" s="333" t="s">
        <v>338</v>
      </c>
      <c r="I46" s="317" t="s">
        <v>102</v>
      </c>
      <c r="J46" s="317" t="s">
        <v>367</v>
      </c>
      <c r="K46" s="332" t="s">
        <v>510</v>
      </c>
      <c r="L46" s="334" t="s">
        <v>337</v>
      </c>
      <c r="M46" s="319">
        <v>77674</v>
      </c>
      <c r="N46" s="319">
        <v>5254</v>
      </c>
      <c r="O46" s="319">
        <v>5254</v>
      </c>
      <c r="P46" s="319">
        <f t="shared" si="7"/>
        <v>88182</v>
      </c>
    </row>
    <row r="47" spans="1:16" ht="15" customHeight="1" outlineLevel="2" x14ac:dyDescent="0.2">
      <c r="B47" s="314" t="s">
        <v>463</v>
      </c>
      <c r="C47" s="315" t="s">
        <v>528</v>
      </c>
      <c r="D47" s="314" t="s">
        <v>336</v>
      </c>
      <c r="E47" s="314" t="s">
        <v>272</v>
      </c>
      <c r="F47" s="316" t="s">
        <v>529</v>
      </c>
      <c r="G47" s="314" t="s">
        <v>610</v>
      </c>
      <c r="H47" s="314" t="s">
        <v>391</v>
      </c>
      <c r="I47" s="317" t="s">
        <v>102</v>
      </c>
      <c r="J47" s="317" t="s">
        <v>367</v>
      </c>
      <c r="K47" s="332" t="s">
        <v>510</v>
      </c>
      <c r="L47" s="334" t="s">
        <v>339</v>
      </c>
      <c r="M47" s="319">
        <v>26500</v>
      </c>
      <c r="N47" s="319">
        <v>0</v>
      </c>
      <c r="O47" s="319">
        <v>0</v>
      </c>
      <c r="P47" s="319">
        <f t="shared" si="7"/>
        <v>26500</v>
      </c>
    </row>
    <row r="48" spans="1:16" ht="15" customHeight="1" outlineLevel="2" x14ac:dyDescent="0.2">
      <c r="B48" s="314" t="s">
        <v>463</v>
      </c>
      <c r="C48" s="315" t="s">
        <v>528</v>
      </c>
      <c r="D48" s="314" t="s">
        <v>336</v>
      </c>
      <c r="E48" s="314" t="s">
        <v>269</v>
      </c>
      <c r="F48" s="316" t="s">
        <v>529</v>
      </c>
      <c r="G48" s="333" t="s">
        <v>611</v>
      </c>
      <c r="H48" s="333" t="s">
        <v>533</v>
      </c>
      <c r="I48" s="317" t="s">
        <v>102</v>
      </c>
      <c r="J48" s="317" t="s">
        <v>367</v>
      </c>
      <c r="K48" s="332" t="s">
        <v>510</v>
      </c>
      <c r="L48" s="334" t="s">
        <v>342</v>
      </c>
      <c r="M48" s="319">
        <v>13117</v>
      </c>
      <c r="N48" s="319">
        <v>0</v>
      </c>
      <c r="O48" s="319">
        <v>0</v>
      </c>
      <c r="P48" s="319">
        <f t="shared" si="7"/>
        <v>13117</v>
      </c>
    </row>
    <row r="49" spans="1:16" ht="15" customHeight="1" outlineLevel="2" x14ac:dyDescent="0.2">
      <c r="B49" s="314" t="s">
        <v>463</v>
      </c>
      <c r="C49" s="315" t="s">
        <v>528</v>
      </c>
      <c r="D49" s="314" t="s">
        <v>336</v>
      </c>
      <c r="E49" s="321" t="s">
        <v>257</v>
      </c>
      <c r="F49" s="316" t="s">
        <v>529</v>
      </c>
      <c r="G49" s="321" t="s">
        <v>612</v>
      </c>
      <c r="H49" s="333" t="s">
        <v>534</v>
      </c>
      <c r="I49" s="317" t="s">
        <v>102</v>
      </c>
      <c r="J49" s="317" t="s">
        <v>367</v>
      </c>
      <c r="K49" s="332" t="s">
        <v>510</v>
      </c>
      <c r="L49" s="322" t="s">
        <v>386</v>
      </c>
      <c r="M49" s="323">
        <v>55625</v>
      </c>
      <c r="N49" s="323">
        <v>2000</v>
      </c>
      <c r="O49" s="323">
        <v>2000</v>
      </c>
      <c r="P49" s="319">
        <f t="shared" si="7"/>
        <v>59625</v>
      </c>
    </row>
    <row r="50" spans="1:16" ht="15" customHeight="1" outlineLevel="1" x14ac:dyDescent="0.25">
      <c r="A50" s="367" t="s">
        <v>576</v>
      </c>
      <c r="B50" s="324"/>
      <c r="C50" s="325"/>
      <c r="D50" s="326"/>
      <c r="E50" s="337"/>
      <c r="F50" s="327"/>
      <c r="G50" s="324"/>
      <c r="H50" s="324"/>
      <c r="I50" s="328"/>
      <c r="J50" s="328"/>
      <c r="K50" s="335"/>
      <c r="L50" s="329"/>
      <c r="M50" s="330">
        <f t="shared" ref="M50:O50" si="8">SUM(M41:M49)</f>
        <v>234989.35</v>
      </c>
      <c r="N50" s="330">
        <f t="shared" si="8"/>
        <v>9590</v>
      </c>
      <c r="O50" s="330">
        <f t="shared" si="8"/>
        <v>9590</v>
      </c>
      <c r="P50" s="331">
        <f>SUM(P41:P49)</f>
        <v>254169.35</v>
      </c>
    </row>
    <row r="51" spans="1:16" ht="15" customHeight="1" outlineLevel="2" x14ac:dyDescent="0.2">
      <c r="B51" s="314" t="s">
        <v>463</v>
      </c>
      <c r="C51" s="315" t="s">
        <v>528</v>
      </c>
      <c r="D51" s="314" t="s">
        <v>321</v>
      </c>
      <c r="E51" s="314" t="s">
        <v>274</v>
      </c>
      <c r="F51" s="314" t="s">
        <v>535</v>
      </c>
      <c r="G51" s="314" t="s">
        <v>597</v>
      </c>
      <c r="H51" s="314" t="s">
        <v>580</v>
      </c>
      <c r="I51" s="317" t="s">
        <v>102</v>
      </c>
      <c r="J51" s="334" t="s">
        <v>362</v>
      </c>
      <c r="K51" s="332" t="s">
        <v>510</v>
      </c>
      <c r="L51" s="334" t="s">
        <v>322</v>
      </c>
      <c r="M51" s="319">
        <v>96075</v>
      </c>
      <c r="N51" s="319">
        <v>166752</v>
      </c>
      <c r="O51" s="319">
        <v>86450</v>
      </c>
      <c r="P51" s="319">
        <f>SUM(M51:O51)</f>
        <v>349277</v>
      </c>
    </row>
    <row r="52" spans="1:16" ht="15" customHeight="1" outlineLevel="1" x14ac:dyDescent="0.25">
      <c r="A52" s="368" t="s">
        <v>573</v>
      </c>
      <c r="B52" s="324"/>
      <c r="C52" s="325"/>
      <c r="D52" s="337"/>
      <c r="E52" s="324"/>
      <c r="F52" s="324"/>
      <c r="G52" s="324"/>
      <c r="H52" s="324"/>
      <c r="I52" s="328"/>
      <c r="J52" s="329"/>
      <c r="K52" s="335"/>
      <c r="L52" s="329"/>
      <c r="M52" s="331">
        <f t="shared" ref="M52:N52" si="9">SUBTOTAL(9,M51:M51)</f>
        <v>96075</v>
      </c>
      <c r="N52" s="331">
        <f t="shared" si="9"/>
        <v>166752</v>
      </c>
      <c r="O52" s="331">
        <f>SUBTOTAL(9,O51:O51)</f>
        <v>86450</v>
      </c>
      <c r="P52" s="331">
        <f>SUBTOTAL(9,P51:P51)</f>
        <v>349277</v>
      </c>
    </row>
    <row r="53" spans="1:16" ht="15" customHeight="1" outlineLevel="2" x14ac:dyDescent="0.2">
      <c r="B53" s="314" t="s">
        <v>463</v>
      </c>
      <c r="C53" s="320" t="s">
        <v>193</v>
      </c>
      <c r="D53" s="314" t="s">
        <v>350</v>
      </c>
      <c r="E53" s="314" t="s">
        <v>247</v>
      </c>
      <c r="F53" s="321" t="s">
        <v>559</v>
      </c>
      <c r="G53" s="321" t="s">
        <v>603</v>
      </c>
      <c r="H53" s="321" t="s">
        <v>343</v>
      </c>
      <c r="I53" s="317" t="s">
        <v>102</v>
      </c>
      <c r="J53" s="322" t="s">
        <v>368</v>
      </c>
      <c r="K53" s="321">
        <v>440000</v>
      </c>
      <c r="L53" s="322" t="s">
        <v>351</v>
      </c>
      <c r="M53" s="323">
        <v>32805</v>
      </c>
      <c r="N53" s="323">
        <v>614</v>
      </c>
      <c r="O53" s="323">
        <v>614</v>
      </c>
      <c r="P53" s="319">
        <f>SUM(M53:O53)</f>
        <v>34033</v>
      </c>
    </row>
    <row r="54" spans="1:16" ht="15" customHeight="1" outlineLevel="1" x14ac:dyDescent="0.25">
      <c r="A54" s="368" t="s">
        <v>574</v>
      </c>
      <c r="B54" s="324"/>
      <c r="C54" s="325"/>
      <c r="D54" s="326"/>
      <c r="E54" s="324"/>
      <c r="F54" s="324"/>
      <c r="G54" s="324"/>
      <c r="H54" s="324"/>
      <c r="I54" s="328"/>
      <c r="J54" s="329"/>
      <c r="K54" s="324"/>
      <c r="L54" s="329"/>
      <c r="M54" s="330">
        <f t="shared" ref="M54:O54" si="10">SUBTOTAL(9,M53:M53)</f>
        <v>32805</v>
      </c>
      <c r="N54" s="330">
        <f t="shared" si="10"/>
        <v>614</v>
      </c>
      <c r="O54" s="330">
        <f t="shared" si="10"/>
        <v>614</v>
      </c>
      <c r="P54" s="331">
        <f>SUBTOTAL(9,P53:P53)</f>
        <v>34033</v>
      </c>
    </row>
    <row r="55" spans="1:16" ht="15" customHeight="1" outlineLevel="2" x14ac:dyDescent="0.2">
      <c r="B55" s="314" t="s">
        <v>464</v>
      </c>
      <c r="C55" s="315" t="s">
        <v>508</v>
      </c>
      <c r="D55" s="332" t="s">
        <v>333</v>
      </c>
      <c r="E55" s="332" t="s">
        <v>12</v>
      </c>
      <c r="F55" s="332" t="s">
        <v>509</v>
      </c>
      <c r="G55" s="332" t="s">
        <v>56</v>
      </c>
      <c r="H55" s="332" t="s">
        <v>104</v>
      </c>
      <c r="I55" s="317" t="s">
        <v>102</v>
      </c>
      <c r="J55" s="317" t="s">
        <v>365</v>
      </c>
      <c r="K55" s="332" t="s">
        <v>510</v>
      </c>
      <c r="L55" s="317" t="s">
        <v>156</v>
      </c>
      <c r="M55" s="318">
        <v>15000</v>
      </c>
      <c r="N55" s="318">
        <v>34000</v>
      </c>
      <c r="O55" s="318">
        <v>34000</v>
      </c>
      <c r="P55" s="319">
        <f>SUM(M55:O55)</f>
        <v>83000</v>
      </c>
    </row>
    <row r="56" spans="1:16" ht="15" customHeight="1" outlineLevel="2" x14ac:dyDescent="0.2">
      <c r="B56" s="314" t="s">
        <v>463</v>
      </c>
      <c r="C56" s="315" t="s">
        <v>508</v>
      </c>
      <c r="D56" s="314" t="s">
        <v>333</v>
      </c>
      <c r="E56" s="314" t="s">
        <v>279</v>
      </c>
      <c r="F56" s="332" t="s">
        <v>509</v>
      </c>
      <c r="G56" s="314" t="s">
        <v>278</v>
      </c>
      <c r="H56" s="314" t="s">
        <v>511</v>
      </c>
      <c r="I56" s="317" t="s">
        <v>102</v>
      </c>
      <c r="J56" s="317" t="s">
        <v>365</v>
      </c>
      <c r="K56" s="332" t="s">
        <v>510</v>
      </c>
      <c r="L56" s="334" t="s">
        <v>355</v>
      </c>
      <c r="M56" s="319">
        <v>12200</v>
      </c>
      <c r="N56" s="319">
        <v>79300</v>
      </c>
      <c r="O56" s="319">
        <v>0</v>
      </c>
      <c r="P56" s="319">
        <f>SUM(M56:O56)</f>
        <v>91500</v>
      </c>
    </row>
    <row r="57" spans="1:16" ht="15" customHeight="1" outlineLevel="2" x14ac:dyDescent="0.2">
      <c r="B57" s="314" t="s">
        <v>463</v>
      </c>
      <c r="C57" s="315" t="s">
        <v>508</v>
      </c>
      <c r="D57" s="314" t="s">
        <v>333</v>
      </c>
      <c r="E57" s="314" t="s">
        <v>297</v>
      </c>
      <c r="F57" s="332" t="s">
        <v>509</v>
      </c>
      <c r="G57" s="314" t="s">
        <v>296</v>
      </c>
      <c r="H57" s="314" t="s">
        <v>512</v>
      </c>
      <c r="I57" s="317" t="s">
        <v>102</v>
      </c>
      <c r="J57" s="317" t="s">
        <v>365</v>
      </c>
      <c r="K57" s="332" t="s">
        <v>510</v>
      </c>
      <c r="L57" s="334" t="s">
        <v>479</v>
      </c>
      <c r="M57" s="319">
        <v>0</v>
      </c>
      <c r="N57" s="319">
        <v>6800</v>
      </c>
      <c r="O57" s="319">
        <v>0</v>
      </c>
      <c r="P57" s="319">
        <f>SUM(M57:O57)</f>
        <v>6800</v>
      </c>
    </row>
    <row r="58" spans="1:16" ht="15" customHeight="1" outlineLevel="2" x14ac:dyDescent="0.2">
      <c r="B58" s="314" t="s">
        <v>463</v>
      </c>
      <c r="C58" s="320" t="s">
        <v>518</v>
      </c>
      <c r="D58" s="314" t="s">
        <v>333</v>
      </c>
      <c r="E58" s="314" t="s">
        <v>217</v>
      </c>
      <c r="F58" s="316" t="s">
        <v>519</v>
      </c>
      <c r="G58" s="321" t="s">
        <v>604</v>
      </c>
      <c r="H58" s="321" t="s">
        <v>335</v>
      </c>
      <c r="I58" s="317" t="s">
        <v>102</v>
      </c>
      <c r="J58" s="344" t="s">
        <v>366</v>
      </c>
      <c r="K58" s="332" t="s">
        <v>510</v>
      </c>
      <c r="L58" s="322" t="s">
        <v>356</v>
      </c>
      <c r="M58" s="323">
        <v>22385</v>
      </c>
      <c r="N58" s="323">
        <v>2049</v>
      </c>
      <c r="O58" s="323">
        <v>2439</v>
      </c>
      <c r="P58" s="319">
        <f>SUM(M58:O58)</f>
        <v>26873</v>
      </c>
    </row>
    <row r="59" spans="1:16" ht="15" customHeight="1" outlineLevel="1" x14ac:dyDescent="0.25">
      <c r="A59" s="368" t="s">
        <v>575</v>
      </c>
      <c r="B59" s="324"/>
      <c r="C59" s="325"/>
      <c r="D59" s="326"/>
      <c r="E59" s="324"/>
      <c r="F59" s="327"/>
      <c r="G59" s="324"/>
      <c r="H59" s="324"/>
      <c r="I59" s="328"/>
      <c r="J59" s="328"/>
      <c r="K59" s="335"/>
      <c r="L59" s="329"/>
      <c r="M59" s="330">
        <f t="shared" ref="M59:O59" si="11">SUM(M55:M58)</f>
        <v>49585</v>
      </c>
      <c r="N59" s="330">
        <f t="shared" si="11"/>
        <v>122149</v>
      </c>
      <c r="O59" s="330">
        <f t="shared" si="11"/>
        <v>36439</v>
      </c>
      <c r="P59" s="331">
        <f>SUM(P55:P58)</f>
        <v>208173</v>
      </c>
    </row>
    <row r="60" spans="1:16" ht="15" customHeight="1" outlineLevel="2" x14ac:dyDescent="0.2">
      <c r="B60" s="314" t="s">
        <v>464</v>
      </c>
      <c r="C60" s="315" t="s">
        <v>518</v>
      </c>
      <c r="D60" s="316" t="s">
        <v>420</v>
      </c>
      <c r="E60" s="316" t="s">
        <v>474</v>
      </c>
      <c r="F60" s="316" t="s">
        <v>519</v>
      </c>
      <c r="G60" s="316" t="s">
        <v>40</v>
      </c>
      <c r="H60" s="316" t="s">
        <v>117</v>
      </c>
      <c r="I60" s="317" t="s">
        <v>102</v>
      </c>
      <c r="J60" s="344" t="s">
        <v>366</v>
      </c>
      <c r="K60" s="332" t="s">
        <v>510</v>
      </c>
      <c r="L60" s="317" t="s">
        <v>138</v>
      </c>
      <c r="M60" s="318">
        <v>22099</v>
      </c>
      <c r="N60" s="318">
        <v>2100</v>
      </c>
      <c r="O60" s="318">
        <v>2100</v>
      </c>
      <c r="P60" s="319">
        <f t="shared" ref="P60:P69" si="12">SUM(M60:O60)</f>
        <v>26299</v>
      </c>
    </row>
    <row r="61" spans="1:16" ht="15" customHeight="1" outlineLevel="2" x14ac:dyDescent="0.2">
      <c r="B61" s="314" t="s">
        <v>464</v>
      </c>
      <c r="C61" s="320" t="s">
        <v>518</v>
      </c>
      <c r="D61" s="316" t="s">
        <v>420</v>
      </c>
      <c r="E61" s="316" t="s">
        <v>474</v>
      </c>
      <c r="F61" s="316" t="s">
        <v>519</v>
      </c>
      <c r="G61" s="316" t="s">
        <v>44</v>
      </c>
      <c r="H61" s="316" t="s">
        <v>581</v>
      </c>
      <c r="I61" s="317" t="s">
        <v>102</v>
      </c>
      <c r="J61" s="344" t="s">
        <v>366</v>
      </c>
      <c r="K61" s="332" t="s">
        <v>510</v>
      </c>
      <c r="L61" s="317" t="s">
        <v>139</v>
      </c>
      <c r="M61" s="318">
        <v>20460</v>
      </c>
      <c r="N61" s="318" t="s">
        <v>94</v>
      </c>
      <c r="O61" s="318" t="s">
        <v>94</v>
      </c>
      <c r="P61" s="319">
        <f t="shared" si="12"/>
        <v>20460</v>
      </c>
    </row>
    <row r="62" spans="1:16" ht="15" customHeight="1" outlineLevel="2" x14ac:dyDescent="0.2">
      <c r="B62" s="314" t="s">
        <v>464</v>
      </c>
      <c r="C62" s="320" t="s">
        <v>518</v>
      </c>
      <c r="D62" s="316" t="s">
        <v>420</v>
      </c>
      <c r="E62" s="316" t="s">
        <v>474</v>
      </c>
      <c r="F62" s="316" t="s">
        <v>519</v>
      </c>
      <c r="G62" s="316" t="s">
        <v>32</v>
      </c>
      <c r="H62" s="316" t="s">
        <v>520</v>
      </c>
      <c r="I62" s="317" t="s">
        <v>102</v>
      </c>
      <c r="J62" s="344" t="s">
        <v>366</v>
      </c>
      <c r="K62" s="332" t="s">
        <v>510</v>
      </c>
      <c r="L62" s="317" t="s">
        <v>140</v>
      </c>
      <c r="M62" s="318">
        <v>6812</v>
      </c>
      <c r="N62" s="318">
        <v>418</v>
      </c>
      <c r="O62" s="318">
        <v>418</v>
      </c>
      <c r="P62" s="319">
        <f t="shared" si="12"/>
        <v>7648</v>
      </c>
    </row>
    <row r="63" spans="1:16" ht="15" customHeight="1" outlineLevel="2" x14ac:dyDescent="0.2">
      <c r="B63" s="314" t="s">
        <v>464</v>
      </c>
      <c r="C63" s="320" t="s">
        <v>518</v>
      </c>
      <c r="D63" s="316" t="s">
        <v>420</v>
      </c>
      <c r="E63" s="316" t="s">
        <v>474</v>
      </c>
      <c r="F63" s="316" t="s">
        <v>519</v>
      </c>
      <c r="G63" s="316" t="s">
        <v>46</v>
      </c>
      <c r="H63" s="316" t="s">
        <v>521</v>
      </c>
      <c r="I63" s="317" t="s">
        <v>102</v>
      </c>
      <c r="J63" s="344" t="s">
        <v>366</v>
      </c>
      <c r="K63" s="332" t="s">
        <v>510</v>
      </c>
      <c r="L63" s="317" t="s">
        <v>141</v>
      </c>
      <c r="M63" s="318">
        <v>12096</v>
      </c>
      <c r="N63" s="318">
        <v>0</v>
      </c>
      <c r="O63" s="318">
        <v>0</v>
      </c>
      <c r="P63" s="319">
        <f t="shared" si="12"/>
        <v>12096</v>
      </c>
    </row>
    <row r="64" spans="1:16" ht="15" customHeight="1" outlineLevel="2" x14ac:dyDescent="0.2">
      <c r="B64" s="314" t="s">
        <v>464</v>
      </c>
      <c r="C64" s="320" t="s">
        <v>518</v>
      </c>
      <c r="D64" s="316" t="s">
        <v>420</v>
      </c>
      <c r="E64" s="316" t="s">
        <v>474</v>
      </c>
      <c r="F64" s="316" t="s">
        <v>519</v>
      </c>
      <c r="G64" s="316" t="s">
        <v>43</v>
      </c>
      <c r="H64" s="316" t="s">
        <v>522</v>
      </c>
      <c r="I64" s="317" t="s">
        <v>102</v>
      </c>
      <c r="J64" s="344" t="s">
        <v>366</v>
      </c>
      <c r="K64" s="332" t="s">
        <v>510</v>
      </c>
      <c r="L64" s="317" t="s">
        <v>142</v>
      </c>
      <c r="M64" s="318">
        <v>72000</v>
      </c>
      <c r="N64" s="318" t="s">
        <v>94</v>
      </c>
      <c r="O64" s="318" t="s">
        <v>94</v>
      </c>
      <c r="P64" s="319">
        <f t="shared" si="12"/>
        <v>72000</v>
      </c>
    </row>
    <row r="65" spans="1:17" ht="15" customHeight="1" outlineLevel="2" x14ac:dyDescent="0.2">
      <c r="B65" s="314" t="s">
        <v>464</v>
      </c>
      <c r="C65" s="320" t="s">
        <v>518</v>
      </c>
      <c r="D65" s="316" t="s">
        <v>420</v>
      </c>
      <c r="E65" s="316"/>
      <c r="F65" s="316" t="s">
        <v>519</v>
      </c>
      <c r="G65" s="316" t="s">
        <v>34</v>
      </c>
      <c r="H65" s="316" t="s">
        <v>523</v>
      </c>
      <c r="I65" s="317" t="s">
        <v>102</v>
      </c>
      <c r="J65" s="344" t="s">
        <v>366</v>
      </c>
      <c r="K65" s="332" t="s">
        <v>510</v>
      </c>
      <c r="L65" s="317" t="s">
        <v>143</v>
      </c>
      <c r="M65" s="318">
        <v>3898</v>
      </c>
      <c r="N65" s="318">
        <v>0</v>
      </c>
      <c r="O65" s="318">
        <v>0</v>
      </c>
      <c r="P65" s="319">
        <f t="shared" si="12"/>
        <v>3898</v>
      </c>
    </row>
    <row r="66" spans="1:17" ht="15" customHeight="1" outlineLevel="2" x14ac:dyDescent="0.2">
      <c r="B66" s="314" t="s">
        <v>463</v>
      </c>
      <c r="C66" s="320" t="s">
        <v>518</v>
      </c>
      <c r="D66" s="314" t="s">
        <v>473</v>
      </c>
      <c r="E66" s="314" t="s">
        <v>217</v>
      </c>
      <c r="F66" s="321" t="s">
        <v>217</v>
      </c>
      <c r="G66" s="321" t="s">
        <v>605</v>
      </c>
      <c r="H66" s="321" t="s">
        <v>524</v>
      </c>
      <c r="I66" s="338" t="s">
        <v>102</v>
      </c>
      <c r="J66" s="345" t="s">
        <v>366</v>
      </c>
      <c r="K66" s="342" t="s">
        <v>510</v>
      </c>
      <c r="L66" s="322" t="s">
        <v>494</v>
      </c>
      <c r="M66" s="323">
        <v>0</v>
      </c>
      <c r="N66" s="323">
        <v>8094.66</v>
      </c>
      <c r="O66" s="323">
        <v>0</v>
      </c>
      <c r="P66" s="319">
        <f t="shared" si="12"/>
        <v>8094.66</v>
      </c>
    </row>
    <row r="67" spans="1:17" ht="15" customHeight="1" outlineLevel="2" x14ac:dyDescent="0.2">
      <c r="B67" s="314" t="s">
        <v>463</v>
      </c>
      <c r="C67" s="320" t="s">
        <v>518</v>
      </c>
      <c r="D67" s="314" t="s">
        <v>473</v>
      </c>
      <c r="E67" s="314" t="s">
        <v>217</v>
      </c>
      <c r="F67" s="321" t="s">
        <v>217</v>
      </c>
      <c r="G67" s="321" t="s">
        <v>606</v>
      </c>
      <c r="H67" s="321" t="s">
        <v>525</v>
      </c>
      <c r="I67" s="338" t="s">
        <v>102</v>
      </c>
      <c r="J67" s="345" t="s">
        <v>366</v>
      </c>
      <c r="K67" s="342" t="s">
        <v>510</v>
      </c>
      <c r="L67" s="322" t="s">
        <v>495</v>
      </c>
      <c r="M67" s="323">
        <v>0</v>
      </c>
      <c r="N67" s="323">
        <v>4231</v>
      </c>
      <c r="O67" s="323">
        <v>0</v>
      </c>
      <c r="P67" s="319">
        <f t="shared" si="12"/>
        <v>4231</v>
      </c>
    </row>
    <row r="68" spans="1:17" ht="15" customHeight="1" outlineLevel="2" x14ac:dyDescent="0.2">
      <c r="B68" s="314" t="s">
        <v>463</v>
      </c>
      <c r="C68" s="320" t="s">
        <v>518</v>
      </c>
      <c r="D68" s="346" t="s">
        <v>473</v>
      </c>
      <c r="E68" s="314" t="s">
        <v>217</v>
      </c>
      <c r="F68" s="321" t="s">
        <v>217</v>
      </c>
      <c r="G68" s="321" t="s">
        <v>607</v>
      </c>
      <c r="H68" s="321" t="s">
        <v>526</v>
      </c>
      <c r="I68" s="338" t="s">
        <v>102</v>
      </c>
      <c r="J68" s="345" t="s">
        <v>366</v>
      </c>
      <c r="K68" s="342" t="s">
        <v>510</v>
      </c>
      <c r="L68" s="322" t="s">
        <v>496</v>
      </c>
      <c r="M68" s="323">
        <v>0</v>
      </c>
      <c r="N68" s="323">
        <v>15566.6</v>
      </c>
      <c r="O68" s="323">
        <v>0</v>
      </c>
      <c r="P68" s="319">
        <f t="shared" si="12"/>
        <v>15566.6</v>
      </c>
    </row>
    <row r="69" spans="1:17" ht="15" customHeight="1" outlineLevel="2" x14ac:dyDescent="0.2">
      <c r="B69" s="314" t="s">
        <v>463</v>
      </c>
      <c r="C69" s="320" t="s">
        <v>518</v>
      </c>
      <c r="D69" s="314" t="s">
        <v>473</v>
      </c>
      <c r="E69" s="314" t="s">
        <v>217</v>
      </c>
      <c r="F69" s="321" t="s">
        <v>217</v>
      </c>
      <c r="G69" s="321" t="s">
        <v>608</v>
      </c>
      <c r="H69" s="321" t="s">
        <v>527</v>
      </c>
      <c r="I69" s="338" t="s">
        <v>102</v>
      </c>
      <c r="J69" s="345" t="s">
        <v>366</v>
      </c>
      <c r="K69" s="342" t="s">
        <v>510</v>
      </c>
      <c r="L69" s="322" t="s">
        <v>497</v>
      </c>
      <c r="M69" s="323">
        <v>0</v>
      </c>
      <c r="N69" s="323">
        <v>62224.35</v>
      </c>
      <c r="O69" s="323">
        <v>0</v>
      </c>
      <c r="P69" s="319">
        <f t="shared" si="12"/>
        <v>62224.35</v>
      </c>
      <c r="Q69" s="256"/>
    </row>
    <row r="70" spans="1:17" ht="15" customHeight="1" outlineLevel="1" x14ac:dyDescent="0.25">
      <c r="A70" s="368" t="s">
        <v>613</v>
      </c>
      <c r="B70" s="324"/>
      <c r="C70" s="325"/>
      <c r="D70" s="337"/>
      <c r="E70" s="324"/>
      <c r="F70" s="324"/>
      <c r="G70" s="324"/>
      <c r="H70" s="324"/>
      <c r="I70" s="340"/>
      <c r="J70" s="340"/>
      <c r="K70" s="343"/>
      <c r="L70" s="329"/>
      <c r="M70" s="330">
        <f t="shared" ref="M70:O70" si="13">SUM(M60:M69)</f>
        <v>137365</v>
      </c>
      <c r="N70" s="330">
        <f t="shared" si="13"/>
        <v>92634.61</v>
      </c>
      <c r="O70" s="330">
        <f t="shared" si="13"/>
        <v>2518</v>
      </c>
      <c r="P70" s="331">
        <f>SUM(P60:P69)</f>
        <v>232517.61000000002</v>
      </c>
    </row>
    <row r="71" spans="1:17" ht="15" customHeight="1" outlineLevel="2" x14ac:dyDescent="0.2">
      <c r="B71" s="314" t="s">
        <v>464</v>
      </c>
      <c r="C71" s="315" t="s">
        <v>513</v>
      </c>
      <c r="D71" s="347" t="s">
        <v>514</v>
      </c>
      <c r="E71" s="347" t="s">
        <v>160</v>
      </c>
      <c r="F71" s="347" t="s">
        <v>515</v>
      </c>
      <c r="G71" s="347" t="s">
        <v>161</v>
      </c>
      <c r="H71" s="347" t="s">
        <v>516</v>
      </c>
      <c r="I71" s="317" t="s">
        <v>102</v>
      </c>
      <c r="J71" s="344" t="s">
        <v>517</v>
      </c>
      <c r="K71" s="332" t="s">
        <v>510</v>
      </c>
      <c r="L71" s="317" t="s">
        <v>165</v>
      </c>
      <c r="M71" s="348">
        <v>151250</v>
      </c>
      <c r="N71" s="318">
        <v>350000</v>
      </c>
      <c r="O71" s="318">
        <v>350000</v>
      </c>
      <c r="P71" s="319">
        <f>SUM(M71:O71)</f>
        <v>851250</v>
      </c>
    </row>
    <row r="72" spans="1:17" ht="15" customHeight="1" outlineLevel="2" x14ac:dyDescent="0.2">
      <c r="B72" s="314" t="s">
        <v>464</v>
      </c>
      <c r="C72" s="315" t="s">
        <v>513</v>
      </c>
      <c r="D72" s="347" t="s">
        <v>514</v>
      </c>
      <c r="E72" s="347" t="s">
        <v>160</v>
      </c>
      <c r="F72" s="347" t="s">
        <v>515</v>
      </c>
      <c r="G72" s="347" t="s">
        <v>162</v>
      </c>
      <c r="H72" s="347" t="s">
        <v>164</v>
      </c>
      <c r="I72" s="317" t="s">
        <v>102</v>
      </c>
      <c r="J72" s="344" t="s">
        <v>517</v>
      </c>
      <c r="K72" s="332" t="s">
        <v>510</v>
      </c>
      <c r="L72" s="317" t="s">
        <v>166</v>
      </c>
      <c r="M72" s="348">
        <v>350000</v>
      </c>
      <c r="N72" s="318"/>
      <c r="O72" s="318"/>
      <c r="P72" s="319">
        <f>SUM(M72:O72)</f>
        <v>350000</v>
      </c>
    </row>
    <row r="73" spans="1:17" ht="15" customHeight="1" outlineLevel="1" x14ac:dyDescent="0.25">
      <c r="A73" s="367" t="s">
        <v>577</v>
      </c>
      <c r="B73" s="324"/>
      <c r="C73" s="325"/>
      <c r="D73" s="326"/>
      <c r="E73" s="327"/>
      <c r="F73" s="327"/>
      <c r="G73" s="327"/>
      <c r="H73" s="327"/>
      <c r="I73" s="328"/>
      <c r="J73" s="328"/>
      <c r="K73" s="335"/>
      <c r="L73" s="328"/>
      <c r="M73" s="330">
        <f t="shared" ref="M73:O73" si="14">SUM(M71:M72)</f>
        <v>501250</v>
      </c>
      <c r="N73" s="330">
        <f t="shared" si="14"/>
        <v>350000</v>
      </c>
      <c r="O73" s="330">
        <f t="shared" si="14"/>
        <v>350000</v>
      </c>
      <c r="P73" s="331">
        <f>SUM(P71:P72)</f>
        <v>1201250</v>
      </c>
    </row>
    <row r="74" spans="1:17" ht="15" customHeight="1" outlineLevel="2" x14ac:dyDescent="0.2">
      <c r="B74" s="314" t="s">
        <v>464</v>
      </c>
      <c r="C74" s="315" t="s">
        <v>560</v>
      </c>
      <c r="D74" s="332" t="s">
        <v>421</v>
      </c>
      <c r="E74" s="332"/>
      <c r="F74" s="332" t="s">
        <v>582</v>
      </c>
      <c r="G74" s="332" t="s">
        <v>57</v>
      </c>
      <c r="H74" s="332" t="s">
        <v>561</v>
      </c>
      <c r="I74" s="317" t="s">
        <v>102</v>
      </c>
      <c r="J74" s="322" t="s">
        <v>562</v>
      </c>
      <c r="K74" s="321">
        <v>440000</v>
      </c>
      <c r="L74" s="317" t="s">
        <v>157</v>
      </c>
      <c r="M74" s="318">
        <v>26669.17</v>
      </c>
      <c r="N74" s="318">
        <v>0</v>
      </c>
      <c r="O74" s="318">
        <v>4813.5</v>
      </c>
      <c r="P74" s="319">
        <f>SUM(M74:O74)</f>
        <v>31482.67</v>
      </c>
    </row>
    <row r="75" spans="1:17" ht="15" customHeight="1" outlineLevel="1" x14ac:dyDescent="0.25">
      <c r="A75" s="369" t="s">
        <v>578</v>
      </c>
      <c r="B75" s="324"/>
      <c r="C75" s="325"/>
      <c r="D75" s="326"/>
      <c r="E75" s="335"/>
      <c r="F75" s="335"/>
      <c r="G75" s="335"/>
      <c r="H75" s="335"/>
      <c r="I75" s="328"/>
      <c r="J75" s="329"/>
      <c r="K75" s="324"/>
      <c r="L75" s="328"/>
      <c r="M75" s="330">
        <f t="shared" ref="M75:O75" si="15">SUBTOTAL(9,M74:M74)</f>
        <v>26669.17</v>
      </c>
      <c r="N75" s="330">
        <f t="shared" si="15"/>
        <v>0</v>
      </c>
      <c r="O75" s="330">
        <f t="shared" si="15"/>
        <v>4813.5</v>
      </c>
      <c r="P75" s="331">
        <f>SUBTOTAL(9,P74:P74)</f>
        <v>31482.67</v>
      </c>
    </row>
    <row r="76" spans="1:17" ht="15" customHeight="1" outlineLevel="1" x14ac:dyDescent="0.2">
      <c r="B76" s="314"/>
      <c r="C76" s="315" t="s">
        <v>528</v>
      </c>
      <c r="D76" s="316"/>
      <c r="E76" s="316"/>
      <c r="F76" s="321" t="s">
        <v>546</v>
      </c>
      <c r="G76" s="349" t="s">
        <v>549</v>
      </c>
      <c r="H76" s="321" t="s">
        <v>550</v>
      </c>
      <c r="I76" s="317" t="s">
        <v>102</v>
      </c>
      <c r="J76" s="317" t="s">
        <v>364</v>
      </c>
      <c r="K76" s="316" t="s">
        <v>510</v>
      </c>
      <c r="L76" s="322" t="s">
        <v>403</v>
      </c>
      <c r="M76" s="323"/>
      <c r="N76" s="323"/>
      <c r="O76" s="323"/>
      <c r="P76" s="319">
        <f>SUM(M76:O76)</f>
        <v>0</v>
      </c>
    </row>
    <row r="77" spans="1:17" ht="15" customHeight="1" outlineLevel="1" x14ac:dyDescent="0.2">
      <c r="B77" s="314"/>
      <c r="C77" s="315"/>
      <c r="D77" s="332"/>
      <c r="E77" s="332"/>
      <c r="F77" s="332"/>
      <c r="G77" s="332"/>
      <c r="H77" s="332"/>
      <c r="I77" s="317"/>
      <c r="J77" s="322"/>
      <c r="K77" s="321"/>
      <c r="L77" s="317"/>
      <c r="M77" s="350">
        <f>+M75+M73+M70+M59+M54+M52+M50+M40+M38+M33+M21+M15</f>
        <v>1977998.4099999997</v>
      </c>
      <c r="N77" s="350">
        <f>+N75+N73+N70+N59+N54+N52+N50+N40+N38+N33+N21+N15</f>
        <v>1060208.3700000001</v>
      </c>
      <c r="O77" s="350">
        <f>+O75+O73+O70+O59+O54+O52+O50+O40+O38+O33+O21+O15</f>
        <v>728744.26</v>
      </c>
      <c r="P77" s="350">
        <f>+P75+P73+P70+P59+P54+P52+P50+P40+P38+P33+P21+P15+M78</f>
        <v>3773783.04</v>
      </c>
    </row>
    <row r="78" spans="1:17" ht="15" customHeight="1" outlineLevel="1" x14ac:dyDescent="0.2">
      <c r="B78" s="314"/>
      <c r="C78" s="315"/>
      <c r="D78" s="351" t="s">
        <v>579</v>
      </c>
      <c r="E78" s="332"/>
      <c r="F78" s="332"/>
      <c r="G78" s="332"/>
      <c r="H78" s="332"/>
      <c r="I78" s="317"/>
      <c r="J78" s="322"/>
      <c r="K78" s="321"/>
      <c r="L78" s="317"/>
      <c r="M78" s="350">
        <v>6832</v>
      </c>
      <c r="N78" s="350"/>
      <c r="O78" s="350"/>
      <c r="P78" s="350"/>
    </row>
    <row r="79" spans="1:17" ht="12" customHeight="1" x14ac:dyDescent="0.2">
      <c r="B79" s="370"/>
      <c r="C79" s="371"/>
      <c r="D79" s="372"/>
      <c r="E79" s="372"/>
      <c r="F79" s="372"/>
      <c r="G79" s="372"/>
      <c r="H79" s="372"/>
      <c r="I79" s="373"/>
      <c r="J79" s="374"/>
      <c r="K79" s="375"/>
      <c r="L79" s="373"/>
      <c r="M79" s="376"/>
      <c r="N79" s="376"/>
      <c r="O79" s="376"/>
      <c r="P79" s="377"/>
    </row>
    <row r="80" spans="1:17" ht="12" customHeight="1" x14ac:dyDescent="0.25">
      <c r="A80" s="365"/>
      <c r="B80" s="370"/>
      <c r="C80" s="371"/>
      <c r="D80" s="378"/>
      <c r="E80" s="378"/>
      <c r="F80" s="378"/>
      <c r="G80" s="378"/>
      <c r="H80" s="378"/>
      <c r="I80" s="373"/>
      <c r="J80" s="373"/>
      <c r="K80" s="378"/>
      <c r="L80" s="373"/>
      <c r="M80" s="376"/>
      <c r="N80" s="376"/>
      <c r="O80" s="376"/>
      <c r="P80" s="377"/>
    </row>
    <row r="81" spans="2:16" ht="12" customHeight="1" x14ac:dyDescent="0.2">
      <c r="B81" s="370"/>
      <c r="C81" s="371"/>
      <c r="D81" s="378"/>
      <c r="E81" s="378"/>
      <c r="F81" s="378"/>
      <c r="G81" s="378"/>
      <c r="H81" s="378"/>
      <c r="I81" s="373"/>
      <c r="J81" s="373"/>
      <c r="K81" s="378"/>
      <c r="L81" s="373"/>
      <c r="M81" s="376"/>
      <c r="N81" s="376"/>
      <c r="O81" s="376"/>
      <c r="P81" s="377"/>
    </row>
    <row r="82" spans="2:16" ht="12" customHeight="1" x14ac:dyDescent="0.2">
      <c r="B82" s="370"/>
      <c r="C82" s="371"/>
      <c r="D82" s="372"/>
      <c r="E82" s="372"/>
      <c r="F82" s="372"/>
      <c r="G82" s="372"/>
      <c r="H82" s="372"/>
      <c r="I82" s="373"/>
      <c r="J82" s="373"/>
      <c r="K82" s="372"/>
      <c r="L82" s="373"/>
      <c r="M82" s="376"/>
      <c r="N82" s="376"/>
      <c r="O82" s="376"/>
      <c r="P82" s="377"/>
    </row>
    <row r="83" spans="2:16" ht="12" customHeight="1" x14ac:dyDescent="0.2">
      <c r="B83" s="370"/>
      <c r="C83" s="371"/>
      <c r="D83" s="378"/>
      <c r="E83" s="378"/>
      <c r="F83" s="378"/>
      <c r="G83" s="378"/>
      <c r="H83" s="378"/>
      <c r="I83" s="373"/>
      <c r="J83" s="373"/>
      <c r="K83" s="378"/>
      <c r="L83" s="373"/>
      <c r="M83" s="376"/>
      <c r="N83" s="376"/>
      <c r="O83" s="376"/>
      <c r="P83" s="377"/>
    </row>
    <row r="84" spans="2:16" ht="12" customHeight="1" x14ac:dyDescent="0.2">
      <c r="B84" s="370"/>
      <c r="C84" s="371"/>
      <c r="D84" s="378"/>
      <c r="E84" s="378"/>
      <c r="F84" s="378"/>
      <c r="G84" s="378"/>
      <c r="H84" s="378"/>
      <c r="I84" s="373"/>
      <c r="J84" s="373"/>
      <c r="K84" s="378"/>
      <c r="L84" s="373"/>
      <c r="M84" s="376"/>
      <c r="N84" s="376"/>
      <c r="O84" s="376"/>
      <c r="P84" s="377"/>
    </row>
    <row r="85" spans="2:16" ht="12" customHeight="1" x14ac:dyDescent="0.2">
      <c r="B85" s="370"/>
      <c r="C85" s="371"/>
      <c r="D85" s="378"/>
      <c r="E85" s="378"/>
      <c r="F85" s="378"/>
      <c r="G85" s="378"/>
      <c r="H85" s="378"/>
      <c r="I85" s="373"/>
      <c r="J85" s="373"/>
      <c r="K85" s="378"/>
      <c r="L85" s="373"/>
      <c r="M85" s="376"/>
      <c r="N85" s="376"/>
      <c r="O85" s="376"/>
      <c r="P85" s="377"/>
    </row>
    <row r="86" spans="2:16" ht="12" customHeight="1" x14ac:dyDescent="0.2">
      <c r="B86" s="370"/>
      <c r="C86" s="371"/>
      <c r="D86" s="378"/>
      <c r="E86" s="378"/>
      <c r="F86" s="378"/>
      <c r="G86" s="378"/>
      <c r="H86" s="378"/>
      <c r="I86" s="373"/>
      <c r="J86" s="373"/>
      <c r="K86" s="378"/>
      <c r="L86" s="373"/>
      <c r="M86" s="376"/>
      <c r="N86" s="376"/>
      <c r="O86" s="376"/>
      <c r="P86" s="377"/>
    </row>
    <row r="87" spans="2:16" ht="12" customHeight="1" x14ac:dyDescent="0.2">
      <c r="B87" s="370"/>
      <c r="C87" s="371"/>
      <c r="D87" s="378"/>
      <c r="E87" s="378"/>
      <c r="F87" s="378"/>
      <c r="G87" s="378"/>
      <c r="H87" s="378"/>
      <c r="I87" s="373"/>
      <c r="J87" s="373"/>
      <c r="K87" s="378"/>
      <c r="L87" s="373"/>
      <c r="M87" s="376"/>
      <c r="N87" s="376"/>
      <c r="O87" s="376"/>
      <c r="P87" s="377"/>
    </row>
    <row r="88" spans="2:16" ht="12" customHeight="1" x14ac:dyDescent="0.2">
      <c r="B88" s="370"/>
      <c r="C88" s="371"/>
      <c r="D88" s="378"/>
      <c r="E88" s="378"/>
      <c r="F88" s="378"/>
      <c r="G88" s="378"/>
      <c r="H88" s="378"/>
      <c r="I88" s="373"/>
      <c r="J88" s="373"/>
      <c r="K88" s="378"/>
      <c r="L88" s="373"/>
      <c r="M88" s="376"/>
      <c r="N88" s="376"/>
      <c r="O88" s="376"/>
      <c r="P88" s="377"/>
    </row>
    <row r="89" spans="2:16" ht="12" customHeight="1" x14ac:dyDescent="0.2">
      <c r="B89" s="370"/>
      <c r="C89" s="371"/>
      <c r="D89" s="372"/>
      <c r="E89" s="372"/>
      <c r="F89" s="372"/>
      <c r="G89" s="372"/>
      <c r="H89" s="372"/>
      <c r="I89" s="373"/>
      <c r="J89" s="373"/>
      <c r="K89" s="372"/>
      <c r="L89" s="373"/>
      <c r="M89" s="376"/>
      <c r="N89" s="376"/>
      <c r="O89" s="376"/>
      <c r="P89" s="377"/>
    </row>
    <row r="90" spans="2:16" ht="12" customHeight="1" x14ac:dyDescent="0.2">
      <c r="B90" s="370"/>
      <c r="C90" s="379"/>
      <c r="D90" s="370"/>
      <c r="E90" s="370"/>
      <c r="F90" s="375"/>
      <c r="G90" s="375"/>
      <c r="H90" s="375"/>
      <c r="I90" s="374"/>
      <c r="J90" s="374"/>
      <c r="K90" s="375"/>
      <c r="L90" s="374"/>
      <c r="M90" s="380"/>
      <c r="N90" s="380"/>
      <c r="O90" s="380"/>
      <c r="P90" s="380"/>
    </row>
    <row r="91" spans="2:16" ht="12" customHeight="1" x14ac:dyDescent="0.2">
      <c r="B91" s="370"/>
      <c r="C91" s="379"/>
      <c r="D91" s="370"/>
      <c r="E91" s="370"/>
      <c r="F91" s="375"/>
      <c r="G91" s="375"/>
      <c r="H91" s="375"/>
      <c r="I91" s="374"/>
      <c r="J91" s="374"/>
      <c r="K91" s="375"/>
      <c r="L91" s="374"/>
      <c r="M91" s="380"/>
      <c r="N91" s="380"/>
      <c r="O91" s="380"/>
      <c r="P91" s="380"/>
    </row>
    <row r="92" spans="2:16" ht="12" customHeight="1" x14ac:dyDescent="0.2">
      <c r="B92" s="370"/>
      <c r="C92" s="379"/>
      <c r="D92" s="370"/>
      <c r="E92" s="370"/>
      <c r="F92" s="375"/>
      <c r="G92" s="375"/>
      <c r="H92" s="375"/>
      <c r="I92" s="374"/>
      <c r="J92" s="374"/>
      <c r="K92" s="375"/>
      <c r="L92" s="374"/>
      <c r="M92" s="380"/>
      <c r="N92" s="380"/>
      <c r="O92" s="380"/>
      <c r="P92" s="380"/>
    </row>
    <row r="93" spans="2:16" ht="12" customHeight="1" x14ac:dyDescent="0.2">
      <c r="B93" s="370"/>
      <c r="C93" s="379"/>
      <c r="D93" s="370"/>
      <c r="E93" s="370"/>
      <c r="F93" s="375"/>
      <c r="G93" s="375"/>
      <c r="H93" s="375"/>
      <c r="I93" s="374"/>
      <c r="J93" s="374"/>
      <c r="K93" s="375"/>
      <c r="L93" s="374"/>
      <c r="M93" s="380"/>
      <c r="N93" s="380"/>
      <c r="O93" s="380"/>
      <c r="P93" s="380"/>
    </row>
    <row r="94" spans="2:16" ht="12" customHeight="1" x14ac:dyDescent="0.2">
      <c r="B94" s="370"/>
      <c r="C94" s="379"/>
      <c r="D94" s="370"/>
      <c r="E94" s="370"/>
      <c r="F94" s="375"/>
      <c r="G94" s="375"/>
      <c r="H94" s="375"/>
      <c r="I94" s="374"/>
      <c r="J94" s="374"/>
      <c r="K94" s="375"/>
      <c r="L94" s="374"/>
      <c r="M94" s="380"/>
      <c r="N94" s="380"/>
      <c r="O94" s="380"/>
      <c r="P94" s="380"/>
    </row>
    <row r="95" spans="2:16" ht="12" customHeight="1" x14ac:dyDescent="0.2">
      <c r="B95" s="370"/>
      <c r="C95" s="379"/>
      <c r="D95" s="370"/>
      <c r="E95" s="370"/>
      <c r="F95" s="375"/>
      <c r="G95" s="375"/>
      <c r="H95" s="375"/>
      <c r="I95" s="374"/>
      <c r="J95" s="374"/>
      <c r="K95" s="375"/>
      <c r="L95" s="374"/>
      <c r="M95" s="380"/>
      <c r="N95" s="380"/>
      <c r="O95" s="380"/>
      <c r="P95" s="380"/>
    </row>
    <row r="96" spans="2:16" ht="12" customHeight="1" x14ac:dyDescent="0.2">
      <c r="B96" s="370"/>
      <c r="C96" s="379"/>
      <c r="D96" s="370"/>
      <c r="E96" s="370"/>
      <c r="F96" s="375"/>
      <c r="G96" s="375"/>
      <c r="H96" s="375"/>
      <c r="I96" s="374"/>
      <c r="J96" s="374"/>
      <c r="K96" s="375"/>
      <c r="L96" s="374"/>
      <c r="M96" s="380"/>
      <c r="N96" s="380"/>
      <c r="O96" s="380"/>
      <c r="P96" s="380"/>
    </row>
    <row r="97" spans="1:16" ht="12" customHeight="1" x14ac:dyDescent="0.2">
      <c r="B97" s="370"/>
      <c r="C97" s="379"/>
      <c r="D97" s="370"/>
      <c r="E97" s="370"/>
      <c r="F97" s="375"/>
      <c r="G97" s="375"/>
      <c r="H97" s="375"/>
      <c r="I97" s="374"/>
      <c r="J97" s="374"/>
      <c r="K97" s="375"/>
      <c r="L97" s="374"/>
      <c r="M97" s="380"/>
      <c r="N97" s="380"/>
      <c r="O97" s="380"/>
      <c r="P97" s="380"/>
    </row>
    <row r="98" spans="1:16" ht="12" customHeight="1" x14ac:dyDescent="0.2">
      <c r="B98" s="370"/>
      <c r="C98" s="379"/>
      <c r="D98" s="370"/>
      <c r="E98" s="370"/>
      <c r="F98" s="375"/>
      <c r="G98" s="375"/>
      <c r="H98" s="375"/>
      <c r="I98" s="374"/>
      <c r="J98" s="374"/>
      <c r="K98" s="375"/>
      <c r="L98" s="374"/>
      <c r="M98" s="380"/>
      <c r="N98" s="380"/>
      <c r="O98" s="380"/>
      <c r="P98" s="380"/>
    </row>
    <row r="99" spans="1:16" ht="12" customHeight="1" x14ac:dyDescent="0.2">
      <c r="B99" s="370"/>
      <c r="C99" s="379"/>
      <c r="D99" s="370"/>
      <c r="E99" s="370"/>
      <c r="F99" s="375"/>
      <c r="G99" s="375"/>
      <c r="H99" s="375"/>
      <c r="I99" s="374"/>
      <c r="J99" s="374"/>
      <c r="K99" s="375"/>
      <c r="L99" s="374"/>
      <c r="M99" s="380"/>
      <c r="N99" s="380"/>
      <c r="O99" s="380"/>
      <c r="P99" s="380"/>
    </row>
    <row r="100" spans="1:16" ht="12" customHeight="1" x14ac:dyDescent="0.2">
      <c r="B100" s="370"/>
      <c r="C100" s="371"/>
      <c r="D100" s="370"/>
      <c r="E100" s="370"/>
      <c r="F100" s="370"/>
      <c r="G100" s="370"/>
      <c r="H100" s="370"/>
      <c r="I100" s="381"/>
      <c r="J100" s="381"/>
      <c r="K100" s="370"/>
      <c r="L100" s="381"/>
      <c r="M100" s="377"/>
      <c r="N100" s="377"/>
      <c r="O100" s="377"/>
      <c r="P100" s="377"/>
    </row>
    <row r="101" spans="1:16" ht="12" customHeight="1" x14ac:dyDescent="0.2">
      <c r="B101" s="370"/>
      <c r="C101" s="379"/>
      <c r="D101" s="370"/>
      <c r="E101" s="370"/>
      <c r="F101" s="375"/>
      <c r="G101" s="375"/>
      <c r="H101" s="375"/>
      <c r="I101" s="374"/>
      <c r="J101" s="374"/>
      <c r="K101" s="375"/>
      <c r="L101" s="374"/>
      <c r="M101" s="380"/>
      <c r="N101" s="380"/>
      <c r="O101" s="380"/>
      <c r="P101" s="380"/>
    </row>
    <row r="102" spans="1:16" ht="12" customHeight="1" x14ac:dyDescent="0.25">
      <c r="A102" s="365"/>
      <c r="B102" s="370"/>
      <c r="C102" s="371"/>
      <c r="D102" s="378"/>
      <c r="E102" s="378"/>
      <c r="F102" s="378"/>
      <c r="G102" s="378"/>
      <c r="H102" s="378"/>
      <c r="I102" s="373"/>
      <c r="J102" s="373"/>
      <c r="K102" s="378"/>
      <c r="L102" s="373"/>
      <c r="M102" s="376"/>
      <c r="N102" s="376"/>
      <c r="O102" s="376"/>
      <c r="P102" s="377"/>
    </row>
    <row r="103" spans="1:16" ht="12" customHeight="1" x14ac:dyDescent="0.2">
      <c r="B103" s="370"/>
      <c r="C103" s="371"/>
      <c r="D103" s="378"/>
      <c r="E103" s="378"/>
      <c r="F103" s="378"/>
      <c r="G103" s="378"/>
      <c r="H103" s="378"/>
      <c r="I103" s="373"/>
      <c r="J103" s="373"/>
      <c r="K103" s="378"/>
      <c r="L103" s="373"/>
      <c r="M103" s="376"/>
      <c r="N103" s="376"/>
      <c r="O103" s="376"/>
      <c r="P103" s="377"/>
    </row>
    <row r="104" spans="1:16" ht="12" customHeight="1" x14ac:dyDescent="0.2">
      <c r="B104" s="370"/>
      <c r="C104" s="371"/>
      <c r="D104" s="378"/>
      <c r="E104" s="378"/>
      <c r="F104" s="378"/>
      <c r="G104" s="378"/>
      <c r="H104" s="378"/>
      <c r="I104" s="373"/>
      <c r="J104" s="373"/>
      <c r="K104" s="378"/>
      <c r="L104" s="373"/>
      <c r="M104" s="376"/>
      <c r="N104" s="376"/>
      <c r="O104" s="376"/>
      <c r="P104" s="377"/>
    </row>
    <row r="105" spans="1:16" ht="12" customHeight="1" x14ac:dyDescent="0.2">
      <c r="B105" s="370"/>
      <c r="C105" s="371"/>
      <c r="D105" s="378"/>
      <c r="E105" s="378"/>
      <c r="F105" s="378"/>
      <c r="G105" s="378"/>
      <c r="H105" s="378"/>
      <c r="I105" s="373"/>
      <c r="J105" s="373"/>
      <c r="K105" s="378"/>
      <c r="L105" s="373"/>
      <c r="M105" s="376"/>
      <c r="N105" s="376"/>
      <c r="O105" s="376"/>
      <c r="P105" s="377"/>
    </row>
    <row r="106" spans="1:16" ht="12" customHeight="1" x14ac:dyDescent="0.25">
      <c r="B106" s="382"/>
      <c r="C106" s="371"/>
      <c r="D106" s="372"/>
      <c r="E106" s="372"/>
      <c r="F106" s="372"/>
      <c r="G106" s="372"/>
      <c r="H106" s="372"/>
      <c r="I106" s="373"/>
      <c r="J106" s="373"/>
      <c r="K106" s="372"/>
      <c r="L106" s="373"/>
      <c r="M106" s="376"/>
      <c r="N106" s="376"/>
      <c r="O106" s="376"/>
      <c r="P106" s="377"/>
    </row>
    <row r="107" spans="1:16" ht="12" customHeight="1" x14ac:dyDescent="0.25">
      <c r="B107" s="382"/>
      <c r="C107" s="371"/>
      <c r="D107" s="372"/>
      <c r="E107" s="372"/>
      <c r="F107" s="372"/>
      <c r="G107" s="372"/>
      <c r="H107" s="372"/>
      <c r="I107" s="373"/>
      <c r="J107" s="373"/>
      <c r="K107" s="372"/>
      <c r="L107" s="373"/>
      <c r="M107" s="376"/>
      <c r="N107" s="376"/>
      <c r="O107" s="376"/>
      <c r="P107" s="377"/>
    </row>
    <row r="108" spans="1:16" ht="12" customHeight="1" x14ac:dyDescent="0.2">
      <c r="B108" s="370"/>
      <c r="C108" s="371"/>
      <c r="D108" s="370"/>
      <c r="E108" s="370"/>
      <c r="F108" s="370"/>
      <c r="G108" s="370"/>
      <c r="H108" s="370"/>
      <c r="I108" s="381"/>
      <c r="J108" s="381"/>
      <c r="K108" s="370"/>
      <c r="L108" s="381"/>
      <c r="M108" s="377"/>
      <c r="N108" s="377"/>
      <c r="O108" s="377"/>
      <c r="P108" s="377"/>
    </row>
    <row r="109" spans="1:16" ht="12" customHeight="1" x14ac:dyDescent="0.2">
      <c r="B109" s="370"/>
      <c r="C109" s="371"/>
      <c r="D109" s="370"/>
      <c r="E109" s="370"/>
      <c r="F109" s="370"/>
      <c r="G109" s="370"/>
      <c r="H109" s="370"/>
      <c r="I109" s="381"/>
      <c r="J109" s="381"/>
      <c r="K109" s="370"/>
      <c r="L109" s="381"/>
      <c r="M109" s="377"/>
      <c r="N109" s="377"/>
      <c r="O109" s="377"/>
      <c r="P109" s="377"/>
    </row>
    <row r="110" spans="1:16" ht="12" customHeight="1" x14ac:dyDescent="0.2">
      <c r="B110" s="370"/>
      <c r="C110" s="371"/>
      <c r="D110" s="370"/>
      <c r="E110" s="370"/>
      <c r="F110" s="370"/>
      <c r="G110" s="370"/>
      <c r="H110" s="370"/>
      <c r="I110" s="381"/>
      <c r="J110" s="381"/>
      <c r="K110" s="370"/>
      <c r="L110" s="381"/>
      <c r="M110" s="377"/>
      <c r="N110" s="377"/>
      <c r="O110" s="377"/>
      <c r="P110" s="377"/>
    </row>
    <row r="111" spans="1:16" ht="12" customHeight="1" x14ac:dyDescent="0.2">
      <c r="B111" s="370"/>
      <c r="C111" s="371"/>
      <c r="D111" s="370"/>
      <c r="E111" s="370"/>
      <c r="F111" s="370"/>
      <c r="G111" s="370"/>
      <c r="H111" s="370"/>
      <c r="I111" s="381"/>
      <c r="J111" s="381"/>
      <c r="K111" s="370"/>
      <c r="L111" s="381"/>
      <c r="M111" s="377"/>
      <c r="N111" s="377"/>
      <c r="O111" s="377"/>
      <c r="P111" s="377"/>
    </row>
    <row r="112" spans="1:16" ht="12" customHeight="1" x14ac:dyDescent="0.2">
      <c r="B112" s="370"/>
      <c r="C112" s="371"/>
      <c r="D112" s="370"/>
      <c r="E112" s="370"/>
      <c r="F112" s="370"/>
      <c r="G112" s="370"/>
      <c r="H112" s="370"/>
      <c r="I112" s="381"/>
      <c r="J112" s="381"/>
      <c r="K112" s="370"/>
      <c r="L112" s="381"/>
      <c r="M112" s="377"/>
      <c r="N112" s="377"/>
      <c r="O112" s="377"/>
      <c r="P112" s="377"/>
    </row>
    <row r="113" spans="2:16" ht="12" customHeight="1" x14ac:dyDescent="0.2">
      <c r="B113" s="370"/>
      <c r="C113" s="371"/>
      <c r="D113" s="370"/>
      <c r="E113" s="370"/>
      <c r="F113" s="370"/>
      <c r="G113" s="370"/>
      <c r="H113" s="370"/>
      <c r="I113" s="381"/>
      <c r="J113" s="381"/>
      <c r="K113" s="370"/>
      <c r="L113" s="381"/>
      <c r="M113" s="377"/>
      <c r="N113" s="377"/>
      <c r="O113" s="377"/>
      <c r="P113" s="377"/>
    </row>
    <row r="114" spans="2:16" ht="12" customHeight="1" x14ac:dyDescent="0.2">
      <c r="B114" s="370"/>
      <c r="C114" s="371"/>
      <c r="D114" s="370"/>
      <c r="E114" s="370"/>
      <c r="F114" s="370"/>
      <c r="G114" s="370"/>
      <c r="H114" s="370"/>
      <c r="I114" s="381"/>
      <c r="J114" s="381"/>
      <c r="K114" s="370"/>
      <c r="L114" s="381"/>
      <c r="M114" s="377"/>
      <c r="N114" s="377"/>
      <c r="O114" s="377"/>
      <c r="P114" s="377"/>
    </row>
    <row r="115" spans="2:16" ht="12" customHeight="1" x14ac:dyDescent="0.2">
      <c r="B115" s="370"/>
      <c r="C115" s="371"/>
      <c r="D115" s="370"/>
      <c r="E115" s="370"/>
      <c r="F115" s="370"/>
      <c r="G115" s="370"/>
      <c r="H115" s="370"/>
      <c r="I115" s="381"/>
      <c r="J115" s="381"/>
      <c r="K115" s="370"/>
      <c r="L115" s="381"/>
      <c r="M115" s="377"/>
      <c r="N115" s="377"/>
      <c r="O115" s="377"/>
      <c r="P115" s="377"/>
    </row>
    <row r="116" spans="2:16" ht="12" customHeight="1" x14ac:dyDescent="0.2">
      <c r="B116" s="370"/>
      <c r="C116" s="371"/>
      <c r="D116" s="370"/>
      <c r="E116" s="370"/>
      <c r="F116" s="370"/>
      <c r="G116" s="370"/>
      <c r="H116" s="370"/>
      <c r="I116" s="381"/>
      <c r="J116" s="381"/>
      <c r="K116" s="370"/>
      <c r="L116" s="381"/>
      <c r="M116" s="377"/>
      <c r="N116" s="377"/>
      <c r="O116" s="377"/>
      <c r="P116" s="377"/>
    </row>
    <row r="117" spans="2:16" ht="12" customHeight="1" x14ac:dyDescent="0.2">
      <c r="B117" s="370"/>
      <c r="C117" s="371"/>
      <c r="D117" s="370"/>
      <c r="E117" s="370"/>
      <c r="F117" s="370"/>
      <c r="G117" s="370"/>
      <c r="H117" s="370"/>
      <c r="I117" s="381"/>
      <c r="J117" s="381"/>
      <c r="K117" s="370"/>
      <c r="L117" s="381"/>
      <c r="M117" s="377"/>
      <c r="N117" s="377"/>
      <c r="O117" s="377"/>
      <c r="P117" s="377"/>
    </row>
    <row r="118" spans="2:16" ht="12" customHeight="1" x14ac:dyDescent="0.2">
      <c r="B118" s="370"/>
      <c r="C118" s="371"/>
      <c r="D118" s="370"/>
      <c r="E118" s="370"/>
      <c r="F118" s="370"/>
      <c r="G118" s="370"/>
      <c r="H118" s="370"/>
      <c r="I118" s="381"/>
      <c r="J118" s="381"/>
      <c r="K118" s="370"/>
      <c r="L118" s="381"/>
      <c r="M118" s="377"/>
      <c r="N118" s="377"/>
      <c r="O118" s="377"/>
      <c r="P118" s="377"/>
    </row>
    <row r="119" spans="2:16" ht="12" customHeight="1" x14ac:dyDescent="0.2">
      <c r="B119" s="370"/>
      <c r="C119" s="371"/>
      <c r="D119" s="370"/>
      <c r="E119" s="370"/>
      <c r="F119" s="370"/>
      <c r="G119" s="370"/>
      <c r="H119" s="370"/>
      <c r="I119" s="381"/>
      <c r="J119" s="381"/>
      <c r="K119" s="370"/>
      <c r="L119" s="381"/>
      <c r="M119" s="377"/>
      <c r="N119" s="377"/>
      <c r="O119" s="377"/>
      <c r="P119" s="377"/>
    </row>
    <row r="120" spans="2:16" ht="12" customHeight="1" x14ac:dyDescent="0.2">
      <c r="B120" s="370"/>
      <c r="C120" s="371"/>
      <c r="D120" s="370"/>
      <c r="E120" s="370"/>
      <c r="F120" s="370"/>
      <c r="G120" s="370"/>
      <c r="H120" s="370"/>
      <c r="I120" s="381"/>
      <c r="J120" s="381"/>
      <c r="K120" s="370"/>
      <c r="L120" s="381"/>
      <c r="M120" s="377"/>
      <c r="N120" s="377"/>
      <c r="O120" s="377"/>
      <c r="P120" s="377"/>
    </row>
    <row r="121" spans="2:16" ht="12" customHeight="1" x14ac:dyDescent="0.2">
      <c r="B121" s="370"/>
      <c r="C121" s="371"/>
      <c r="D121" s="370"/>
      <c r="E121" s="370"/>
      <c r="F121" s="370"/>
      <c r="G121" s="370"/>
      <c r="H121" s="370"/>
      <c r="I121" s="381"/>
      <c r="J121" s="381"/>
      <c r="K121" s="370"/>
      <c r="L121" s="381"/>
      <c r="M121" s="377"/>
      <c r="N121" s="377"/>
      <c r="O121" s="377"/>
      <c r="P121" s="377"/>
    </row>
    <row r="122" spans="2:16" ht="12" customHeight="1" x14ac:dyDescent="0.2">
      <c r="B122" s="370"/>
      <c r="C122" s="371"/>
      <c r="D122" s="370"/>
      <c r="E122" s="370"/>
      <c r="F122" s="370"/>
      <c r="G122" s="370"/>
      <c r="H122" s="370"/>
      <c r="I122" s="381"/>
      <c r="J122" s="381"/>
      <c r="K122" s="370"/>
      <c r="L122" s="381"/>
      <c r="M122" s="377"/>
      <c r="N122" s="377"/>
      <c r="O122" s="377"/>
      <c r="P122" s="377"/>
    </row>
    <row r="123" spans="2:16" ht="12" customHeight="1" x14ac:dyDescent="0.2">
      <c r="B123" s="370"/>
      <c r="C123" s="371"/>
      <c r="D123" s="370"/>
      <c r="E123" s="370"/>
      <c r="F123" s="370"/>
      <c r="G123" s="370"/>
      <c r="H123" s="370"/>
      <c r="I123" s="381"/>
      <c r="J123" s="381"/>
      <c r="K123" s="370"/>
      <c r="L123" s="381"/>
      <c r="M123" s="377"/>
      <c r="N123" s="377"/>
      <c r="O123" s="377"/>
      <c r="P123" s="377"/>
    </row>
    <row r="124" spans="2:16" ht="12" customHeight="1" x14ac:dyDescent="0.2">
      <c r="B124" s="370"/>
      <c r="C124" s="371"/>
      <c r="D124" s="370"/>
      <c r="E124" s="370"/>
      <c r="F124" s="370"/>
      <c r="G124" s="370"/>
      <c r="H124" s="370"/>
      <c r="I124" s="381"/>
      <c r="J124" s="381"/>
      <c r="K124" s="370"/>
      <c r="L124" s="381"/>
      <c r="M124" s="377"/>
      <c r="N124" s="377"/>
      <c r="O124" s="377"/>
      <c r="P124" s="377"/>
    </row>
  </sheetData>
  <printOptions horizontalCentered="1" verticalCentered="1"/>
  <pageMargins left="0" right="0" top="0" bottom="0" header="0" footer="0"/>
  <pageSetup scale="82" orientation="landscape" r:id="rId1"/>
  <rowBreaks count="1" manualBreakCount="1">
    <brk id="40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P63"/>
  <sheetViews>
    <sheetView topLeftCell="C1" workbookViewId="0">
      <selection activeCell="A32" sqref="A32"/>
    </sheetView>
  </sheetViews>
  <sheetFormatPr defaultRowHeight="18" customHeight="1" x14ac:dyDescent="0.2"/>
  <cols>
    <col min="1" max="1" width="18" style="3" customWidth="1"/>
    <col min="2" max="2" width="38.42578125" style="3" bestFit="1" customWidth="1"/>
    <col min="3" max="3" width="11.28515625" style="3" customWidth="1"/>
    <col min="4" max="4" width="12" style="3" customWidth="1"/>
    <col min="5" max="5" width="10.140625" style="75" customWidth="1"/>
    <col min="6" max="6" width="33.85546875" style="3" customWidth="1"/>
    <col min="7" max="7" width="11.85546875" style="3" customWidth="1"/>
    <col min="8" max="8" width="12.28515625" style="3" customWidth="1"/>
    <col min="9" max="9" width="11.5703125" style="3" customWidth="1"/>
    <col min="10" max="10" width="13.42578125" style="3" bestFit="1" customWidth="1"/>
    <col min="11" max="11" width="11.5703125" style="3" customWidth="1"/>
    <col min="12" max="12" width="12" style="3" customWidth="1"/>
    <col min="13" max="13" width="1.5703125" style="3" customWidth="1"/>
    <col min="14" max="16384" width="9.140625" style="3"/>
  </cols>
  <sheetData>
    <row r="1" spans="1:16" ht="29.25" customHeight="1" thickBot="1" x14ac:dyDescent="0.25">
      <c r="A1" s="117" t="s">
        <v>345</v>
      </c>
    </row>
    <row r="2" spans="1:16" ht="23.25" customHeight="1" x14ac:dyDescent="0.25">
      <c r="A2" s="1" t="s">
        <v>4</v>
      </c>
      <c r="B2" s="2" t="s">
        <v>158</v>
      </c>
      <c r="C2" s="1" t="s">
        <v>187</v>
      </c>
      <c r="D2" s="73" t="s">
        <v>189</v>
      </c>
      <c r="E2" s="908" t="s">
        <v>96</v>
      </c>
      <c r="F2" s="909"/>
      <c r="G2" s="909"/>
      <c r="H2" s="909"/>
      <c r="I2" s="909"/>
      <c r="J2" s="910" t="s">
        <v>390</v>
      </c>
      <c r="K2" s="911"/>
      <c r="L2" s="912"/>
      <c r="N2" s="202" t="s">
        <v>357</v>
      </c>
      <c r="O2" s="202" t="s">
        <v>359</v>
      </c>
    </row>
    <row r="3" spans="1:16" ht="18" customHeight="1" thickBot="1" x14ac:dyDescent="0.25">
      <c r="A3" s="4"/>
      <c r="B3" s="5"/>
      <c r="C3" s="4" t="s">
        <v>188</v>
      </c>
      <c r="D3" s="74" t="s">
        <v>190</v>
      </c>
      <c r="E3" s="76" t="s">
        <v>97</v>
      </c>
      <c r="F3" s="46" t="s">
        <v>101</v>
      </c>
      <c r="G3" s="46" t="s">
        <v>98</v>
      </c>
      <c r="H3" s="46" t="s">
        <v>99</v>
      </c>
      <c r="I3" s="205" t="s">
        <v>100</v>
      </c>
      <c r="J3" s="214" t="s">
        <v>181</v>
      </c>
      <c r="K3" s="47" t="s">
        <v>167</v>
      </c>
      <c r="L3" s="47" t="s">
        <v>168</v>
      </c>
      <c r="N3" s="204" t="s">
        <v>358</v>
      </c>
      <c r="O3" s="204" t="s">
        <v>389</v>
      </c>
    </row>
    <row r="4" spans="1:16" ht="18" customHeight="1" x14ac:dyDescent="0.2">
      <c r="A4" s="6" t="s">
        <v>154</v>
      </c>
      <c r="B4" s="7" t="s">
        <v>57</v>
      </c>
      <c r="C4" s="8" t="s">
        <v>60</v>
      </c>
      <c r="D4" s="48">
        <v>26669.17</v>
      </c>
      <c r="E4" s="77" t="s">
        <v>157</v>
      </c>
      <c r="F4" s="9" t="s">
        <v>103</v>
      </c>
      <c r="G4" s="9" t="s">
        <v>102</v>
      </c>
      <c r="H4" s="9" t="s">
        <v>157</v>
      </c>
      <c r="I4" s="206">
        <v>440000</v>
      </c>
      <c r="J4" s="215">
        <v>26669</v>
      </c>
      <c r="K4" s="67">
        <v>25688.75</v>
      </c>
      <c r="L4" s="68">
        <f>+J4-K4</f>
        <v>980.25</v>
      </c>
      <c r="P4" s="3">
        <f>+O4+N4</f>
        <v>0</v>
      </c>
    </row>
    <row r="5" spans="1:16" ht="18" customHeight="1" x14ac:dyDescent="0.2">
      <c r="A5" s="10" t="s">
        <v>155</v>
      </c>
      <c r="B5" s="11" t="s">
        <v>56</v>
      </c>
      <c r="C5" s="8" t="s">
        <v>60</v>
      </c>
      <c r="D5" s="50">
        <v>15000</v>
      </c>
      <c r="E5" s="78" t="s">
        <v>156</v>
      </c>
      <c r="F5" s="12" t="s">
        <v>104</v>
      </c>
      <c r="G5" s="12" t="s">
        <v>102</v>
      </c>
      <c r="H5" s="12" t="s">
        <v>156</v>
      </c>
      <c r="I5" s="207">
        <v>440000</v>
      </c>
      <c r="J5" s="216">
        <v>15000</v>
      </c>
      <c r="K5" s="69"/>
      <c r="L5" s="70">
        <f t="shared" ref="L5:L57" si="0">+J5-K5</f>
        <v>15000</v>
      </c>
    </row>
    <row r="6" spans="1:16" ht="18" customHeight="1" x14ac:dyDescent="0.2">
      <c r="A6" s="8" t="s">
        <v>15</v>
      </c>
      <c r="B6" s="13" t="s">
        <v>14</v>
      </c>
      <c r="C6" s="8" t="s">
        <v>60</v>
      </c>
      <c r="D6" s="50">
        <v>15500</v>
      </c>
      <c r="E6" s="78" t="s">
        <v>125</v>
      </c>
      <c r="F6" s="12" t="s">
        <v>105</v>
      </c>
      <c r="G6" s="12" t="s">
        <v>102</v>
      </c>
      <c r="H6" s="12" t="s">
        <v>125</v>
      </c>
      <c r="I6" s="207">
        <v>440000</v>
      </c>
      <c r="J6" s="216">
        <v>15500</v>
      </c>
      <c r="K6" s="69">
        <v>15474.1</v>
      </c>
      <c r="L6" s="70">
        <f t="shared" si="0"/>
        <v>25.899999999999636</v>
      </c>
    </row>
    <row r="7" spans="1:16" ht="18" customHeight="1" x14ac:dyDescent="0.2">
      <c r="A7" s="8" t="s">
        <v>15</v>
      </c>
      <c r="B7" s="13" t="s">
        <v>159</v>
      </c>
      <c r="C7" s="8" t="s">
        <v>60</v>
      </c>
      <c r="D7" s="50">
        <v>72065</v>
      </c>
      <c r="E7" s="78" t="s">
        <v>126</v>
      </c>
      <c r="F7" s="12" t="s">
        <v>106</v>
      </c>
      <c r="G7" s="12" t="s">
        <v>102</v>
      </c>
      <c r="H7" s="12" t="s">
        <v>126</v>
      </c>
      <c r="I7" s="207">
        <v>440000</v>
      </c>
      <c r="J7" s="216">
        <v>72065</v>
      </c>
      <c r="K7" s="69">
        <v>62424.63</v>
      </c>
      <c r="L7" s="70">
        <f t="shared" si="0"/>
        <v>9640.3700000000026</v>
      </c>
    </row>
    <row r="8" spans="1:16" ht="18" customHeight="1" x14ac:dyDescent="0.2">
      <c r="A8" s="8" t="s">
        <v>15</v>
      </c>
      <c r="B8" s="13" t="s">
        <v>18</v>
      </c>
      <c r="C8" s="8" t="s">
        <v>60</v>
      </c>
      <c r="D8" s="50">
        <v>17651</v>
      </c>
      <c r="E8" s="78" t="s">
        <v>127</v>
      </c>
      <c r="F8" s="12" t="s">
        <v>107</v>
      </c>
      <c r="G8" s="12" t="s">
        <v>102</v>
      </c>
      <c r="H8" s="12" t="s">
        <v>127</v>
      </c>
      <c r="I8" s="207">
        <v>440000</v>
      </c>
      <c r="J8" s="216">
        <v>17651</v>
      </c>
      <c r="K8" s="69">
        <v>3382.99</v>
      </c>
      <c r="L8" s="70">
        <f t="shared" si="0"/>
        <v>14268.01</v>
      </c>
    </row>
    <row r="9" spans="1:16" ht="18" customHeight="1" x14ac:dyDescent="0.2">
      <c r="A9" s="8" t="s">
        <v>15</v>
      </c>
      <c r="B9" s="13" t="s">
        <v>16</v>
      </c>
      <c r="C9" s="8" t="s">
        <v>60</v>
      </c>
      <c r="D9" s="50">
        <v>25000</v>
      </c>
      <c r="E9" s="78" t="s">
        <v>128</v>
      </c>
      <c r="F9" s="12" t="s">
        <v>108</v>
      </c>
      <c r="G9" s="12" t="s">
        <v>102</v>
      </c>
      <c r="H9" s="12" t="s">
        <v>128</v>
      </c>
      <c r="I9" s="207">
        <v>440000</v>
      </c>
      <c r="J9" s="216">
        <v>25000</v>
      </c>
      <c r="K9" s="69">
        <v>21965.23</v>
      </c>
      <c r="L9" s="70">
        <f t="shared" si="0"/>
        <v>3034.7700000000004</v>
      </c>
    </row>
    <row r="10" spans="1:16" ht="18" customHeight="1" x14ac:dyDescent="0.2">
      <c r="A10" s="8" t="s">
        <v>15</v>
      </c>
      <c r="B10" s="13" t="s">
        <v>37</v>
      </c>
      <c r="C10" s="8" t="s">
        <v>60</v>
      </c>
      <c r="D10" s="50">
        <v>181471</v>
      </c>
      <c r="E10" s="78" t="s">
        <v>129</v>
      </c>
      <c r="F10" s="12" t="s">
        <v>109</v>
      </c>
      <c r="G10" s="12" t="s">
        <v>102</v>
      </c>
      <c r="H10" s="12" t="s">
        <v>129</v>
      </c>
      <c r="I10" s="207">
        <v>440000</v>
      </c>
      <c r="J10" s="216">
        <v>181471</v>
      </c>
      <c r="K10" s="69">
        <v>16813</v>
      </c>
      <c r="L10" s="70">
        <f t="shared" si="0"/>
        <v>164658</v>
      </c>
    </row>
    <row r="11" spans="1:16" ht="18" customHeight="1" x14ac:dyDescent="0.2">
      <c r="A11" s="8" t="s">
        <v>29</v>
      </c>
      <c r="B11" s="13" t="s">
        <v>28</v>
      </c>
      <c r="C11" s="8" t="s">
        <v>60</v>
      </c>
      <c r="D11" s="50">
        <v>42027</v>
      </c>
      <c r="E11" s="78" t="s">
        <v>130</v>
      </c>
      <c r="F11" s="12" t="s">
        <v>110</v>
      </c>
      <c r="G11" s="12" t="s">
        <v>102</v>
      </c>
      <c r="H11" s="12" t="s">
        <v>130</v>
      </c>
      <c r="I11" s="207">
        <v>440000</v>
      </c>
      <c r="J11" s="216">
        <v>42027</v>
      </c>
      <c r="K11" s="69">
        <v>38741.58</v>
      </c>
      <c r="L11" s="70">
        <f t="shared" si="0"/>
        <v>3285.4199999999983</v>
      </c>
    </row>
    <row r="12" spans="1:16" ht="18" customHeight="1" x14ac:dyDescent="0.2">
      <c r="A12" s="8" t="s">
        <v>29</v>
      </c>
      <c r="B12" s="13" t="s">
        <v>36</v>
      </c>
      <c r="C12" s="8" t="s">
        <v>60</v>
      </c>
      <c r="D12" s="50">
        <v>4056</v>
      </c>
      <c r="E12" s="78" t="s">
        <v>131</v>
      </c>
      <c r="F12" s="12" t="s">
        <v>111</v>
      </c>
      <c r="G12" s="12" t="s">
        <v>102</v>
      </c>
      <c r="H12" s="12" t="s">
        <v>131</v>
      </c>
      <c r="I12" s="207">
        <v>440000</v>
      </c>
      <c r="J12" s="216">
        <v>4056</v>
      </c>
      <c r="K12" s="69"/>
      <c r="L12" s="70">
        <f t="shared" si="0"/>
        <v>4056</v>
      </c>
    </row>
    <row r="13" spans="1:16" ht="18" customHeight="1" x14ac:dyDescent="0.2">
      <c r="A13" s="8" t="s">
        <v>11</v>
      </c>
      <c r="B13" s="13" t="s">
        <v>19</v>
      </c>
      <c r="C13" s="8" t="s">
        <v>60</v>
      </c>
      <c r="D13" s="50">
        <v>5500</v>
      </c>
      <c r="E13" s="78" t="s">
        <v>132</v>
      </c>
      <c r="F13" s="12" t="s">
        <v>112</v>
      </c>
      <c r="G13" s="12" t="s">
        <v>102</v>
      </c>
      <c r="H13" s="12" t="s">
        <v>132</v>
      </c>
      <c r="I13" s="207">
        <v>440000</v>
      </c>
      <c r="J13" s="216">
        <v>5500</v>
      </c>
      <c r="K13" s="69">
        <v>674.94</v>
      </c>
      <c r="L13" s="70">
        <f t="shared" si="0"/>
        <v>4825.0599999999995</v>
      </c>
    </row>
    <row r="14" spans="1:16" ht="18" customHeight="1" x14ac:dyDescent="0.2">
      <c r="A14" s="8" t="s">
        <v>11</v>
      </c>
      <c r="B14" s="13" t="s">
        <v>38</v>
      </c>
      <c r="C14" s="8" t="s">
        <v>60</v>
      </c>
      <c r="D14" s="50">
        <v>35125</v>
      </c>
      <c r="E14" s="78" t="s">
        <v>133</v>
      </c>
      <c r="F14" s="12" t="s">
        <v>113</v>
      </c>
      <c r="G14" s="12" t="s">
        <v>102</v>
      </c>
      <c r="H14" s="12" t="s">
        <v>133</v>
      </c>
      <c r="I14" s="207">
        <v>440000</v>
      </c>
      <c r="J14" s="216">
        <v>35125</v>
      </c>
      <c r="K14" s="69">
        <v>26183.77</v>
      </c>
      <c r="L14" s="70">
        <f t="shared" si="0"/>
        <v>8941.23</v>
      </c>
    </row>
    <row r="15" spans="1:16" ht="18" customHeight="1" x14ac:dyDescent="0.2">
      <c r="A15" s="8" t="s">
        <v>11</v>
      </c>
      <c r="B15" s="13" t="s">
        <v>17</v>
      </c>
      <c r="C15" s="8" t="s">
        <v>60</v>
      </c>
      <c r="D15" s="50">
        <v>22500</v>
      </c>
      <c r="E15" s="78" t="s">
        <v>134</v>
      </c>
      <c r="F15" s="12" t="s">
        <v>114</v>
      </c>
      <c r="G15" s="12" t="s">
        <v>102</v>
      </c>
      <c r="H15" s="12" t="s">
        <v>134</v>
      </c>
      <c r="I15" s="207">
        <v>440000</v>
      </c>
      <c r="J15" s="216">
        <v>22500</v>
      </c>
      <c r="K15" s="69">
        <v>21168.67</v>
      </c>
      <c r="L15" s="70">
        <f t="shared" si="0"/>
        <v>1331.3300000000017</v>
      </c>
    </row>
    <row r="16" spans="1:16" ht="18" customHeight="1" x14ac:dyDescent="0.2">
      <c r="A16" s="8" t="s">
        <v>11</v>
      </c>
      <c r="B16" s="13" t="s">
        <v>10</v>
      </c>
      <c r="C16" s="8" t="s">
        <v>60</v>
      </c>
      <c r="D16" s="50">
        <v>15000</v>
      </c>
      <c r="E16" s="78" t="s">
        <v>135</v>
      </c>
      <c r="F16" s="12" t="s">
        <v>115</v>
      </c>
      <c r="G16" s="12" t="s">
        <v>102</v>
      </c>
      <c r="H16" s="12" t="s">
        <v>135</v>
      </c>
      <c r="I16" s="207">
        <v>440000</v>
      </c>
      <c r="J16" s="216">
        <v>15000</v>
      </c>
      <c r="K16" s="69">
        <v>4820</v>
      </c>
      <c r="L16" s="70">
        <f t="shared" si="0"/>
        <v>10180</v>
      </c>
    </row>
    <row r="17" spans="1:15" ht="18" customHeight="1" x14ac:dyDescent="0.2">
      <c r="A17" s="8" t="s">
        <v>25</v>
      </c>
      <c r="B17" s="13" t="s">
        <v>45</v>
      </c>
      <c r="C17" s="8" t="s">
        <v>60</v>
      </c>
      <c r="D17" s="50">
        <v>90500</v>
      </c>
      <c r="E17" s="78" t="s">
        <v>136</v>
      </c>
      <c r="F17" s="12" t="s">
        <v>116</v>
      </c>
      <c r="G17" s="12" t="s">
        <v>102</v>
      </c>
      <c r="H17" s="12" t="s">
        <v>136</v>
      </c>
      <c r="I17" s="207">
        <v>440000</v>
      </c>
      <c r="J17" s="216">
        <v>90500</v>
      </c>
      <c r="K17" s="69">
        <v>172.84</v>
      </c>
      <c r="L17" s="70">
        <f t="shared" si="0"/>
        <v>90327.16</v>
      </c>
    </row>
    <row r="18" spans="1:15" ht="18" customHeight="1" x14ac:dyDescent="0.2">
      <c r="A18" s="15" t="s">
        <v>25</v>
      </c>
      <c r="B18" s="16" t="s">
        <v>47</v>
      </c>
      <c r="C18" s="8" t="s">
        <v>60</v>
      </c>
      <c r="D18" s="50">
        <v>4774.16</v>
      </c>
      <c r="E18" s="78" t="s">
        <v>137</v>
      </c>
      <c r="F18" s="12" t="s">
        <v>149</v>
      </c>
      <c r="G18" s="12" t="s">
        <v>102</v>
      </c>
      <c r="H18" s="12" t="s">
        <v>137</v>
      </c>
      <c r="I18" s="207">
        <v>440000</v>
      </c>
      <c r="J18" s="216">
        <v>4774</v>
      </c>
      <c r="K18" s="69">
        <v>4774</v>
      </c>
      <c r="L18" s="70">
        <f t="shared" si="0"/>
        <v>0</v>
      </c>
    </row>
    <row r="19" spans="1:15" ht="18" customHeight="1" x14ac:dyDescent="0.2">
      <c r="A19" s="15" t="s">
        <v>33</v>
      </c>
      <c r="B19" s="16" t="s">
        <v>40</v>
      </c>
      <c r="C19" s="8" t="s">
        <v>60</v>
      </c>
      <c r="D19" s="50">
        <v>22099</v>
      </c>
      <c r="E19" s="78" t="s">
        <v>138</v>
      </c>
      <c r="F19" s="12" t="s">
        <v>117</v>
      </c>
      <c r="G19" s="12" t="s">
        <v>102</v>
      </c>
      <c r="H19" s="12" t="s">
        <v>138</v>
      </c>
      <c r="I19" s="207">
        <v>440000</v>
      </c>
      <c r="J19" s="216">
        <v>22099</v>
      </c>
      <c r="K19" s="69">
        <v>21099</v>
      </c>
      <c r="L19" s="70">
        <f t="shared" si="0"/>
        <v>1000</v>
      </c>
    </row>
    <row r="20" spans="1:15" ht="18" customHeight="1" x14ac:dyDescent="0.2">
      <c r="A20" s="15" t="s">
        <v>33</v>
      </c>
      <c r="B20" s="16" t="s">
        <v>44</v>
      </c>
      <c r="C20" s="8" t="s">
        <v>60</v>
      </c>
      <c r="D20" s="50">
        <v>20460</v>
      </c>
      <c r="E20" s="78" t="s">
        <v>139</v>
      </c>
      <c r="F20" s="12" t="s">
        <v>118</v>
      </c>
      <c r="G20" s="12" t="s">
        <v>102</v>
      </c>
      <c r="H20" s="12" t="s">
        <v>139</v>
      </c>
      <c r="I20" s="207">
        <v>440000</v>
      </c>
      <c r="J20" s="216">
        <v>20460</v>
      </c>
      <c r="K20" s="69">
        <v>20059.68</v>
      </c>
      <c r="L20" s="70">
        <f t="shared" si="0"/>
        <v>400.31999999999971</v>
      </c>
    </row>
    <row r="21" spans="1:15" ht="18" customHeight="1" x14ac:dyDescent="0.2">
      <c r="A21" s="15" t="s">
        <v>33</v>
      </c>
      <c r="B21" s="16" t="s">
        <v>32</v>
      </c>
      <c r="C21" s="8" t="s">
        <v>60</v>
      </c>
      <c r="D21" s="50">
        <v>6812</v>
      </c>
      <c r="E21" s="78" t="s">
        <v>140</v>
      </c>
      <c r="F21" s="12" t="s">
        <v>119</v>
      </c>
      <c r="G21" s="12" t="s">
        <v>102</v>
      </c>
      <c r="H21" s="12" t="s">
        <v>140</v>
      </c>
      <c r="I21" s="207">
        <v>440000</v>
      </c>
      <c r="J21" s="216">
        <v>6812</v>
      </c>
      <c r="K21" s="69">
        <v>6052</v>
      </c>
      <c r="L21" s="70">
        <f t="shared" si="0"/>
        <v>760</v>
      </c>
    </row>
    <row r="22" spans="1:15" ht="18" customHeight="1" x14ac:dyDescent="0.2">
      <c r="A22" s="19" t="s">
        <v>33</v>
      </c>
      <c r="B22" s="17" t="s">
        <v>46</v>
      </c>
      <c r="C22" s="8" t="s">
        <v>60</v>
      </c>
      <c r="D22" s="51">
        <v>12096</v>
      </c>
      <c r="E22" s="78" t="s">
        <v>141</v>
      </c>
      <c r="F22" s="12" t="s">
        <v>120</v>
      </c>
      <c r="G22" s="12" t="s">
        <v>102</v>
      </c>
      <c r="H22" s="12" t="s">
        <v>141</v>
      </c>
      <c r="I22" s="207">
        <v>440000</v>
      </c>
      <c r="J22" s="216">
        <v>12096</v>
      </c>
      <c r="K22" s="69">
        <v>2254.66</v>
      </c>
      <c r="L22" s="70">
        <f t="shared" si="0"/>
        <v>9841.34</v>
      </c>
    </row>
    <row r="23" spans="1:15" ht="18" customHeight="1" x14ac:dyDescent="0.2">
      <c r="A23" s="20" t="s">
        <v>33</v>
      </c>
      <c r="B23" s="16" t="s">
        <v>43</v>
      </c>
      <c r="C23" s="8" t="s">
        <v>60</v>
      </c>
      <c r="D23" s="50">
        <v>72000</v>
      </c>
      <c r="E23" s="78" t="s">
        <v>142</v>
      </c>
      <c r="F23" s="12" t="s">
        <v>121</v>
      </c>
      <c r="G23" s="12" t="s">
        <v>102</v>
      </c>
      <c r="H23" s="12" t="s">
        <v>142</v>
      </c>
      <c r="I23" s="207">
        <v>440000</v>
      </c>
      <c r="J23" s="216">
        <v>72000</v>
      </c>
      <c r="K23" s="69">
        <v>71716.2</v>
      </c>
      <c r="L23" s="70">
        <f t="shared" si="0"/>
        <v>283.80000000000291</v>
      </c>
    </row>
    <row r="24" spans="1:15" ht="18" customHeight="1" x14ac:dyDescent="0.2">
      <c r="A24" s="20" t="s">
        <v>33</v>
      </c>
      <c r="B24" s="16" t="s">
        <v>34</v>
      </c>
      <c r="C24" s="8" t="s">
        <v>60</v>
      </c>
      <c r="D24" s="50">
        <v>3898</v>
      </c>
      <c r="E24" s="78" t="s">
        <v>143</v>
      </c>
      <c r="F24" s="12" t="s">
        <v>150</v>
      </c>
      <c r="G24" s="12" t="s">
        <v>102</v>
      </c>
      <c r="H24" s="12" t="s">
        <v>143</v>
      </c>
      <c r="I24" s="207">
        <v>440000</v>
      </c>
      <c r="J24" s="216">
        <v>3898</v>
      </c>
      <c r="K24" s="69">
        <v>3898</v>
      </c>
      <c r="L24" s="70">
        <f t="shared" si="0"/>
        <v>0</v>
      </c>
    </row>
    <row r="25" spans="1:15" ht="18" customHeight="1" x14ac:dyDescent="0.2">
      <c r="A25" s="20" t="s">
        <v>21</v>
      </c>
      <c r="B25" s="16" t="s">
        <v>23</v>
      </c>
      <c r="C25" s="8" t="s">
        <v>60</v>
      </c>
      <c r="D25" s="50">
        <v>5142</v>
      </c>
      <c r="E25" s="78" t="s">
        <v>144</v>
      </c>
      <c r="F25" s="12" t="s">
        <v>151</v>
      </c>
      <c r="G25" s="12" t="s">
        <v>102</v>
      </c>
      <c r="H25" s="12" t="s">
        <v>144</v>
      </c>
      <c r="I25" s="207">
        <v>440000</v>
      </c>
      <c r="J25" s="216">
        <v>5142</v>
      </c>
      <c r="K25" s="69">
        <v>0</v>
      </c>
      <c r="L25" s="70">
        <f t="shared" si="0"/>
        <v>5142</v>
      </c>
    </row>
    <row r="26" spans="1:15" ht="18" customHeight="1" x14ac:dyDescent="0.2">
      <c r="A26" s="20" t="s">
        <v>27</v>
      </c>
      <c r="B26" s="16" t="s">
        <v>39</v>
      </c>
      <c r="C26" s="8" t="s">
        <v>60</v>
      </c>
      <c r="D26" s="50">
        <v>23036</v>
      </c>
      <c r="E26" s="78" t="s">
        <v>145</v>
      </c>
      <c r="F26" s="12" t="s">
        <v>153</v>
      </c>
      <c r="G26" s="12" t="s">
        <v>102</v>
      </c>
      <c r="H26" s="12" t="s">
        <v>145</v>
      </c>
      <c r="I26" s="207">
        <v>440000</v>
      </c>
      <c r="J26" s="216">
        <v>23036</v>
      </c>
      <c r="K26" s="69">
        <v>15054.61</v>
      </c>
      <c r="L26" s="70">
        <f t="shared" si="0"/>
        <v>7981.3899999999994</v>
      </c>
    </row>
    <row r="27" spans="1:15" ht="18" customHeight="1" x14ac:dyDescent="0.2">
      <c r="A27" s="20" t="s">
        <v>27</v>
      </c>
      <c r="B27" s="16" t="s">
        <v>30</v>
      </c>
      <c r="C27" s="8" t="s">
        <v>60</v>
      </c>
      <c r="D27" s="50">
        <v>500</v>
      </c>
      <c r="E27" s="78" t="s">
        <v>146</v>
      </c>
      <c r="F27" s="12" t="s">
        <v>152</v>
      </c>
      <c r="G27" s="12" t="s">
        <v>102</v>
      </c>
      <c r="H27" s="12" t="s">
        <v>146</v>
      </c>
      <c r="I27" s="207">
        <v>440000</v>
      </c>
      <c r="J27" s="216">
        <v>500</v>
      </c>
      <c r="K27" s="69">
        <v>484.4</v>
      </c>
      <c r="L27" s="70">
        <f t="shared" si="0"/>
        <v>15.600000000000023</v>
      </c>
    </row>
    <row r="28" spans="1:15" ht="18" customHeight="1" x14ac:dyDescent="0.2">
      <c r="A28" s="20" t="s">
        <v>27</v>
      </c>
      <c r="B28" s="16" t="s">
        <v>26</v>
      </c>
      <c r="C28" s="8" t="s">
        <v>60</v>
      </c>
      <c r="D28" s="50">
        <v>18990</v>
      </c>
      <c r="E28" s="78" t="s">
        <v>147</v>
      </c>
      <c r="F28" s="12" t="s">
        <v>122</v>
      </c>
      <c r="G28" s="12" t="s">
        <v>102</v>
      </c>
      <c r="H28" s="12" t="s">
        <v>147</v>
      </c>
      <c r="I28" s="207">
        <v>440000</v>
      </c>
      <c r="J28" s="216">
        <v>18990</v>
      </c>
      <c r="K28" s="69">
        <v>18990</v>
      </c>
      <c r="L28" s="70">
        <f t="shared" si="0"/>
        <v>0</v>
      </c>
    </row>
    <row r="29" spans="1:15" ht="18" customHeight="1" x14ac:dyDescent="0.2">
      <c r="A29" s="21" t="s">
        <v>27</v>
      </c>
      <c r="B29" s="18" t="s">
        <v>42</v>
      </c>
      <c r="C29" s="35" t="s">
        <v>60</v>
      </c>
      <c r="D29" s="39">
        <v>8389.35</v>
      </c>
      <c r="E29" s="78" t="s">
        <v>148</v>
      </c>
      <c r="F29" s="12" t="s">
        <v>123</v>
      </c>
      <c r="G29" s="12" t="s">
        <v>102</v>
      </c>
      <c r="H29" s="12" t="s">
        <v>148</v>
      </c>
      <c r="I29" s="207">
        <v>440000</v>
      </c>
      <c r="J29" s="216">
        <v>8389</v>
      </c>
      <c r="K29" s="69">
        <v>7735.39</v>
      </c>
      <c r="L29" s="70">
        <f t="shared" si="0"/>
        <v>653.60999999999967</v>
      </c>
    </row>
    <row r="30" spans="1:15" ht="18" customHeight="1" x14ac:dyDescent="0.2">
      <c r="A30" s="27" t="s">
        <v>160</v>
      </c>
      <c r="B30" s="28" t="s">
        <v>161</v>
      </c>
      <c r="C30" s="36" t="s">
        <v>60</v>
      </c>
      <c r="D30" s="40">
        <v>151250</v>
      </c>
      <c r="E30" s="79" t="s">
        <v>165</v>
      </c>
      <c r="F30" s="29" t="s">
        <v>163</v>
      </c>
      <c r="G30" s="29" t="s">
        <v>102</v>
      </c>
      <c r="H30" s="29" t="s">
        <v>165</v>
      </c>
      <c r="I30" s="208">
        <v>440000</v>
      </c>
      <c r="J30" s="216">
        <v>151250</v>
      </c>
      <c r="K30" s="69"/>
      <c r="L30" s="70">
        <f t="shared" si="0"/>
        <v>151250</v>
      </c>
    </row>
    <row r="31" spans="1:15" ht="18" customHeight="1" thickBot="1" x14ac:dyDescent="0.25">
      <c r="A31" s="30" t="s">
        <v>160</v>
      </c>
      <c r="B31" s="31" t="s">
        <v>162</v>
      </c>
      <c r="C31" s="37" t="s">
        <v>60</v>
      </c>
      <c r="D31" s="41">
        <v>350000</v>
      </c>
      <c r="E31" s="80" t="s">
        <v>166</v>
      </c>
      <c r="F31" s="32" t="s">
        <v>164</v>
      </c>
      <c r="G31" s="32" t="s">
        <v>102</v>
      </c>
      <c r="H31" s="32" t="s">
        <v>166</v>
      </c>
      <c r="I31" s="209">
        <v>440000</v>
      </c>
      <c r="J31" s="217">
        <v>350000</v>
      </c>
      <c r="K31" s="71">
        <v>216216.64</v>
      </c>
      <c r="L31" s="72">
        <f t="shared" si="0"/>
        <v>133783.35999999999</v>
      </c>
      <c r="M31" s="25"/>
      <c r="N31" s="25"/>
      <c r="O31" s="25"/>
    </row>
    <row r="32" spans="1:15" s="14" customFormat="1" ht="18" customHeight="1" x14ac:dyDescent="0.2">
      <c r="A32" s="33" t="s">
        <v>182</v>
      </c>
      <c r="B32" s="33"/>
      <c r="C32" s="38"/>
      <c r="D32" s="42">
        <f>SUM(D4:D31)</f>
        <v>1267510.68</v>
      </c>
      <c r="E32" s="81"/>
      <c r="F32" s="53"/>
      <c r="G32" s="53"/>
      <c r="H32" s="53"/>
      <c r="I32" s="210"/>
      <c r="J32" s="218">
        <f>SUM(J4:J31)</f>
        <v>1267510</v>
      </c>
      <c r="K32" s="42">
        <f>SUM(K4:K31)</f>
        <v>625845.08000000007</v>
      </c>
      <c r="L32" s="42">
        <f>SUM(L4:L31)</f>
        <v>641664.91999999993</v>
      </c>
      <c r="N32" s="42">
        <f>SUM(N4:N31)</f>
        <v>0</v>
      </c>
      <c r="O32" s="42">
        <f>SUM(O4:O31)</f>
        <v>0</v>
      </c>
    </row>
    <row r="33" spans="1:12" ht="18" customHeight="1" x14ac:dyDescent="0.2">
      <c r="A33" s="3" t="s">
        <v>183</v>
      </c>
      <c r="B33" s="3" t="s">
        <v>180</v>
      </c>
      <c r="D33" s="43">
        <f>+J33</f>
        <v>6800</v>
      </c>
      <c r="E33" s="82" t="s">
        <v>179</v>
      </c>
      <c r="F33" s="23" t="s">
        <v>180</v>
      </c>
      <c r="G33" s="23" t="s">
        <v>102</v>
      </c>
      <c r="H33" s="23" t="s">
        <v>179</v>
      </c>
      <c r="I33" s="211">
        <v>440000</v>
      </c>
      <c r="J33" s="219">
        <v>6800</v>
      </c>
      <c r="K33" s="49">
        <v>6720</v>
      </c>
      <c r="L33" s="49">
        <f t="shared" si="0"/>
        <v>80</v>
      </c>
    </row>
    <row r="34" spans="1:12" ht="18" customHeight="1" x14ac:dyDescent="0.2">
      <c r="D34" s="43"/>
      <c r="E34" s="78" t="s">
        <v>355</v>
      </c>
      <c r="F34" s="12" t="s">
        <v>104</v>
      </c>
      <c r="G34" s="12" t="s">
        <v>102</v>
      </c>
      <c r="H34" s="12" t="s">
        <v>355</v>
      </c>
      <c r="I34" s="207">
        <v>440000</v>
      </c>
      <c r="J34" s="216">
        <v>12200</v>
      </c>
      <c r="K34" s="49"/>
      <c r="L34" s="49">
        <f t="shared" si="0"/>
        <v>12200</v>
      </c>
    </row>
    <row r="35" spans="1:12" ht="18" customHeight="1" x14ac:dyDescent="0.2">
      <c r="D35" s="43"/>
      <c r="E35" s="82" t="s">
        <v>356</v>
      </c>
      <c r="F35" s="23" t="s">
        <v>335</v>
      </c>
      <c r="G35" s="23" t="s">
        <v>102</v>
      </c>
      <c r="H35" s="23" t="s">
        <v>356</v>
      </c>
      <c r="I35" s="211">
        <v>440000</v>
      </c>
      <c r="J35" s="219">
        <v>22385</v>
      </c>
      <c r="K35" s="49"/>
      <c r="L35" s="49">
        <f t="shared" si="0"/>
        <v>22385</v>
      </c>
    </row>
    <row r="36" spans="1:12" ht="18" customHeight="1" x14ac:dyDescent="0.2">
      <c r="D36" s="43"/>
      <c r="E36" s="82" t="s">
        <v>337</v>
      </c>
      <c r="F36" s="23" t="s">
        <v>338</v>
      </c>
      <c r="G36" s="23" t="s">
        <v>102</v>
      </c>
      <c r="H36" s="23" t="s">
        <v>337</v>
      </c>
      <c r="I36" s="211">
        <v>440000</v>
      </c>
      <c r="J36" s="219">
        <v>77674</v>
      </c>
      <c r="K36" s="49"/>
      <c r="L36" s="49">
        <f t="shared" si="0"/>
        <v>77674</v>
      </c>
    </row>
    <row r="37" spans="1:12" ht="18" customHeight="1" x14ac:dyDescent="0.2">
      <c r="D37" s="43"/>
      <c r="E37" s="82" t="s">
        <v>339</v>
      </c>
      <c r="F37" s="23" t="s">
        <v>391</v>
      </c>
      <c r="G37" s="23" t="s">
        <v>102</v>
      </c>
      <c r="H37" s="23" t="s">
        <v>339</v>
      </c>
      <c r="I37" s="211">
        <v>440000</v>
      </c>
      <c r="J37" s="219">
        <v>26500</v>
      </c>
      <c r="K37" s="49"/>
      <c r="L37" s="49">
        <f t="shared" si="0"/>
        <v>26500</v>
      </c>
    </row>
    <row r="38" spans="1:12" ht="18" customHeight="1" x14ac:dyDescent="0.2">
      <c r="D38" s="43"/>
      <c r="E38" s="82" t="s">
        <v>341</v>
      </c>
      <c r="F38" s="23" t="s">
        <v>392</v>
      </c>
      <c r="G38" s="23" t="s">
        <v>102</v>
      </c>
      <c r="H38" s="23" t="s">
        <v>341</v>
      </c>
      <c r="I38" s="211">
        <v>440000</v>
      </c>
      <c r="J38" s="219">
        <v>11158</v>
      </c>
      <c r="K38" s="49"/>
      <c r="L38" s="49">
        <f t="shared" si="0"/>
        <v>11158</v>
      </c>
    </row>
    <row r="39" spans="1:12" ht="18" customHeight="1" x14ac:dyDescent="0.2">
      <c r="D39" s="43"/>
      <c r="E39" s="82" t="s">
        <v>342</v>
      </c>
      <c r="F39" s="23" t="s">
        <v>393</v>
      </c>
      <c r="G39" s="23" t="s">
        <v>102</v>
      </c>
      <c r="H39" s="23" t="s">
        <v>342</v>
      </c>
      <c r="I39" s="211">
        <v>440000</v>
      </c>
      <c r="J39" s="219">
        <v>13117</v>
      </c>
      <c r="K39" s="49"/>
      <c r="L39" s="49">
        <f t="shared" si="0"/>
        <v>13117</v>
      </c>
    </row>
    <row r="40" spans="1:12" ht="18" customHeight="1" x14ac:dyDescent="0.2">
      <c r="D40" s="43"/>
      <c r="E40" s="82" t="s">
        <v>310</v>
      </c>
      <c r="F40" s="23" t="s">
        <v>394</v>
      </c>
      <c r="G40" s="23" t="s">
        <v>102</v>
      </c>
      <c r="H40" s="23" t="s">
        <v>310</v>
      </c>
      <c r="I40" s="211">
        <v>440000</v>
      </c>
      <c r="J40" s="219">
        <v>72100</v>
      </c>
      <c r="K40" s="49"/>
      <c r="L40" s="49">
        <f t="shared" si="0"/>
        <v>72100</v>
      </c>
    </row>
    <row r="41" spans="1:12" ht="18" customHeight="1" x14ac:dyDescent="0.2">
      <c r="D41" s="43"/>
      <c r="E41" s="82" t="s">
        <v>312</v>
      </c>
      <c r="F41" s="23" t="s">
        <v>395</v>
      </c>
      <c r="G41" s="23" t="s">
        <v>102</v>
      </c>
      <c r="H41" s="23" t="s">
        <v>312</v>
      </c>
      <c r="I41" s="211">
        <v>440000</v>
      </c>
      <c r="J41" s="219">
        <v>103408</v>
      </c>
      <c r="K41" s="49"/>
      <c r="L41" s="49">
        <f t="shared" si="0"/>
        <v>103408</v>
      </c>
    </row>
    <row r="42" spans="1:12" ht="18" customHeight="1" x14ac:dyDescent="0.2">
      <c r="D42" s="43"/>
      <c r="E42" s="82" t="s">
        <v>314</v>
      </c>
      <c r="F42" s="23" t="s">
        <v>315</v>
      </c>
      <c r="G42" s="23" t="s">
        <v>102</v>
      </c>
      <c r="H42" s="23" t="s">
        <v>314</v>
      </c>
      <c r="I42" s="211">
        <v>440000</v>
      </c>
      <c r="J42" s="219">
        <v>13156</v>
      </c>
      <c r="K42" s="49"/>
      <c r="L42" s="49">
        <f t="shared" si="0"/>
        <v>13156</v>
      </c>
    </row>
    <row r="43" spans="1:12" ht="18" customHeight="1" x14ac:dyDescent="0.2">
      <c r="D43" s="43"/>
      <c r="E43" s="82" t="s">
        <v>316</v>
      </c>
      <c r="F43" s="23" t="s">
        <v>396</v>
      </c>
      <c r="G43" s="23" t="s">
        <v>102</v>
      </c>
      <c r="H43" s="23" t="s">
        <v>316</v>
      </c>
      <c r="I43" s="211">
        <v>440000</v>
      </c>
      <c r="J43" s="219">
        <v>16382</v>
      </c>
      <c r="K43" s="49"/>
      <c r="L43" s="49">
        <f t="shared" si="0"/>
        <v>16382</v>
      </c>
    </row>
    <row r="44" spans="1:12" ht="18" customHeight="1" x14ac:dyDescent="0.2">
      <c r="D44" s="43"/>
      <c r="E44" s="82" t="s">
        <v>317</v>
      </c>
      <c r="F44" s="23" t="s">
        <v>397</v>
      </c>
      <c r="G44" s="23" t="s">
        <v>102</v>
      </c>
      <c r="H44" s="23" t="s">
        <v>316</v>
      </c>
      <c r="I44" s="211">
        <v>440000</v>
      </c>
      <c r="J44" s="219">
        <v>13711</v>
      </c>
      <c r="K44" s="49"/>
      <c r="L44" s="49">
        <f t="shared" si="0"/>
        <v>13711</v>
      </c>
    </row>
    <row r="45" spans="1:12" ht="18" customHeight="1" x14ac:dyDescent="0.2">
      <c r="D45" s="43"/>
      <c r="E45" s="82" t="s">
        <v>319</v>
      </c>
      <c r="F45" s="23" t="s">
        <v>320</v>
      </c>
      <c r="G45" s="23" t="s">
        <v>102</v>
      </c>
      <c r="H45" s="23" t="s">
        <v>319</v>
      </c>
      <c r="I45" s="211">
        <v>440000</v>
      </c>
      <c r="J45" s="219">
        <v>25535</v>
      </c>
      <c r="K45" s="49"/>
      <c r="L45" s="49">
        <f t="shared" si="0"/>
        <v>25535</v>
      </c>
    </row>
    <row r="46" spans="1:12" ht="18" customHeight="1" x14ac:dyDescent="0.2">
      <c r="D46" s="43"/>
      <c r="E46" s="82" t="s">
        <v>353</v>
      </c>
      <c r="F46" s="23" t="s">
        <v>398</v>
      </c>
      <c r="G46" s="23" t="s">
        <v>102</v>
      </c>
      <c r="H46" s="23" t="s">
        <v>353</v>
      </c>
      <c r="I46" s="211">
        <v>440000</v>
      </c>
      <c r="J46" s="219">
        <v>24000</v>
      </c>
      <c r="K46" s="49"/>
      <c r="L46" s="49">
        <f t="shared" si="0"/>
        <v>24000</v>
      </c>
    </row>
    <row r="47" spans="1:12" ht="18" customHeight="1" x14ac:dyDescent="0.2">
      <c r="D47" s="43"/>
      <c r="E47" s="82" t="s">
        <v>354</v>
      </c>
      <c r="F47" s="23" t="s">
        <v>399</v>
      </c>
      <c r="G47" s="23" t="s">
        <v>102</v>
      </c>
      <c r="H47" s="23" t="s">
        <v>354</v>
      </c>
      <c r="I47" s="211">
        <v>440000</v>
      </c>
      <c r="J47" s="219">
        <v>19500</v>
      </c>
      <c r="K47" s="49"/>
      <c r="L47" s="49">
        <f t="shared" si="0"/>
        <v>19500</v>
      </c>
    </row>
    <row r="48" spans="1:12" ht="18" customHeight="1" x14ac:dyDescent="0.2">
      <c r="D48" s="43"/>
      <c r="E48" s="82" t="s">
        <v>325</v>
      </c>
      <c r="F48" s="23" t="s">
        <v>327</v>
      </c>
      <c r="G48" s="23" t="s">
        <v>102</v>
      </c>
      <c r="H48" s="23" t="s">
        <v>325</v>
      </c>
      <c r="I48" s="211">
        <v>440000</v>
      </c>
      <c r="J48" s="219">
        <v>8000</v>
      </c>
      <c r="K48" s="49"/>
      <c r="L48" s="49">
        <f t="shared" si="0"/>
        <v>8000</v>
      </c>
    </row>
    <row r="49" spans="1:15" ht="18" customHeight="1" x14ac:dyDescent="0.2">
      <c r="D49" s="43"/>
      <c r="E49" s="82" t="s">
        <v>326</v>
      </c>
      <c r="F49" s="23" t="s">
        <v>400</v>
      </c>
      <c r="G49" s="23" t="s">
        <v>102</v>
      </c>
      <c r="H49" s="23" t="s">
        <v>326</v>
      </c>
      <c r="I49" s="211">
        <v>440000</v>
      </c>
      <c r="J49" s="219">
        <v>19003</v>
      </c>
      <c r="K49" s="49"/>
      <c r="L49" s="49">
        <f t="shared" si="0"/>
        <v>19003</v>
      </c>
    </row>
    <row r="50" spans="1:15" ht="18" customHeight="1" x14ac:dyDescent="0.2">
      <c r="D50" s="43"/>
      <c r="E50" s="82" t="s">
        <v>378</v>
      </c>
      <c r="F50" s="23" t="s">
        <v>401</v>
      </c>
      <c r="G50" s="23" t="s">
        <v>102</v>
      </c>
      <c r="H50" s="23" t="s">
        <v>378</v>
      </c>
      <c r="I50" s="211">
        <v>440000</v>
      </c>
      <c r="J50" s="219">
        <v>22445</v>
      </c>
      <c r="K50" s="49"/>
      <c r="L50" s="49">
        <f t="shared" si="0"/>
        <v>22445</v>
      </c>
    </row>
    <row r="51" spans="1:15" ht="18" customHeight="1" x14ac:dyDescent="0.2">
      <c r="D51" s="43"/>
      <c r="E51" s="82" t="s">
        <v>329</v>
      </c>
      <c r="F51" s="23" t="s">
        <v>402</v>
      </c>
      <c r="G51" s="23" t="s">
        <v>102</v>
      </c>
      <c r="H51" s="23" t="s">
        <v>329</v>
      </c>
      <c r="I51" s="211">
        <v>440000</v>
      </c>
      <c r="J51" s="219">
        <v>8800</v>
      </c>
      <c r="K51" s="49"/>
      <c r="L51" s="49">
        <f t="shared" si="0"/>
        <v>8800</v>
      </c>
    </row>
    <row r="52" spans="1:15" ht="18" customHeight="1" x14ac:dyDescent="0.2">
      <c r="D52" s="43"/>
      <c r="E52" s="82" t="s">
        <v>403</v>
      </c>
      <c r="F52" s="23" t="s">
        <v>404</v>
      </c>
      <c r="G52" s="23" t="s">
        <v>102</v>
      </c>
      <c r="H52" s="23" t="s">
        <v>403</v>
      </c>
      <c r="I52" s="211">
        <v>440000</v>
      </c>
      <c r="J52" s="219">
        <v>55625</v>
      </c>
      <c r="K52" s="49"/>
      <c r="L52" s="49">
        <f t="shared" si="0"/>
        <v>55625</v>
      </c>
    </row>
    <row r="53" spans="1:15" ht="18" customHeight="1" x14ac:dyDescent="0.2">
      <c r="D53" s="43"/>
      <c r="E53" s="82" t="s">
        <v>332</v>
      </c>
      <c r="F53" s="23" t="s">
        <v>405</v>
      </c>
      <c r="G53" s="23" t="s">
        <v>102</v>
      </c>
      <c r="H53" s="23" t="s">
        <v>332</v>
      </c>
      <c r="I53" s="211">
        <v>440000</v>
      </c>
      <c r="J53" s="219">
        <v>7494</v>
      </c>
      <c r="K53" s="49"/>
      <c r="L53" s="49">
        <f t="shared" si="0"/>
        <v>7494</v>
      </c>
    </row>
    <row r="54" spans="1:15" ht="18" customHeight="1" x14ac:dyDescent="0.2">
      <c r="D54" s="43"/>
      <c r="E54" s="82" t="s">
        <v>352</v>
      </c>
      <c r="F54" s="23" t="s">
        <v>324</v>
      </c>
      <c r="G54" s="23" t="s">
        <v>102</v>
      </c>
      <c r="H54" s="23" t="s">
        <v>352</v>
      </c>
      <c r="I54" s="211">
        <v>440000</v>
      </c>
      <c r="J54" s="219">
        <v>9415</v>
      </c>
      <c r="K54" s="49"/>
      <c r="L54" s="49">
        <f t="shared" si="0"/>
        <v>9415</v>
      </c>
    </row>
    <row r="55" spans="1:15" ht="18" customHeight="1" x14ac:dyDescent="0.2">
      <c r="D55" s="43"/>
      <c r="E55" s="82" t="s">
        <v>322</v>
      </c>
      <c r="F55" s="23" t="s">
        <v>406</v>
      </c>
      <c r="G55" s="23" t="s">
        <v>102</v>
      </c>
      <c r="H55" s="23" t="s">
        <v>322</v>
      </c>
      <c r="I55" s="211">
        <v>440000</v>
      </c>
      <c r="J55" s="219">
        <v>96075</v>
      </c>
      <c r="K55" s="49"/>
      <c r="L55" s="49">
        <f t="shared" si="0"/>
        <v>96075</v>
      </c>
    </row>
    <row r="56" spans="1:15" ht="18" customHeight="1" x14ac:dyDescent="0.2">
      <c r="D56" s="43"/>
      <c r="E56" s="82" t="s">
        <v>351</v>
      </c>
      <c r="F56" s="23" t="s">
        <v>343</v>
      </c>
      <c r="G56" s="23" t="s">
        <v>102</v>
      </c>
      <c r="H56" s="23" t="s">
        <v>351</v>
      </c>
      <c r="I56" s="211">
        <v>440000</v>
      </c>
      <c r="J56" s="219">
        <v>32805</v>
      </c>
      <c r="K56" s="49"/>
      <c r="L56" s="49">
        <f t="shared" si="0"/>
        <v>32805</v>
      </c>
    </row>
    <row r="57" spans="1:15" ht="18" customHeight="1" thickBot="1" x14ac:dyDescent="0.25">
      <c r="A57" s="25"/>
      <c r="B57" s="25"/>
      <c r="C57" s="25"/>
      <c r="D57" s="22"/>
      <c r="E57" s="83" t="s">
        <v>178</v>
      </c>
      <c r="F57" s="22" t="s">
        <v>184</v>
      </c>
      <c r="G57" s="22" t="s">
        <v>102</v>
      </c>
      <c r="H57" s="22" t="s">
        <v>178</v>
      </c>
      <c r="I57" s="212">
        <v>440000</v>
      </c>
      <c r="J57" s="220">
        <v>0</v>
      </c>
      <c r="K57" s="52">
        <v>31.86</v>
      </c>
      <c r="L57" s="52">
        <f t="shared" si="0"/>
        <v>-31.86</v>
      </c>
      <c r="N57" s="25"/>
      <c r="O57" s="25"/>
    </row>
    <row r="58" spans="1:15" ht="18" customHeight="1" x14ac:dyDescent="0.2">
      <c r="A58" s="34" t="s">
        <v>62</v>
      </c>
      <c r="B58" s="34"/>
      <c r="C58" s="34"/>
      <c r="D58" s="45">
        <f>SUM(D32:D57)</f>
        <v>1274310.68</v>
      </c>
      <c r="E58" s="84"/>
      <c r="F58" s="44"/>
      <c r="G58" s="44"/>
      <c r="H58" s="44"/>
      <c r="I58" s="213"/>
      <c r="J58" s="221">
        <f>SUM(J32:J57)</f>
        <v>1984798</v>
      </c>
      <c r="K58" s="222">
        <f>SUM(K32:K57)</f>
        <v>632596.94000000006</v>
      </c>
      <c r="L58" s="222">
        <f>SUM(L32:L57)</f>
        <v>1352201.0599999998</v>
      </c>
      <c r="N58" s="203">
        <f>SUM(N32:N57)</f>
        <v>0</v>
      </c>
      <c r="O58" s="203">
        <f>SUM(O32:O57)</f>
        <v>0</v>
      </c>
    </row>
    <row r="59" spans="1:15" ht="18" customHeight="1" x14ac:dyDescent="0.2">
      <c r="G59" s="54" t="s">
        <v>407</v>
      </c>
      <c r="H59" s="55"/>
      <c r="I59" s="55"/>
      <c r="J59" s="56"/>
      <c r="K59" s="56"/>
      <c r="L59" s="57"/>
    </row>
    <row r="60" spans="1:15" ht="18" customHeight="1" x14ac:dyDescent="0.25">
      <c r="F60" s="3" t="s">
        <v>12</v>
      </c>
      <c r="G60" s="58"/>
      <c r="H60" s="26" t="s">
        <v>408</v>
      </c>
      <c r="I60" s="26"/>
      <c r="J60" s="59"/>
      <c r="K60" s="60">
        <v>632596.93999999994</v>
      </c>
      <c r="L60" s="61"/>
    </row>
    <row r="61" spans="1:15" ht="18" customHeight="1" x14ac:dyDescent="0.25">
      <c r="G61" s="58"/>
      <c r="H61" s="26" t="s">
        <v>185</v>
      </c>
      <c r="I61" s="26"/>
      <c r="J61" s="59"/>
      <c r="K61" s="62">
        <f>+K58</f>
        <v>632596.94000000006</v>
      </c>
      <c r="L61" s="61"/>
    </row>
    <row r="62" spans="1:15" ht="18" customHeight="1" x14ac:dyDescent="0.2">
      <c r="G62" s="63"/>
      <c r="H62" s="65" t="s">
        <v>186</v>
      </c>
      <c r="I62" s="65"/>
      <c r="J62" s="66"/>
      <c r="K62" s="66">
        <f>+K61-K60</f>
        <v>0</v>
      </c>
      <c r="L62" s="64"/>
    </row>
    <row r="63" spans="1:15" ht="18" customHeight="1" x14ac:dyDescent="0.2">
      <c r="K63" s="24"/>
    </row>
  </sheetData>
  <mergeCells count="2">
    <mergeCell ref="E2:I2"/>
    <mergeCell ref="J2:L2"/>
  </mergeCells>
  <pageMargins left="0.2" right="0.2" top="0.5" bottom="0.5" header="0.3" footer="0.3"/>
  <pageSetup scale="69" orientation="landscape" horizontalDpi="1200" verticalDpi="1200" r:id="rId1"/>
  <headerFooter>
    <oddFooter>&amp;L&amp;Z&amp;F&amp;C&amp;D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S27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ColWidth="15.42578125" defaultRowHeight="12.75" x14ac:dyDescent="0.2"/>
  <cols>
    <col min="1" max="1" width="26.7109375" style="118" customWidth="1"/>
    <col min="2" max="2" width="13.140625" style="132" customWidth="1"/>
    <col min="3" max="4" width="42" style="118" customWidth="1"/>
    <col min="5" max="6" width="10.7109375" style="118" customWidth="1"/>
    <col min="7" max="7" width="11" style="118" customWidth="1"/>
    <col min="8" max="8" width="10.5703125" style="118" customWidth="1"/>
    <col min="9" max="9" width="10.42578125" style="118" customWidth="1"/>
    <col min="10" max="10" width="11" style="118" customWidth="1"/>
    <col min="11" max="11" width="13.5703125" style="118" hidden="1" customWidth="1"/>
    <col min="12" max="12" width="11.5703125" style="118" customWidth="1"/>
    <col min="13" max="13" width="10.140625" style="129" customWidth="1"/>
    <col min="14" max="14" width="32.85546875" style="129" customWidth="1"/>
    <col min="15" max="15" width="10" style="129" customWidth="1"/>
    <col min="16" max="16" width="9.85546875" style="129" customWidth="1"/>
    <col min="17" max="17" width="9.140625" style="129" customWidth="1"/>
    <col min="18" max="18" width="10.5703125" style="118" customWidth="1"/>
    <col min="19" max="24" width="15.42578125" style="118"/>
    <col min="25" max="25" width="3.42578125" style="118" customWidth="1"/>
    <col min="26" max="16384" width="15.42578125" style="118"/>
  </cols>
  <sheetData>
    <row r="1" spans="1:18" ht="25.5" customHeight="1" x14ac:dyDescent="0.2">
      <c r="A1" s="117" t="s">
        <v>307</v>
      </c>
      <c r="B1" s="130"/>
      <c r="E1" s="119"/>
      <c r="F1" s="119"/>
      <c r="G1" s="119"/>
      <c r="H1" s="119"/>
      <c r="I1" s="119"/>
      <c r="J1" s="119"/>
      <c r="K1" s="120"/>
      <c r="L1" s="121"/>
      <c r="M1" s="908" t="s">
        <v>96</v>
      </c>
      <c r="N1" s="909"/>
      <c r="O1" s="909"/>
      <c r="P1" s="909"/>
      <c r="Q1" s="909"/>
    </row>
    <row r="2" spans="1:18" ht="30" customHeight="1" thickBot="1" x14ac:dyDescent="0.25">
      <c r="A2" s="122" t="s">
        <v>4</v>
      </c>
      <c r="B2" s="131" t="s">
        <v>308</v>
      </c>
      <c r="C2" s="123" t="s">
        <v>0</v>
      </c>
      <c r="D2" s="436"/>
      <c r="E2" s="122" t="s">
        <v>3</v>
      </c>
      <c r="F2" s="122"/>
      <c r="G2" s="124" t="s">
        <v>346</v>
      </c>
      <c r="H2" s="124" t="s">
        <v>347</v>
      </c>
      <c r="I2" s="124" t="s">
        <v>348</v>
      </c>
      <c r="J2" s="125" t="s">
        <v>1</v>
      </c>
      <c r="K2" s="126" t="s">
        <v>74</v>
      </c>
      <c r="L2" s="193" t="s">
        <v>379</v>
      </c>
      <c r="M2" s="128" t="s">
        <v>97</v>
      </c>
      <c r="N2" s="128" t="s">
        <v>101</v>
      </c>
      <c r="O2" s="128" t="s">
        <v>98</v>
      </c>
      <c r="P2" s="128" t="s">
        <v>99</v>
      </c>
      <c r="Q2" s="128" t="s">
        <v>100</v>
      </c>
      <c r="R2" s="128" t="s">
        <v>360</v>
      </c>
    </row>
    <row r="3" spans="1:18" s="146" customFormat="1" ht="20.100000000000001" customHeight="1" x14ac:dyDescent="0.2">
      <c r="A3" s="138" t="s">
        <v>192</v>
      </c>
      <c r="B3" s="139" t="s">
        <v>309</v>
      </c>
      <c r="C3" s="140">
        <v>1</v>
      </c>
      <c r="D3" s="140" t="s">
        <v>697</v>
      </c>
      <c r="E3" s="138" t="s">
        <v>60</v>
      </c>
      <c r="F3" s="139" t="s">
        <v>309</v>
      </c>
      <c r="G3" s="141">
        <v>72100</v>
      </c>
      <c r="H3" s="141">
        <v>0</v>
      </c>
      <c r="I3" s="141">
        <v>0</v>
      </c>
      <c r="J3" s="141">
        <f t="shared" ref="J3:J25" si="0">SUM(G3:I3)</f>
        <v>72100</v>
      </c>
      <c r="K3" s="142"/>
      <c r="L3" s="143">
        <f>ROUNDUP(G3,0)</f>
        <v>72100</v>
      </c>
      <c r="M3" s="144" t="s">
        <v>310</v>
      </c>
      <c r="N3" s="144" t="s">
        <v>311</v>
      </c>
      <c r="O3" s="144" t="s">
        <v>102</v>
      </c>
      <c r="P3" s="144" t="s">
        <v>310</v>
      </c>
      <c r="Q3" s="145">
        <v>440000</v>
      </c>
      <c r="R3" s="145" t="s">
        <v>361</v>
      </c>
    </row>
    <row r="4" spans="1:18" s="154" customFormat="1" ht="20.100000000000001" customHeight="1" x14ac:dyDescent="0.2">
      <c r="A4" s="147" t="s">
        <v>222</v>
      </c>
      <c r="B4" s="148" t="s">
        <v>309</v>
      </c>
      <c r="C4" s="149">
        <v>10</v>
      </c>
      <c r="D4" s="149" t="s">
        <v>284</v>
      </c>
      <c r="E4" s="147" t="s">
        <v>60</v>
      </c>
      <c r="F4" s="148" t="s">
        <v>309</v>
      </c>
      <c r="G4" s="150">
        <v>103408</v>
      </c>
      <c r="H4" s="150">
        <v>0</v>
      </c>
      <c r="I4" s="150">
        <v>0</v>
      </c>
      <c r="J4" s="150">
        <f t="shared" si="0"/>
        <v>103408</v>
      </c>
      <c r="K4" s="151"/>
      <c r="L4" s="143">
        <f t="shared" ref="L4:L25" si="1">ROUNDUP(G4,0)</f>
        <v>103408</v>
      </c>
      <c r="M4" s="152" t="s">
        <v>312</v>
      </c>
      <c r="N4" s="152" t="s">
        <v>313</v>
      </c>
      <c r="O4" s="152" t="s">
        <v>102</v>
      </c>
      <c r="P4" s="152" t="s">
        <v>312</v>
      </c>
      <c r="Q4" s="153">
        <v>440000</v>
      </c>
      <c r="R4" s="153" t="s">
        <v>361</v>
      </c>
    </row>
    <row r="5" spans="1:18" s="154" customFormat="1" ht="20.100000000000001" customHeight="1" x14ac:dyDescent="0.2">
      <c r="A5" s="147" t="s">
        <v>224</v>
      </c>
      <c r="B5" s="148" t="s">
        <v>309</v>
      </c>
      <c r="C5" s="149">
        <v>11</v>
      </c>
      <c r="D5" s="149" t="s">
        <v>698</v>
      </c>
      <c r="E5" s="147" t="s">
        <v>60</v>
      </c>
      <c r="F5" s="148" t="s">
        <v>309</v>
      </c>
      <c r="G5" s="150">
        <v>13156</v>
      </c>
      <c r="H5" s="150">
        <v>0</v>
      </c>
      <c r="I5" s="150">
        <v>0</v>
      </c>
      <c r="J5" s="150">
        <f t="shared" si="0"/>
        <v>13156</v>
      </c>
      <c r="K5" s="151"/>
      <c r="L5" s="143">
        <f t="shared" si="1"/>
        <v>13156</v>
      </c>
      <c r="M5" s="152" t="s">
        <v>314</v>
      </c>
      <c r="N5" s="152" t="s">
        <v>315</v>
      </c>
      <c r="O5" s="152" t="s">
        <v>102</v>
      </c>
      <c r="P5" s="152" t="s">
        <v>314</v>
      </c>
      <c r="Q5" s="153">
        <v>440000</v>
      </c>
      <c r="R5" s="153" t="s">
        <v>361</v>
      </c>
    </row>
    <row r="6" spans="1:18" s="154" customFormat="1" ht="20.100000000000001" customHeight="1" x14ac:dyDescent="0.2">
      <c r="A6" s="147" t="s">
        <v>208</v>
      </c>
      <c r="B6" s="148" t="s">
        <v>309</v>
      </c>
      <c r="C6" s="149">
        <v>5</v>
      </c>
      <c r="D6" s="149" t="s">
        <v>276</v>
      </c>
      <c r="E6" s="147" t="s">
        <v>60</v>
      </c>
      <c r="F6" s="148" t="s">
        <v>309</v>
      </c>
      <c r="G6" s="150">
        <v>16381.92</v>
      </c>
      <c r="H6" s="150">
        <v>125</v>
      </c>
      <c r="I6" s="150">
        <v>125</v>
      </c>
      <c r="J6" s="150">
        <f t="shared" si="0"/>
        <v>16631.919999999998</v>
      </c>
      <c r="K6" s="151"/>
      <c r="L6" s="143">
        <f t="shared" si="1"/>
        <v>16382</v>
      </c>
      <c r="M6" s="152" t="s">
        <v>316</v>
      </c>
      <c r="N6" s="152" t="s">
        <v>371</v>
      </c>
      <c r="O6" s="152" t="s">
        <v>102</v>
      </c>
      <c r="P6" s="152" t="s">
        <v>316</v>
      </c>
      <c r="Q6" s="153">
        <v>440000</v>
      </c>
      <c r="R6" s="153" t="s">
        <v>361</v>
      </c>
    </row>
    <row r="7" spans="1:18" s="154" customFormat="1" ht="20.100000000000001" customHeight="1" x14ac:dyDescent="0.2">
      <c r="A7" s="147" t="s">
        <v>205</v>
      </c>
      <c r="B7" s="148" t="s">
        <v>309</v>
      </c>
      <c r="C7" s="149">
        <v>13</v>
      </c>
      <c r="D7" s="149" t="s">
        <v>699</v>
      </c>
      <c r="E7" s="147" t="s">
        <v>60</v>
      </c>
      <c r="F7" s="148" t="s">
        <v>309</v>
      </c>
      <c r="G7" s="150">
        <v>13711</v>
      </c>
      <c r="H7" s="150">
        <v>0</v>
      </c>
      <c r="I7" s="150">
        <v>0</v>
      </c>
      <c r="J7" s="150">
        <f t="shared" si="0"/>
        <v>13711</v>
      </c>
      <c r="K7" s="151"/>
      <c r="L7" s="143">
        <f t="shared" si="1"/>
        <v>13711</v>
      </c>
      <c r="M7" s="152" t="s">
        <v>317</v>
      </c>
      <c r="N7" s="152" t="s">
        <v>318</v>
      </c>
      <c r="O7" s="152" t="s">
        <v>102</v>
      </c>
      <c r="P7" s="152" t="s">
        <v>317</v>
      </c>
      <c r="Q7" s="153">
        <v>440000</v>
      </c>
      <c r="R7" s="153" t="s">
        <v>361</v>
      </c>
    </row>
    <row r="8" spans="1:18" s="154" customFormat="1" ht="20.100000000000001" customHeight="1" x14ac:dyDescent="0.2">
      <c r="A8" s="147" t="s">
        <v>205</v>
      </c>
      <c r="B8" s="148" t="s">
        <v>309</v>
      </c>
      <c r="C8" s="149">
        <v>9</v>
      </c>
      <c r="D8" s="149" t="s">
        <v>700</v>
      </c>
      <c r="E8" s="147" t="s">
        <v>60</v>
      </c>
      <c r="F8" s="148" t="s">
        <v>309</v>
      </c>
      <c r="G8" s="150">
        <v>25534.6</v>
      </c>
      <c r="H8" s="150">
        <v>25534.6</v>
      </c>
      <c r="I8" s="150">
        <v>25534.6</v>
      </c>
      <c r="J8" s="150">
        <f t="shared" si="0"/>
        <v>76603.799999999988</v>
      </c>
      <c r="K8" s="151"/>
      <c r="L8" s="143">
        <f t="shared" si="1"/>
        <v>25535</v>
      </c>
      <c r="M8" s="152" t="s">
        <v>319</v>
      </c>
      <c r="N8" s="152" t="s">
        <v>320</v>
      </c>
      <c r="O8" s="152" t="s">
        <v>102</v>
      </c>
      <c r="P8" s="152" t="s">
        <v>319</v>
      </c>
      <c r="Q8" s="153">
        <v>440000</v>
      </c>
      <c r="R8" s="153" t="s">
        <v>361</v>
      </c>
    </row>
    <row r="9" spans="1:18" s="154" customFormat="1" ht="20.100000000000001" customHeight="1" x14ac:dyDescent="0.2">
      <c r="A9" s="147" t="s">
        <v>274</v>
      </c>
      <c r="B9" s="148" t="s">
        <v>321</v>
      </c>
      <c r="C9" s="149">
        <v>40</v>
      </c>
      <c r="D9" s="149" t="s">
        <v>701</v>
      </c>
      <c r="E9" s="147" t="s">
        <v>60</v>
      </c>
      <c r="F9" s="148" t="s">
        <v>321</v>
      </c>
      <c r="G9" s="150">
        <v>96075</v>
      </c>
      <c r="H9" s="150">
        <f>100000+8800+57952</f>
        <v>166752</v>
      </c>
      <c r="I9" s="150">
        <f>85850+600</f>
        <v>86450</v>
      </c>
      <c r="J9" s="150">
        <f t="shared" si="0"/>
        <v>349277</v>
      </c>
      <c r="K9" s="151"/>
      <c r="L9" s="143">
        <f t="shared" si="1"/>
        <v>96075</v>
      </c>
      <c r="M9" s="152" t="s">
        <v>322</v>
      </c>
      <c r="N9" s="152" t="s">
        <v>372</v>
      </c>
      <c r="O9" s="152" t="s">
        <v>102</v>
      </c>
      <c r="P9" s="152" t="s">
        <v>322</v>
      </c>
      <c r="Q9" s="153">
        <v>440000</v>
      </c>
      <c r="R9" s="153" t="s">
        <v>362</v>
      </c>
    </row>
    <row r="10" spans="1:18" s="154" customFormat="1" ht="20.100000000000001" customHeight="1" x14ac:dyDescent="0.2">
      <c r="A10" s="147" t="s">
        <v>254</v>
      </c>
      <c r="B10" s="148" t="s">
        <v>323</v>
      </c>
      <c r="C10" s="149">
        <v>29</v>
      </c>
      <c r="D10" s="149" t="s">
        <v>702</v>
      </c>
      <c r="E10" s="147" t="s">
        <v>60</v>
      </c>
      <c r="F10" s="148" t="s">
        <v>323</v>
      </c>
      <c r="G10" s="150">
        <v>9415</v>
      </c>
      <c r="H10" s="150">
        <v>0</v>
      </c>
      <c r="I10" s="150">
        <v>0</v>
      </c>
      <c r="J10" s="150">
        <f t="shared" si="0"/>
        <v>9415</v>
      </c>
      <c r="K10" s="151"/>
      <c r="L10" s="143">
        <f t="shared" si="1"/>
        <v>9415</v>
      </c>
      <c r="M10" s="152" t="s">
        <v>352</v>
      </c>
      <c r="N10" s="152" t="s">
        <v>324</v>
      </c>
      <c r="O10" s="152" t="s">
        <v>102</v>
      </c>
      <c r="P10" s="152" t="s">
        <v>352</v>
      </c>
      <c r="Q10" s="153">
        <v>440000</v>
      </c>
      <c r="R10" s="201" t="s">
        <v>387</v>
      </c>
    </row>
    <row r="11" spans="1:18" s="154" customFormat="1" ht="20.100000000000001" customHeight="1" x14ac:dyDescent="0.2">
      <c r="A11" s="147" t="s">
        <v>196</v>
      </c>
      <c r="B11" s="148" t="s">
        <v>196</v>
      </c>
      <c r="C11" s="149">
        <v>2</v>
      </c>
      <c r="D11" s="149" t="s">
        <v>703</v>
      </c>
      <c r="E11" s="147" t="s">
        <v>60</v>
      </c>
      <c r="F11" s="148" t="s">
        <v>196</v>
      </c>
      <c r="G11" s="150">
        <v>24000</v>
      </c>
      <c r="H11" s="150">
        <v>0</v>
      </c>
      <c r="I11" s="150">
        <v>0</v>
      </c>
      <c r="J11" s="150">
        <f t="shared" si="0"/>
        <v>24000</v>
      </c>
      <c r="K11" s="151"/>
      <c r="L11" s="143">
        <f t="shared" si="1"/>
        <v>24000</v>
      </c>
      <c r="M11" s="152" t="s">
        <v>353</v>
      </c>
      <c r="N11" s="152" t="s">
        <v>373</v>
      </c>
      <c r="O11" s="152" t="s">
        <v>102</v>
      </c>
      <c r="P11" s="152" t="s">
        <v>353</v>
      </c>
      <c r="Q11" s="153">
        <v>440000</v>
      </c>
      <c r="R11" s="153" t="s">
        <v>363</v>
      </c>
    </row>
    <row r="12" spans="1:18" s="154" customFormat="1" ht="20.100000000000001" customHeight="1" x14ac:dyDescent="0.2">
      <c r="A12" s="147" t="s">
        <v>234</v>
      </c>
      <c r="B12" s="148" t="s">
        <v>196</v>
      </c>
      <c r="C12" s="149">
        <v>16</v>
      </c>
      <c r="D12" s="149" t="s">
        <v>704</v>
      </c>
      <c r="E12" s="147" t="s">
        <v>60</v>
      </c>
      <c r="F12" s="148" t="s">
        <v>196</v>
      </c>
      <c r="G12" s="150">
        <v>19500</v>
      </c>
      <c r="H12" s="150">
        <v>0</v>
      </c>
      <c r="I12" s="150">
        <v>0</v>
      </c>
      <c r="J12" s="150">
        <f t="shared" si="0"/>
        <v>19500</v>
      </c>
      <c r="K12" s="151"/>
      <c r="L12" s="143">
        <f t="shared" si="1"/>
        <v>19500</v>
      </c>
      <c r="M12" s="152" t="s">
        <v>354</v>
      </c>
      <c r="N12" s="152" t="s">
        <v>377</v>
      </c>
      <c r="O12" s="152" t="s">
        <v>102</v>
      </c>
      <c r="P12" s="152" t="s">
        <v>354</v>
      </c>
      <c r="Q12" s="153">
        <v>440000</v>
      </c>
      <c r="R12" s="153" t="s">
        <v>363</v>
      </c>
    </row>
    <row r="13" spans="1:18" s="154" customFormat="1" ht="20.100000000000001" customHeight="1" x14ac:dyDescent="0.2">
      <c r="A13" s="147" t="s">
        <v>234</v>
      </c>
      <c r="B13" s="148" t="s">
        <v>196</v>
      </c>
      <c r="C13" s="149">
        <v>38</v>
      </c>
      <c r="D13" s="149" t="s">
        <v>282</v>
      </c>
      <c r="E13" s="147" t="s">
        <v>60</v>
      </c>
      <c r="F13" s="148" t="s">
        <v>196</v>
      </c>
      <c r="G13" s="150">
        <v>8000</v>
      </c>
      <c r="H13" s="150">
        <v>0</v>
      </c>
      <c r="I13" s="150">
        <v>0</v>
      </c>
      <c r="J13" s="150">
        <f t="shared" si="0"/>
        <v>8000</v>
      </c>
      <c r="K13" s="151"/>
      <c r="L13" s="143">
        <f t="shared" si="1"/>
        <v>8000</v>
      </c>
      <c r="M13" s="152" t="s">
        <v>325</v>
      </c>
      <c r="N13" s="152" t="s">
        <v>327</v>
      </c>
      <c r="O13" s="152" t="s">
        <v>102</v>
      </c>
      <c r="P13" s="152" t="s">
        <v>325</v>
      </c>
      <c r="Q13" s="153">
        <v>440000</v>
      </c>
      <c r="R13" s="153" t="s">
        <v>363</v>
      </c>
    </row>
    <row r="14" spans="1:18" s="154" customFormat="1" ht="20.100000000000001" customHeight="1" x14ac:dyDescent="0.2">
      <c r="A14" s="147" t="s">
        <v>236</v>
      </c>
      <c r="B14" s="148" t="s">
        <v>196</v>
      </c>
      <c r="C14" s="149">
        <v>17</v>
      </c>
      <c r="D14" s="149" t="s">
        <v>705</v>
      </c>
      <c r="E14" s="147" t="s">
        <v>60</v>
      </c>
      <c r="F14" s="148" t="s">
        <v>196</v>
      </c>
      <c r="G14" s="150">
        <v>19002.259999999998</v>
      </c>
      <c r="H14" s="150">
        <v>0</v>
      </c>
      <c r="I14" s="150">
        <v>0</v>
      </c>
      <c r="J14" s="150">
        <f t="shared" si="0"/>
        <v>19002.259999999998</v>
      </c>
      <c r="K14" s="151"/>
      <c r="L14" s="143">
        <f t="shared" si="1"/>
        <v>19003</v>
      </c>
      <c r="M14" s="152" t="s">
        <v>326</v>
      </c>
      <c r="N14" s="152" t="s">
        <v>369</v>
      </c>
      <c r="O14" s="152" t="s">
        <v>102</v>
      </c>
      <c r="P14" s="152" t="s">
        <v>326</v>
      </c>
      <c r="Q14" s="153">
        <v>440000</v>
      </c>
      <c r="R14" s="153" t="s">
        <v>363</v>
      </c>
    </row>
    <row r="15" spans="1:18" s="154" customFormat="1" ht="20.100000000000001" customHeight="1" x14ac:dyDescent="0.2">
      <c r="A15" s="147" t="s">
        <v>236</v>
      </c>
      <c r="B15" s="148" t="s">
        <v>196</v>
      </c>
      <c r="C15" s="186">
        <v>19</v>
      </c>
      <c r="D15" s="186" t="s">
        <v>706</v>
      </c>
      <c r="E15" s="187" t="s">
        <v>60</v>
      </c>
      <c r="F15" s="148" t="s">
        <v>196</v>
      </c>
      <c r="G15" s="188">
        <v>22444.95</v>
      </c>
      <c r="H15" s="188">
        <v>0</v>
      </c>
      <c r="I15" s="188">
        <v>0</v>
      </c>
      <c r="J15" s="188">
        <f t="shared" si="0"/>
        <v>22444.95</v>
      </c>
      <c r="K15" s="189"/>
      <c r="L15" s="190">
        <f t="shared" si="1"/>
        <v>22445</v>
      </c>
      <c r="M15" s="191" t="s">
        <v>378</v>
      </c>
      <c r="N15" s="191" t="s">
        <v>370</v>
      </c>
      <c r="O15" s="191" t="s">
        <v>102</v>
      </c>
      <c r="P15" s="191" t="s">
        <v>378</v>
      </c>
      <c r="Q15" s="192">
        <v>440000</v>
      </c>
      <c r="R15" s="192" t="s">
        <v>363</v>
      </c>
    </row>
    <row r="16" spans="1:18" s="154" customFormat="1" ht="20.100000000000001" customHeight="1" x14ac:dyDescent="0.2">
      <c r="A16" s="147" t="s">
        <v>210</v>
      </c>
      <c r="B16" s="148" t="s">
        <v>328</v>
      </c>
      <c r="C16" s="180">
        <v>6</v>
      </c>
      <c r="D16" s="180" t="s">
        <v>707</v>
      </c>
      <c r="E16" s="181" t="s">
        <v>60</v>
      </c>
      <c r="F16" s="148" t="s">
        <v>328</v>
      </c>
      <c r="G16" s="182">
        <v>8800</v>
      </c>
      <c r="H16" s="182">
        <v>3100</v>
      </c>
      <c r="I16" s="182">
        <v>3100</v>
      </c>
      <c r="J16" s="182">
        <f t="shared" si="0"/>
        <v>15000</v>
      </c>
      <c r="K16" s="183"/>
      <c r="L16" s="143">
        <f t="shared" si="1"/>
        <v>8800</v>
      </c>
      <c r="M16" s="184" t="s">
        <v>329</v>
      </c>
      <c r="N16" s="184" t="s">
        <v>330</v>
      </c>
      <c r="O16" s="184" t="s">
        <v>102</v>
      </c>
      <c r="P16" s="184" t="s">
        <v>329</v>
      </c>
      <c r="Q16" s="185">
        <v>440000</v>
      </c>
      <c r="R16" s="185" t="s">
        <v>364</v>
      </c>
    </row>
    <row r="17" spans="1:19" s="154" customFormat="1" ht="20.100000000000001" customHeight="1" x14ac:dyDescent="0.2">
      <c r="A17" s="147" t="s">
        <v>257</v>
      </c>
      <c r="B17" s="200" t="s">
        <v>336</v>
      </c>
      <c r="C17" s="194">
        <v>30</v>
      </c>
      <c r="D17" s="194" t="s">
        <v>534</v>
      </c>
      <c r="E17" s="195" t="s">
        <v>60</v>
      </c>
      <c r="F17" s="200" t="s">
        <v>336</v>
      </c>
      <c r="G17" s="196">
        <v>55625</v>
      </c>
      <c r="H17" s="196">
        <v>2000</v>
      </c>
      <c r="I17" s="196">
        <v>2000</v>
      </c>
      <c r="J17" s="196">
        <f t="shared" si="0"/>
        <v>59625</v>
      </c>
      <c r="K17" s="197"/>
      <c r="L17" s="198">
        <f t="shared" si="1"/>
        <v>55625</v>
      </c>
      <c r="M17" s="199" t="s">
        <v>386</v>
      </c>
      <c r="N17" s="152" t="s">
        <v>331</v>
      </c>
      <c r="O17" s="152" t="s">
        <v>102</v>
      </c>
      <c r="P17" s="152" t="s">
        <v>386</v>
      </c>
      <c r="Q17" s="153">
        <v>440000</v>
      </c>
      <c r="R17" s="201" t="s">
        <v>367</v>
      </c>
      <c r="S17" s="199" t="s">
        <v>388</v>
      </c>
    </row>
    <row r="18" spans="1:19" s="154" customFormat="1" ht="20.100000000000001" customHeight="1" x14ac:dyDescent="0.2">
      <c r="A18" s="147" t="s">
        <v>267</v>
      </c>
      <c r="B18" s="148" t="s">
        <v>328</v>
      </c>
      <c r="C18" s="149">
        <v>36</v>
      </c>
      <c r="D18" s="149" t="s">
        <v>281</v>
      </c>
      <c r="E18" s="147" t="s">
        <v>60</v>
      </c>
      <c r="F18" s="148" t="s">
        <v>328</v>
      </c>
      <c r="G18" s="150">
        <v>7494</v>
      </c>
      <c r="H18" s="150">
        <v>7494</v>
      </c>
      <c r="I18" s="150">
        <v>7494</v>
      </c>
      <c r="J18" s="150">
        <f t="shared" si="0"/>
        <v>22482</v>
      </c>
      <c r="K18" s="151"/>
      <c r="L18" s="143">
        <f t="shared" si="1"/>
        <v>7494</v>
      </c>
      <c r="M18" s="152" t="s">
        <v>332</v>
      </c>
      <c r="N18" s="152" t="s">
        <v>374</v>
      </c>
      <c r="O18" s="152" t="s">
        <v>102</v>
      </c>
      <c r="P18" s="152" t="s">
        <v>332</v>
      </c>
      <c r="Q18" s="153">
        <v>440000</v>
      </c>
      <c r="R18" s="153" t="s">
        <v>364</v>
      </c>
    </row>
    <row r="19" spans="1:19" s="154" customFormat="1" ht="20.100000000000001" customHeight="1" x14ac:dyDescent="0.2">
      <c r="A19" s="147" t="s">
        <v>279</v>
      </c>
      <c r="B19" s="148" t="s">
        <v>333</v>
      </c>
      <c r="C19" s="149">
        <v>41</v>
      </c>
      <c r="D19" s="149" t="s">
        <v>278</v>
      </c>
      <c r="E19" s="147" t="s">
        <v>60</v>
      </c>
      <c r="F19" s="148" t="s">
        <v>333</v>
      </c>
      <c r="G19" s="150">
        <v>12200</v>
      </c>
      <c r="H19" s="150">
        <v>79300</v>
      </c>
      <c r="I19" s="150">
        <v>0</v>
      </c>
      <c r="J19" s="150">
        <f t="shared" si="0"/>
        <v>91500</v>
      </c>
      <c r="K19" s="151"/>
      <c r="L19" s="143">
        <f t="shared" si="1"/>
        <v>12200</v>
      </c>
      <c r="M19" s="152" t="s">
        <v>355</v>
      </c>
      <c r="N19" s="152" t="s">
        <v>334</v>
      </c>
      <c r="O19" s="152" t="s">
        <v>102</v>
      </c>
      <c r="P19" s="152" t="s">
        <v>355</v>
      </c>
      <c r="Q19" s="153">
        <v>440000</v>
      </c>
      <c r="R19" s="153" t="s">
        <v>365</v>
      </c>
    </row>
    <row r="20" spans="1:19" s="154" customFormat="1" ht="20.100000000000001" customHeight="1" x14ac:dyDescent="0.2">
      <c r="A20" s="147" t="s">
        <v>217</v>
      </c>
      <c r="B20" s="148" t="s">
        <v>333</v>
      </c>
      <c r="C20" s="149">
        <v>27</v>
      </c>
      <c r="D20" s="149" t="s">
        <v>708</v>
      </c>
      <c r="E20" s="147" t="s">
        <v>60</v>
      </c>
      <c r="F20" s="148" t="s">
        <v>333</v>
      </c>
      <c r="G20" s="150">
        <v>22385</v>
      </c>
      <c r="H20" s="150">
        <v>2049</v>
      </c>
      <c r="I20" s="150">
        <v>2439</v>
      </c>
      <c r="J20" s="150">
        <f t="shared" si="0"/>
        <v>26873</v>
      </c>
      <c r="K20" s="151"/>
      <c r="L20" s="143">
        <f t="shared" si="1"/>
        <v>22385</v>
      </c>
      <c r="M20" s="152" t="s">
        <v>356</v>
      </c>
      <c r="N20" s="152" t="s">
        <v>335</v>
      </c>
      <c r="O20" s="152" t="s">
        <v>102</v>
      </c>
      <c r="P20" s="152" t="s">
        <v>356</v>
      </c>
      <c r="Q20" s="153">
        <v>440000</v>
      </c>
      <c r="R20" s="153" t="s">
        <v>366</v>
      </c>
    </row>
    <row r="21" spans="1:19" s="154" customFormat="1" ht="20.100000000000001" customHeight="1" x14ac:dyDescent="0.2">
      <c r="A21" s="147" t="s">
        <v>261</v>
      </c>
      <c r="B21" s="148" t="s">
        <v>336</v>
      </c>
      <c r="C21" s="149">
        <v>33</v>
      </c>
      <c r="D21" s="149" t="s">
        <v>709</v>
      </c>
      <c r="E21" s="147" t="s">
        <v>60</v>
      </c>
      <c r="F21" s="148" t="s">
        <v>336</v>
      </c>
      <c r="G21" s="150">
        <v>77674</v>
      </c>
      <c r="H21" s="150">
        <v>5254</v>
      </c>
      <c r="I21" s="150">
        <v>5254</v>
      </c>
      <c r="J21" s="150">
        <f t="shared" si="0"/>
        <v>88182</v>
      </c>
      <c r="K21" s="151"/>
      <c r="L21" s="143">
        <f t="shared" si="1"/>
        <v>77674</v>
      </c>
      <c r="M21" s="152" t="s">
        <v>337</v>
      </c>
      <c r="N21" s="152" t="s">
        <v>338</v>
      </c>
      <c r="O21" s="152" t="s">
        <v>102</v>
      </c>
      <c r="P21" s="152" t="s">
        <v>337</v>
      </c>
      <c r="Q21" s="153">
        <v>440000</v>
      </c>
      <c r="R21" s="153" t="s">
        <v>367</v>
      </c>
    </row>
    <row r="22" spans="1:19" s="154" customFormat="1" ht="20.100000000000001" customHeight="1" x14ac:dyDescent="0.2">
      <c r="A22" s="147" t="s">
        <v>272</v>
      </c>
      <c r="B22" s="148" t="s">
        <v>336</v>
      </c>
      <c r="C22" s="149">
        <v>39</v>
      </c>
      <c r="D22" s="149" t="s">
        <v>710</v>
      </c>
      <c r="E22" s="147" t="s">
        <v>60</v>
      </c>
      <c r="F22" s="148" t="s">
        <v>336</v>
      </c>
      <c r="G22" s="150">
        <v>26500</v>
      </c>
      <c r="H22" s="150">
        <v>0</v>
      </c>
      <c r="I22" s="150">
        <v>0</v>
      </c>
      <c r="J22" s="150">
        <f t="shared" si="0"/>
        <v>26500</v>
      </c>
      <c r="K22" s="151"/>
      <c r="L22" s="143">
        <f t="shared" si="1"/>
        <v>26500</v>
      </c>
      <c r="M22" s="152" t="s">
        <v>339</v>
      </c>
      <c r="N22" s="152" t="s">
        <v>340</v>
      </c>
      <c r="O22" s="152" t="s">
        <v>102</v>
      </c>
      <c r="P22" s="152" t="s">
        <v>339</v>
      </c>
      <c r="Q22" s="153">
        <v>440000</v>
      </c>
      <c r="R22" s="153" t="s">
        <v>367</v>
      </c>
    </row>
    <row r="23" spans="1:19" s="154" customFormat="1" ht="20.100000000000001" customHeight="1" x14ac:dyDescent="0.2">
      <c r="A23" s="147" t="s">
        <v>229</v>
      </c>
      <c r="B23" s="148" t="s">
        <v>336</v>
      </c>
      <c r="C23" s="149">
        <v>14</v>
      </c>
      <c r="D23" s="149" t="s">
        <v>711</v>
      </c>
      <c r="E23" s="147" t="s">
        <v>60</v>
      </c>
      <c r="F23" s="148" t="s">
        <v>336</v>
      </c>
      <c r="G23" s="150">
        <f>16423-5265</f>
        <v>11158</v>
      </c>
      <c r="H23" s="150">
        <f>5765-5265</f>
        <v>500</v>
      </c>
      <c r="I23" s="150">
        <v>500</v>
      </c>
      <c r="J23" s="150">
        <f t="shared" si="0"/>
        <v>12158</v>
      </c>
      <c r="K23" s="151"/>
      <c r="L23" s="143">
        <f t="shared" si="1"/>
        <v>11158</v>
      </c>
      <c r="M23" s="152" t="s">
        <v>341</v>
      </c>
      <c r="N23" s="152" t="s">
        <v>375</v>
      </c>
      <c r="O23" s="152" t="s">
        <v>102</v>
      </c>
      <c r="P23" s="152" t="s">
        <v>341</v>
      </c>
      <c r="Q23" s="153">
        <v>440000</v>
      </c>
      <c r="R23" s="153" t="s">
        <v>367</v>
      </c>
    </row>
    <row r="24" spans="1:19" s="154" customFormat="1" ht="20.100000000000001" customHeight="1" x14ac:dyDescent="0.2">
      <c r="A24" s="147" t="s">
        <v>269</v>
      </c>
      <c r="B24" s="148" t="s">
        <v>336</v>
      </c>
      <c r="C24" s="149">
        <v>37</v>
      </c>
      <c r="D24" s="149" t="s">
        <v>712</v>
      </c>
      <c r="E24" s="147" t="s">
        <v>60</v>
      </c>
      <c r="F24" s="148" t="s">
        <v>336</v>
      </c>
      <c r="G24" s="150">
        <v>13117</v>
      </c>
      <c r="H24" s="150">
        <v>0</v>
      </c>
      <c r="I24" s="150">
        <v>0</v>
      </c>
      <c r="J24" s="150">
        <f t="shared" si="0"/>
        <v>13117</v>
      </c>
      <c r="K24" s="151"/>
      <c r="L24" s="143">
        <f t="shared" si="1"/>
        <v>13117</v>
      </c>
      <c r="M24" s="152" t="s">
        <v>342</v>
      </c>
      <c r="N24" s="152" t="s">
        <v>376</v>
      </c>
      <c r="O24" s="152" t="s">
        <v>102</v>
      </c>
      <c r="P24" s="152" t="s">
        <v>342</v>
      </c>
      <c r="Q24" s="153">
        <v>440000</v>
      </c>
      <c r="R24" s="153" t="s">
        <v>367</v>
      </c>
    </row>
    <row r="25" spans="1:19" s="162" customFormat="1" ht="20.100000000000001" customHeight="1" thickBot="1" x14ac:dyDescent="0.25">
      <c r="A25" s="155" t="s">
        <v>350</v>
      </c>
      <c r="B25" s="156" t="s">
        <v>350</v>
      </c>
      <c r="C25" s="157">
        <v>24</v>
      </c>
      <c r="D25" s="157" t="s">
        <v>713</v>
      </c>
      <c r="E25" s="155" t="s">
        <v>60</v>
      </c>
      <c r="F25" s="156" t="s">
        <v>350</v>
      </c>
      <c r="G25" s="158">
        <v>32805</v>
      </c>
      <c r="H25" s="158">
        <v>614</v>
      </c>
      <c r="I25" s="158">
        <v>614</v>
      </c>
      <c r="J25" s="158">
        <f t="shared" si="0"/>
        <v>34033</v>
      </c>
      <c r="K25" s="159"/>
      <c r="L25" s="143">
        <f t="shared" si="1"/>
        <v>32805</v>
      </c>
      <c r="M25" s="160" t="s">
        <v>351</v>
      </c>
      <c r="N25" s="160" t="s">
        <v>343</v>
      </c>
      <c r="O25" s="160" t="s">
        <v>102</v>
      </c>
      <c r="P25" s="160" t="s">
        <v>351</v>
      </c>
      <c r="Q25" s="161">
        <v>440000</v>
      </c>
      <c r="R25" s="161" t="s">
        <v>368</v>
      </c>
    </row>
    <row r="26" spans="1:19" s="174" customFormat="1" ht="20.100000000000001" customHeight="1" thickBot="1" x14ac:dyDescent="0.25">
      <c r="A26" s="175" t="s">
        <v>124</v>
      </c>
      <c r="B26" s="176"/>
      <c r="C26" s="177"/>
      <c r="D26" s="177"/>
      <c r="E26" s="175"/>
      <c r="F26" s="175"/>
      <c r="G26" s="178">
        <f>SUM(G3:G25)</f>
        <v>710486.73</v>
      </c>
      <c r="H26" s="178"/>
      <c r="I26" s="178"/>
      <c r="J26" s="178"/>
      <c r="K26" s="179"/>
      <c r="L26" s="178">
        <f>SUM(L3:L25)</f>
        <v>710488</v>
      </c>
      <c r="M26" s="129"/>
      <c r="N26" s="129"/>
      <c r="O26" s="129"/>
      <c r="P26" s="129"/>
      <c r="Q26" s="129"/>
      <c r="R26" s="118"/>
    </row>
    <row r="27" spans="1:19" ht="20.100000000000001" customHeight="1" x14ac:dyDescent="0.2"/>
  </sheetData>
  <sortState ref="A37:O43">
    <sortCondition ref="C37:C43"/>
  </sortState>
  <mergeCells count="1">
    <mergeCell ref="M1:Q1"/>
  </mergeCells>
  <pageMargins left="0" right="0" top="0.5" bottom="0.5" header="0.3" footer="0.3"/>
  <pageSetup scale="59" orientation="landscape" r:id="rId1"/>
  <headerFooter>
    <oddFooter>&amp;L&amp;Z&amp;F&amp;C&amp;D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19" workbookViewId="0">
      <selection activeCell="C40" sqref="C40"/>
    </sheetView>
  </sheetViews>
  <sheetFormatPr defaultRowHeight="15" x14ac:dyDescent="0.25"/>
  <cols>
    <col min="1" max="1" width="6.28515625" customWidth="1"/>
    <col min="2" max="2" width="57.28515625" bestFit="1" customWidth="1"/>
    <col min="5" max="5" width="11.5703125" bestFit="1" customWidth="1"/>
    <col min="6" max="6" width="9.85546875" bestFit="1" customWidth="1"/>
    <col min="7" max="7" width="9.28515625" bestFit="1" customWidth="1"/>
    <col min="8" max="8" width="11.140625" bestFit="1" customWidth="1"/>
  </cols>
  <sheetData>
    <row r="1" spans="1:11" x14ac:dyDescent="0.25">
      <c r="J1" s="913" t="s">
        <v>696</v>
      </c>
      <c r="K1" s="913"/>
    </row>
    <row r="2" spans="1:11" ht="36.75" x14ac:dyDescent="0.25">
      <c r="A2" s="403" t="s">
        <v>620</v>
      </c>
      <c r="B2" s="404" t="s">
        <v>0</v>
      </c>
      <c r="C2" s="405" t="s">
        <v>4</v>
      </c>
      <c r="D2" s="405" t="s">
        <v>3</v>
      </c>
      <c r="E2" s="406" t="s">
        <v>621</v>
      </c>
      <c r="F2" s="407" t="s">
        <v>622</v>
      </c>
      <c r="G2" s="407" t="s">
        <v>623</v>
      </c>
      <c r="H2" s="408" t="s">
        <v>1</v>
      </c>
      <c r="I2" s="409" t="s">
        <v>83</v>
      </c>
      <c r="J2" s="410" t="s">
        <v>97</v>
      </c>
      <c r="K2" s="411" t="s">
        <v>505</v>
      </c>
    </row>
    <row r="3" spans="1:11" x14ac:dyDescent="0.25">
      <c r="A3" s="412">
        <v>1</v>
      </c>
      <c r="B3" s="127" t="s">
        <v>624</v>
      </c>
      <c r="C3" s="127" t="s">
        <v>196</v>
      </c>
      <c r="D3" s="127" t="s">
        <v>60</v>
      </c>
      <c r="E3" s="288">
        <v>17000</v>
      </c>
      <c r="F3" s="284">
        <v>0</v>
      </c>
      <c r="G3" s="284">
        <v>0</v>
      </c>
      <c r="H3" s="284">
        <f t="shared" ref="H3:H37" si="0">SUM(E3:G3)</f>
        <v>17000</v>
      </c>
      <c r="I3" s="413" t="s">
        <v>194</v>
      </c>
      <c r="J3" s="414" t="s">
        <v>625</v>
      </c>
      <c r="K3" s="414" t="s">
        <v>102</v>
      </c>
    </row>
    <row r="4" spans="1:11" x14ac:dyDescent="0.25">
      <c r="A4" s="412">
        <v>2</v>
      </c>
      <c r="B4" s="127" t="s">
        <v>626</v>
      </c>
      <c r="C4" s="127" t="s">
        <v>196</v>
      </c>
      <c r="D4" s="127" t="s">
        <v>60</v>
      </c>
      <c r="E4" s="288">
        <v>11500</v>
      </c>
      <c r="F4" s="284">
        <v>0</v>
      </c>
      <c r="G4" s="284">
        <v>0</v>
      </c>
      <c r="H4" s="284">
        <f t="shared" si="0"/>
        <v>11500</v>
      </c>
      <c r="I4" s="415" t="s">
        <v>194</v>
      </c>
      <c r="J4" s="416" t="s">
        <v>627</v>
      </c>
      <c r="K4" s="416" t="s">
        <v>102</v>
      </c>
    </row>
    <row r="5" spans="1:11" x14ac:dyDescent="0.25">
      <c r="A5" s="412">
        <v>3</v>
      </c>
      <c r="B5" s="127" t="s">
        <v>628</v>
      </c>
      <c r="C5" s="127" t="s">
        <v>196</v>
      </c>
      <c r="D5" s="127" t="s">
        <v>60</v>
      </c>
      <c r="E5" s="288">
        <v>4000</v>
      </c>
      <c r="F5" s="284">
        <v>0</v>
      </c>
      <c r="G5" s="284">
        <v>0</v>
      </c>
      <c r="H5" s="284">
        <f t="shared" si="0"/>
        <v>4000</v>
      </c>
      <c r="I5" s="417" t="s">
        <v>194</v>
      </c>
      <c r="J5" s="418" t="s">
        <v>629</v>
      </c>
      <c r="K5" s="416" t="s">
        <v>102</v>
      </c>
    </row>
    <row r="6" spans="1:11" x14ac:dyDescent="0.25">
      <c r="A6" s="419">
        <v>5</v>
      </c>
      <c r="B6" s="285" t="s">
        <v>630</v>
      </c>
      <c r="C6" s="285" t="s">
        <v>631</v>
      </c>
      <c r="D6" s="285" t="s">
        <v>60</v>
      </c>
      <c r="E6" s="289">
        <v>95000</v>
      </c>
      <c r="F6" s="286">
        <v>70500</v>
      </c>
      <c r="G6" s="286">
        <v>11000</v>
      </c>
      <c r="H6" s="286">
        <f t="shared" si="0"/>
        <v>176500</v>
      </c>
      <c r="I6" s="417" t="s">
        <v>194</v>
      </c>
      <c r="J6" s="418" t="s">
        <v>632</v>
      </c>
      <c r="K6" s="416" t="s">
        <v>102</v>
      </c>
    </row>
    <row r="7" spans="1:11" x14ac:dyDescent="0.25">
      <c r="A7" s="412">
        <v>6</v>
      </c>
      <c r="B7" s="127" t="s">
        <v>633</v>
      </c>
      <c r="C7" s="127" t="s">
        <v>336</v>
      </c>
      <c r="D7" s="127" t="s">
        <v>60</v>
      </c>
      <c r="E7" s="288">
        <v>64182.64</v>
      </c>
      <c r="F7" s="284">
        <v>53973.48</v>
      </c>
      <c r="G7" s="284">
        <v>43764.32</v>
      </c>
      <c r="H7" s="284">
        <f t="shared" si="0"/>
        <v>161920.44</v>
      </c>
      <c r="I7" s="417" t="s">
        <v>194</v>
      </c>
      <c r="J7" s="418" t="s">
        <v>634</v>
      </c>
      <c r="K7" s="416" t="s">
        <v>102</v>
      </c>
    </row>
    <row r="8" spans="1:11" x14ac:dyDescent="0.25">
      <c r="A8" s="412">
        <v>8</v>
      </c>
      <c r="B8" s="127" t="s">
        <v>635</v>
      </c>
      <c r="C8" s="127" t="s">
        <v>336</v>
      </c>
      <c r="D8" s="127" t="s">
        <v>60</v>
      </c>
      <c r="E8" s="288">
        <v>20519</v>
      </c>
      <c r="F8" s="284">
        <v>41749</v>
      </c>
      <c r="G8" s="284">
        <v>20519</v>
      </c>
      <c r="H8" s="284">
        <f t="shared" si="0"/>
        <v>82787</v>
      </c>
      <c r="I8" s="417" t="s">
        <v>194</v>
      </c>
      <c r="J8" s="418" t="s">
        <v>636</v>
      </c>
      <c r="K8" s="416" t="s">
        <v>102</v>
      </c>
    </row>
    <row r="9" spans="1:11" x14ac:dyDescent="0.25">
      <c r="A9" s="412">
        <v>9</v>
      </c>
      <c r="B9" s="127" t="s">
        <v>637</v>
      </c>
      <c r="C9" s="127" t="s">
        <v>474</v>
      </c>
      <c r="D9" s="127" t="s">
        <v>60</v>
      </c>
      <c r="E9" s="288">
        <v>36389</v>
      </c>
      <c r="F9" s="284">
        <v>0</v>
      </c>
      <c r="G9" s="284">
        <v>0</v>
      </c>
      <c r="H9" s="284">
        <f t="shared" si="0"/>
        <v>36389</v>
      </c>
      <c r="I9" s="417" t="s">
        <v>194</v>
      </c>
      <c r="J9" s="418" t="s">
        <v>638</v>
      </c>
      <c r="K9" s="416" t="s">
        <v>102</v>
      </c>
    </row>
    <row r="10" spans="1:11" x14ac:dyDescent="0.25">
      <c r="A10" s="412">
        <v>13</v>
      </c>
      <c r="B10" s="127" t="s">
        <v>639</v>
      </c>
      <c r="C10" s="127" t="s">
        <v>474</v>
      </c>
      <c r="D10" s="127" t="s">
        <v>60</v>
      </c>
      <c r="E10" s="288">
        <v>1300</v>
      </c>
      <c r="F10" s="284">
        <v>0</v>
      </c>
      <c r="G10" s="284">
        <v>0</v>
      </c>
      <c r="H10" s="284">
        <f t="shared" si="0"/>
        <v>1300</v>
      </c>
      <c r="I10" s="417" t="s">
        <v>194</v>
      </c>
      <c r="J10" s="418" t="s">
        <v>640</v>
      </c>
      <c r="K10" s="416" t="s">
        <v>102</v>
      </c>
    </row>
    <row r="11" spans="1:11" x14ac:dyDescent="0.25">
      <c r="A11" s="412">
        <v>14</v>
      </c>
      <c r="B11" s="127" t="s">
        <v>641</v>
      </c>
      <c r="C11" s="127" t="s">
        <v>474</v>
      </c>
      <c r="D11" s="127" t="s">
        <v>60</v>
      </c>
      <c r="E11" s="288">
        <v>1210</v>
      </c>
      <c r="F11" s="284">
        <v>0</v>
      </c>
      <c r="G11" s="284">
        <v>0</v>
      </c>
      <c r="H11" s="284">
        <f t="shared" si="0"/>
        <v>1210</v>
      </c>
      <c r="I11" s="417" t="s">
        <v>194</v>
      </c>
      <c r="J11" s="418" t="s">
        <v>642</v>
      </c>
      <c r="K11" s="416" t="s">
        <v>102</v>
      </c>
    </row>
    <row r="12" spans="1:11" x14ac:dyDescent="0.25">
      <c r="A12" s="412">
        <v>15</v>
      </c>
      <c r="B12" s="127" t="s">
        <v>643</v>
      </c>
      <c r="C12" s="127" t="s">
        <v>474</v>
      </c>
      <c r="D12" s="127" t="s">
        <v>60</v>
      </c>
      <c r="E12" s="288">
        <v>500</v>
      </c>
      <c r="F12" s="284">
        <v>100</v>
      </c>
      <c r="G12" s="284">
        <v>0</v>
      </c>
      <c r="H12" s="284">
        <f t="shared" si="0"/>
        <v>600</v>
      </c>
      <c r="I12" s="417" t="s">
        <v>194</v>
      </c>
      <c r="J12" s="418" t="s">
        <v>644</v>
      </c>
      <c r="K12" s="416" t="s">
        <v>102</v>
      </c>
    </row>
    <row r="13" spans="1:11" x14ac:dyDescent="0.25">
      <c r="A13" s="412">
        <v>16</v>
      </c>
      <c r="B13" s="127" t="s">
        <v>645</v>
      </c>
      <c r="C13" s="127" t="s">
        <v>474</v>
      </c>
      <c r="D13" s="127" t="s">
        <v>60</v>
      </c>
      <c r="E13" s="288">
        <v>1412</v>
      </c>
      <c r="F13" s="284">
        <v>0</v>
      </c>
      <c r="G13" s="284">
        <v>0</v>
      </c>
      <c r="H13" s="284">
        <f t="shared" si="0"/>
        <v>1412</v>
      </c>
      <c r="I13" s="417" t="s">
        <v>194</v>
      </c>
      <c r="J13" s="418" t="s">
        <v>646</v>
      </c>
      <c r="K13" s="416" t="s">
        <v>102</v>
      </c>
    </row>
    <row r="14" spans="1:11" x14ac:dyDescent="0.25">
      <c r="A14" s="412">
        <v>18</v>
      </c>
      <c r="B14" s="127" t="s">
        <v>647</v>
      </c>
      <c r="C14" s="127" t="s">
        <v>474</v>
      </c>
      <c r="D14" s="127" t="s">
        <v>60</v>
      </c>
      <c r="E14" s="288">
        <v>510</v>
      </c>
      <c r="F14" s="284">
        <v>0</v>
      </c>
      <c r="G14" s="284">
        <v>0</v>
      </c>
      <c r="H14" s="284">
        <f t="shared" si="0"/>
        <v>510</v>
      </c>
      <c r="I14" s="417" t="s">
        <v>194</v>
      </c>
      <c r="J14" s="418" t="s">
        <v>648</v>
      </c>
      <c r="K14" s="416" t="s">
        <v>102</v>
      </c>
    </row>
    <row r="15" spans="1:11" x14ac:dyDescent="0.25">
      <c r="A15" s="412">
        <v>19</v>
      </c>
      <c r="B15" s="127" t="s">
        <v>649</v>
      </c>
      <c r="C15" s="127" t="s">
        <v>336</v>
      </c>
      <c r="D15" s="127" t="s">
        <v>60</v>
      </c>
      <c r="E15" s="288">
        <v>5900</v>
      </c>
      <c r="F15" s="284">
        <v>0</v>
      </c>
      <c r="G15" s="284">
        <v>0</v>
      </c>
      <c r="H15" s="284">
        <f t="shared" si="0"/>
        <v>5900</v>
      </c>
      <c r="I15" s="417" t="s">
        <v>194</v>
      </c>
      <c r="J15" s="418" t="s">
        <v>650</v>
      </c>
      <c r="K15" s="416" t="s">
        <v>102</v>
      </c>
    </row>
    <row r="16" spans="1:11" x14ac:dyDescent="0.25">
      <c r="A16" s="412">
        <v>21</v>
      </c>
      <c r="B16" s="127" t="s">
        <v>651</v>
      </c>
      <c r="C16" s="127" t="s">
        <v>323</v>
      </c>
      <c r="D16" s="127" t="s">
        <v>60</v>
      </c>
      <c r="E16" s="288">
        <v>30330</v>
      </c>
      <c r="F16" s="284">
        <v>0</v>
      </c>
      <c r="G16" s="284">
        <v>0</v>
      </c>
      <c r="H16" s="284">
        <f t="shared" si="0"/>
        <v>30330</v>
      </c>
      <c r="I16" s="417" t="s">
        <v>194</v>
      </c>
      <c r="J16" s="418" t="s">
        <v>652</v>
      </c>
      <c r="K16" s="416" t="s">
        <v>102</v>
      </c>
    </row>
    <row r="17" spans="1:11" x14ac:dyDescent="0.25">
      <c r="A17" s="419">
        <v>23</v>
      </c>
      <c r="B17" s="285" t="s">
        <v>653</v>
      </c>
      <c r="C17" s="285" t="s">
        <v>631</v>
      </c>
      <c r="D17" s="285" t="s">
        <v>60</v>
      </c>
      <c r="E17" s="289">
        <v>77678</v>
      </c>
      <c r="F17" s="286">
        <v>2250</v>
      </c>
      <c r="G17" s="286">
        <v>2250</v>
      </c>
      <c r="H17" s="286">
        <f t="shared" si="0"/>
        <v>82178</v>
      </c>
      <c r="I17" s="417" t="s">
        <v>194</v>
      </c>
      <c r="J17" s="418" t="s">
        <v>654</v>
      </c>
      <c r="K17" s="416" t="s">
        <v>102</v>
      </c>
    </row>
    <row r="18" spans="1:11" x14ac:dyDescent="0.25">
      <c r="A18" s="412">
        <v>25</v>
      </c>
      <c r="B18" s="127" t="s">
        <v>655</v>
      </c>
      <c r="C18" s="127" t="s">
        <v>551</v>
      </c>
      <c r="D18" s="127" t="s">
        <v>60</v>
      </c>
      <c r="E18" s="288">
        <v>46000</v>
      </c>
      <c r="F18" s="284">
        <v>0</v>
      </c>
      <c r="G18" s="284">
        <v>0</v>
      </c>
      <c r="H18" s="284">
        <f t="shared" si="0"/>
        <v>46000</v>
      </c>
      <c r="I18" s="417" t="s">
        <v>194</v>
      </c>
      <c r="J18" s="418" t="s">
        <v>656</v>
      </c>
      <c r="K18" s="416" t="s">
        <v>102</v>
      </c>
    </row>
    <row r="19" spans="1:11" x14ac:dyDescent="0.25">
      <c r="A19" s="419">
        <v>26</v>
      </c>
      <c r="B19" s="285" t="s">
        <v>657</v>
      </c>
      <c r="C19" s="285" t="s">
        <v>631</v>
      </c>
      <c r="D19" s="285" t="s">
        <v>60</v>
      </c>
      <c r="E19" s="420">
        <v>7699</v>
      </c>
      <c r="F19" s="286">
        <v>2000</v>
      </c>
      <c r="G19" s="286">
        <v>1000</v>
      </c>
      <c r="H19" s="286">
        <f t="shared" si="0"/>
        <v>10699</v>
      </c>
      <c r="I19" s="417" t="s">
        <v>194</v>
      </c>
      <c r="J19" s="418" t="s">
        <v>658</v>
      </c>
      <c r="K19" s="416" t="s">
        <v>102</v>
      </c>
    </row>
    <row r="20" spans="1:11" x14ac:dyDescent="0.25">
      <c r="A20" s="419">
        <v>29</v>
      </c>
      <c r="B20" s="285" t="s">
        <v>659</v>
      </c>
      <c r="C20" s="285" t="s">
        <v>631</v>
      </c>
      <c r="D20" s="285" t="s">
        <v>60</v>
      </c>
      <c r="E20" s="289">
        <v>11295</v>
      </c>
      <c r="F20" s="286">
        <v>0</v>
      </c>
      <c r="G20" s="286">
        <v>0</v>
      </c>
      <c r="H20" s="286">
        <f t="shared" si="0"/>
        <v>11295</v>
      </c>
      <c r="I20" s="417" t="s">
        <v>194</v>
      </c>
      <c r="J20" s="418" t="s">
        <v>660</v>
      </c>
      <c r="K20" s="416" t="s">
        <v>102</v>
      </c>
    </row>
    <row r="21" spans="1:11" x14ac:dyDescent="0.25">
      <c r="A21" s="412">
        <v>30</v>
      </c>
      <c r="B21" s="127" t="s">
        <v>292</v>
      </c>
      <c r="C21" s="127" t="s">
        <v>328</v>
      </c>
      <c r="D21" s="127" t="s">
        <v>60</v>
      </c>
      <c r="E21" s="288">
        <v>96694</v>
      </c>
      <c r="F21" s="284">
        <v>2691</v>
      </c>
      <c r="G21" s="284">
        <v>2691</v>
      </c>
      <c r="H21" s="284">
        <f t="shared" si="0"/>
        <v>102076</v>
      </c>
      <c r="I21" s="417" t="s">
        <v>194</v>
      </c>
      <c r="J21" s="418" t="s">
        <v>661</v>
      </c>
      <c r="K21" s="416" t="s">
        <v>102</v>
      </c>
    </row>
    <row r="22" spans="1:11" x14ac:dyDescent="0.25">
      <c r="A22" s="412">
        <v>31</v>
      </c>
      <c r="B22" s="127" t="s">
        <v>662</v>
      </c>
      <c r="C22" s="127" t="s">
        <v>328</v>
      </c>
      <c r="D22" s="127" t="s">
        <v>60</v>
      </c>
      <c r="E22" s="288">
        <v>12000</v>
      </c>
      <c r="F22" s="284">
        <v>2000</v>
      </c>
      <c r="G22" s="284">
        <v>0</v>
      </c>
      <c r="H22" s="284">
        <f t="shared" si="0"/>
        <v>14000</v>
      </c>
      <c r="I22" s="417" t="s">
        <v>194</v>
      </c>
      <c r="J22" s="418" t="s">
        <v>663</v>
      </c>
      <c r="K22" s="416" t="s">
        <v>102</v>
      </c>
    </row>
    <row r="23" spans="1:11" x14ac:dyDescent="0.25">
      <c r="A23" s="412">
        <v>32</v>
      </c>
      <c r="B23" s="127" t="s">
        <v>664</v>
      </c>
      <c r="C23" s="127" t="s">
        <v>336</v>
      </c>
      <c r="D23" s="127" t="s">
        <v>60</v>
      </c>
      <c r="E23" s="288">
        <v>32940</v>
      </c>
      <c r="F23" s="284">
        <v>0</v>
      </c>
      <c r="G23" s="284">
        <v>0</v>
      </c>
      <c r="H23" s="284">
        <f t="shared" si="0"/>
        <v>32940</v>
      </c>
      <c r="I23" s="417" t="s">
        <v>194</v>
      </c>
      <c r="J23" s="418" t="s">
        <v>665</v>
      </c>
      <c r="K23" s="416" t="s">
        <v>102</v>
      </c>
    </row>
    <row r="24" spans="1:11" x14ac:dyDescent="0.25">
      <c r="A24" s="412">
        <v>33</v>
      </c>
      <c r="B24" s="127" t="s">
        <v>666</v>
      </c>
      <c r="C24" s="127" t="s">
        <v>328</v>
      </c>
      <c r="D24" s="127" t="s">
        <v>60</v>
      </c>
      <c r="E24" s="421">
        <v>2776</v>
      </c>
      <c r="F24" s="284">
        <v>0</v>
      </c>
      <c r="G24" s="284">
        <v>0</v>
      </c>
      <c r="H24" s="284">
        <f t="shared" si="0"/>
        <v>2776</v>
      </c>
      <c r="I24" s="417" t="s">
        <v>194</v>
      </c>
      <c r="J24" s="418" t="s">
        <v>667</v>
      </c>
      <c r="K24" s="416" t="s">
        <v>102</v>
      </c>
    </row>
    <row r="25" spans="1:11" x14ac:dyDescent="0.25">
      <c r="A25" s="419">
        <v>34</v>
      </c>
      <c r="B25" s="285" t="s">
        <v>668</v>
      </c>
      <c r="C25" s="285" t="s">
        <v>631</v>
      </c>
      <c r="D25" s="285" t="s">
        <v>60</v>
      </c>
      <c r="E25" s="289">
        <v>16000</v>
      </c>
      <c r="F25" s="286">
        <v>0</v>
      </c>
      <c r="G25" s="286">
        <v>0</v>
      </c>
      <c r="H25" s="286">
        <f t="shared" si="0"/>
        <v>16000</v>
      </c>
      <c r="I25" s="417" t="s">
        <v>194</v>
      </c>
      <c r="J25" s="418" t="s">
        <v>669</v>
      </c>
      <c r="K25" s="416" t="s">
        <v>102</v>
      </c>
    </row>
    <row r="26" spans="1:11" x14ac:dyDescent="0.25">
      <c r="A26" s="419">
        <v>37</v>
      </c>
      <c r="B26" s="285" t="s">
        <v>670</v>
      </c>
      <c r="C26" s="285" t="s">
        <v>631</v>
      </c>
      <c r="D26" s="285" t="s">
        <v>60</v>
      </c>
      <c r="E26" s="289">
        <v>53584.480000000003</v>
      </c>
      <c r="F26" s="286">
        <v>0</v>
      </c>
      <c r="G26" s="286">
        <v>0</v>
      </c>
      <c r="H26" s="286">
        <f t="shared" si="0"/>
        <v>53584.480000000003</v>
      </c>
      <c r="I26" s="417" t="s">
        <v>194</v>
      </c>
      <c r="J26" s="418" t="s">
        <v>671</v>
      </c>
      <c r="K26" s="416" t="s">
        <v>102</v>
      </c>
    </row>
    <row r="27" spans="1:11" x14ac:dyDescent="0.25">
      <c r="A27" s="412">
        <v>39</v>
      </c>
      <c r="B27" s="127" t="s">
        <v>672</v>
      </c>
      <c r="C27" s="127" t="s">
        <v>336</v>
      </c>
      <c r="D27" s="127" t="s">
        <v>60</v>
      </c>
      <c r="E27" s="288">
        <v>70195</v>
      </c>
      <c r="F27" s="284">
        <v>1980</v>
      </c>
      <c r="G27" s="284">
        <v>1980</v>
      </c>
      <c r="H27" s="284">
        <f t="shared" si="0"/>
        <v>74155</v>
      </c>
      <c r="I27" s="417" t="s">
        <v>194</v>
      </c>
      <c r="J27" s="418" t="s">
        <v>673</v>
      </c>
      <c r="K27" s="416" t="s">
        <v>102</v>
      </c>
    </row>
    <row r="28" spans="1:11" x14ac:dyDescent="0.25">
      <c r="A28" s="412">
        <v>40</v>
      </c>
      <c r="B28" s="127" t="s">
        <v>674</v>
      </c>
      <c r="C28" s="127" t="s">
        <v>196</v>
      </c>
      <c r="D28" s="127" t="s">
        <v>60</v>
      </c>
      <c r="E28" s="421">
        <v>2225</v>
      </c>
      <c r="F28" s="284">
        <v>0</v>
      </c>
      <c r="G28" s="284">
        <v>0</v>
      </c>
      <c r="H28" s="284">
        <f t="shared" si="0"/>
        <v>2225</v>
      </c>
      <c r="I28" s="417" t="s">
        <v>194</v>
      </c>
      <c r="J28" s="418" t="s">
        <v>675</v>
      </c>
      <c r="K28" s="416" t="s">
        <v>102</v>
      </c>
    </row>
    <row r="29" spans="1:11" x14ac:dyDescent="0.25">
      <c r="A29" s="412">
        <v>41</v>
      </c>
      <c r="B29" s="127" t="s">
        <v>676</v>
      </c>
      <c r="C29" s="127" t="s">
        <v>196</v>
      </c>
      <c r="D29" s="127" t="s">
        <v>60</v>
      </c>
      <c r="E29" s="288">
        <v>41951</v>
      </c>
      <c r="F29" s="284">
        <v>0</v>
      </c>
      <c r="G29" s="284">
        <v>0</v>
      </c>
      <c r="H29" s="284">
        <f t="shared" si="0"/>
        <v>41951</v>
      </c>
      <c r="I29" s="422" t="s">
        <v>194</v>
      </c>
      <c r="J29" s="423" t="s">
        <v>677</v>
      </c>
      <c r="K29" s="424" t="s">
        <v>102</v>
      </c>
    </row>
    <row r="30" spans="1:11" x14ac:dyDescent="0.25">
      <c r="A30" s="412">
        <v>42</v>
      </c>
      <c r="B30" s="127" t="s">
        <v>678</v>
      </c>
      <c r="C30" s="127" t="s">
        <v>336</v>
      </c>
      <c r="D30" s="127" t="s">
        <v>60</v>
      </c>
      <c r="E30" s="288">
        <v>114400</v>
      </c>
      <c r="F30" s="284">
        <v>0</v>
      </c>
      <c r="G30" s="284">
        <v>0</v>
      </c>
      <c r="H30" s="284">
        <f t="shared" si="0"/>
        <v>114400</v>
      </c>
      <c r="I30" s="413" t="s">
        <v>194</v>
      </c>
      <c r="J30" s="414" t="s">
        <v>679</v>
      </c>
      <c r="K30" s="414" t="s">
        <v>102</v>
      </c>
    </row>
    <row r="31" spans="1:11" x14ac:dyDescent="0.25">
      <c r="A31" s="419">
        <v>43</v>
      </c>
      <c r="B31" s="285" t="s">
        <v>680</v>
      </c>
      <c r="C31" s="285" t="s">
        <v>681</v>
      </c>
      <c r="D31" s="285" t="s">
        <v>60</v>
      </c>
      <c r="E31" s="289">
        <v>9810</v>
      </c>
      <c r="F31" s="286">
        <v>0</v>
      </c>
      <c r="G31" s="286">
        <v>0</v>
      </c>
      <c r="H31" s="284">
        <f t="shared" si="0"/>
        <v>9810</v>
      </c>
      <c r="I31" s="413" t="s">
        <v>194</v>
      </c>
      <c r="J31" s="414" t="s">
        <v>682</v>
      </c>
      <c r="K31" s="414" t="s">
        <v>102</v>
      </c>
    </row>
    <row r="32" spans="1:11" x14ac:dyDescent="0.25">
      <c r="A32" s="419">
        <v>44</v>
      </c>
      <c r="B32" s="285" t="s">
        <v>683</v>
      </c>
      <c r="C32" s="285" t="s">
        <v>631</v>
      </c>
      <c r="D32" s="285" t="s">
        <v>60</v>
      </c>
      <c r="E32" s="289">
        <v>12000</v>
      </c>
      <c r="F32" s="286">
        <v>0</v>
      </c>
      <c r="G32" s="286">
        <v>0</v>
      </c>
      <c r="H32" s="286">
        <f t="shared" si="0"/>
        <v>12000</v>
      </c>
      <c r="I32" s="413" t="s">
        <v>194</v>
      </c>
      <c r="J32" s="414" t="s">
        <v>684</v>
      </c>
      <c r="K32" s="414" t="s">
        <v>102</v>
      </c>
    </row>
    <row r="33" spans="1:11" x14ac:dyDescent="0.25">
      <c r="A33" s="412">
        <v>45</v>
      </c>
      <c r="B33" s="127" t="s">
        <v>685</v>
      </c>
      <c r="C33" s="127" t="s">
        <v>196</v>
      </c>
      <c r="D33" s="127" t="s">
        <v>60</v>
      </c>
      <c r="E33" s="288">
        <v>2925</v>
      </c>
      <c r="F33" s="284">
        <v>0</v>
      </c>
      <c r="G33" s="284">
        <v>0</v>
      </c>
      <c r="H33" s="284">
        <f t="shared" si="0"/>
        <v>2925</v>
      </c>
      <c r="I33" s="413" t="s">
        <v>194</v>
      </c>
      <c r="J33" s="414" t="s">
        <v>686</v>
      </c>
      <c r="K33" s="414" t="s">
        <v>102</v>
      </c>
    </row>
    <row r="34" spans="1:11" x14ac:dyDescent="0.25">
      <c r="A34" s="419">
        <v>46</v>
      </c>
      <c r="B34" s="285" t="s">
        <v>687</v>
      </c>
      <c r="C34" s="285" t="s">
        <v>323</v>
      </c>
      <c r="D34" s="285" t="s">
        <v>60</v>
      </c>
      <c r="E34" s="289">
        <v>5715.61</v>
      </c>
      <c r="F34" s="286">
        <v>0</v>
      </c>
      <c r="G34" s="286">
        <v>0</v>
      </c>
      <c r="H34" s="286">
        <f t="shared" si="0"/>
        <v>5715.61</v>
      </c>
      <c r="I34" s="413" t="s">
        <v>194</v>
      </c>
      <c r="J34" s="414" t="s">
        <v>688</v>
      </c>
      <c r="K34" s="414" t="s">
        <v>102</v>
      </c>
    </row>
    <row r="35" spans="1:11" x14ac:dyDescent="0.25">
      <c r="A35" s="425">
        <v>47</v>
      </c>
      <c r="B35" s="426" t="s">
        <v>689</v>
      </c>
      <c r="C35" s="426" t="s">
        <v>72</v>
      </c>
      <c r="D35" s="426" t="s">
        <v>60</v>
      </c>
      <c r="E35" s="420">
        <v>46285</v>
      </c>
      <c r="F35" s="427">
        <v>0</v>
      </c>
      <c r="G35" s="427">
        <v>0</v>
      </c>
      <c r="H35" s="428">
        <f t="shared" si="0"/>
        <v>46285</v>
      </c>
      <c r="I35" s="429" t="s">
        <v>690</v>
      </c>
      <c r="J35" s="430" t="s">
        <v>691</v>
      </c>
      <c r="K35" s="430" t="s">
        <v>102</v>
      </c>
    </row>
    <row r="36" spans="1:11" x14ac:dyDescent="0.25">
      <c r="A36" s="412">
        <v>48</v>
      </c>
      <c r="B36" s="127" t="s">
        <v>692</v>
      </c>
      <c r="C36" s="127" t="s">
        <v>72</v>
      </c>
      <c r="D36" s="127" t="s">
        <v>60</v>
      </c>
      <c r="E36" s="288">
        <v>14878</v>
      </c>
      <c r="F36" s="284">
        <v>0</v>
      </c>
      <c r="G36" s="284">
        <v>0</v>
      </c>
      <c r="H36" s="284">
        <f t="shared" si="0"/>
        <v>14878</v>
      </c>
      <c r="I36" s="413" t="s">
        <v>194</v>
      </c>
      <c r="J36" s="414" t="s">
        <v>693</v>
      </c>
      <c r="K36" s="414" t="s">
        <v>102</v>
      </c>
    </row>
    <row r="37" spans="1:11" x14ac:dyDescent="0.25">
      <c r="A37" s="431">
        <v>52</v>
      </c>
      <c r="B37" s="385" t="s">
        <v>694</v>
      </c>
      <c r="C37" s="385" t="s">
        <v>72</v>
      </c>
      <c r="D37" s="385" t="s">
        <v>60</v>
      </c>
      <c r="E37" s="432">
        <v>4892.58</v>
      </c>
      <c r="F37" s="384">
        <v>0</v>
      </c>
      <c r="G37" s="384">
        <v>0</v>
      </c>
      <c r="H37" s="384">
        <f t="shared" si="0"/>
        <v>4892.58</v>
      </c>
      <c r="I37" s="433" t="s">
        <v>194</v>
      </c>
      <c r="J37" s="434" t="s">
        <v>695</v>
      </c>
      <c r="K37" s="434" t="s">
        <v>102</v>
      </c>
    </row>
    <row r="38" spans="1:11" x14ac:dyDescent="0.25">
      <c r="A38" s="435" t="s">
        <v>124</v>
      </c>
      <c r="B38" s="435"/>
      <c r="C38" s="435"/>
      <c r="D38" s="435"/>
      <c r="E38" s="542">
        <f>SUM(E3:E37)</f>
        <v>971696.30999999994</v>
      </c>
      <c r="F38" s="542">
        <f>SUM(F3:F37)</f>
        <v>177243.48</v>
      </c>
      <c r="G38" s="542">
        <f>SUM(G3:G37)</f>
        <v>83204.320000000007</v>
      </c>
      <c r="H38" s="542">
        <f>SUM(H3:H37)</f>
        <v>1232144.1100000001</v>
      </c>
      <c r="I38" s="284"/>
      <c r="J38" s="127"/>
      <c r="K38" s="127"/>
    </row>
    <row r="39" spans="1:11" x14ac:dyDescent="0.25">
      <c r="C39" s="541" t="s">
        <v>787</v>
      </c>
      <c r="E39" s="543">
        <f>-E35</f>
        <v>-46285</v>
      </c>
      <c r="F39" s="543"/>
      <c r="G39" s="543"/>
      <c r="H39" s="543"/>
      <c r="I39" s="543"/>
    </row>
    <row r="40" spans="1:11" x14ac:dyDescent="0.25">
      <c r="C40" s="541" t="s">
        <v>739</v>
      </c>
      <c r="E40" s="543">
        <v>21230</v>
      </c>
      <c r="F40" s="543"/>
      <c r="G40" s="543"/>
      <c r="H40" s="543"/>
      <c r="I40" s="543"/>
    </row>
    <row r="41" spans="1:11" x14ac:dyDescent="0.25">
      <c r="C41" s="541" t="s">
        <v>62</v>
      </c>
      <c r="E41" s="544">
        <f>+E40+E39+E38</f>
        <v>946641.30999999994</v>
      </c>
      <c r="F41" s="543"/>
      <c r="G41" s="543"/>
      <c r="H41" s="543"/>
      <c r="I41" s="543"/>
    </row>
    <row r="42" spans="1:11" x14ac:dyDescent="0.25">
      <c r="E42" s="543"/>
      <c r="F42" s="543"/>
      <c r="G42" s="543"/>
      <c r="H42" s="543"/>
      <c r="I42" s="543"/>
    </row>
    <row r="43" spans="1:11" x14ac:dyDescent="0.25">
      <c r="E43" s="543"/>
      <c r="F43" s="543"/>
      <c r="G43" s="543"/>
      <c r="H43" s="543"/>
      <c r="I43" s="543"/>
    </row>
  </sheetData>
  <mergeCells count="1">
    <mergeCell ref="J1:K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H25"/>
  <sheetViews>
    <sheetView workbookViewId="0">
      <selection activeCell="E12" sqref="E12:E18"/>
    </sheetView>
  </sheetViews>
  <sheetFormatPr defaultRowHeight="12.75" x14ac:dyDescent="0.2"/>
  <cols>
    <col min="1" max="1" width="13.28515625" style="90" customWidth="1"/>
    <col min="2" max="2" width="27.7109375" style="90" customWidth="1"/>
    <col min="3" max="3" width="12.85546875" style="90" customWidth="1"/>
    <col min="4" max="6" width="13.140625" style="90" customWidth="1"/>
    <col min="7" max="7" width="12.85546875" style="90" customWidth="1"/>
    <col min="8" max="8" width="8.28515625" style="90" customWidth="1"/>
    <col min="9" max="16384" width="9.140625" style="90"/>
  </cols>
  <sheetData>
    <row r="1" spans="1:8" ht="15.95" customHeight="1" x14ac:dyDescent="0.25">
      <c r="A1" s="274" t="s">
        <v>460</v>
      </c>
    </row>
    <row r="2" spans="1:8" ht="15.95" customHeight="1" x14ac:dyDescent="0.2">
      <c r="A2" s="278" t="s">
        <v>809</v>
      </c>
    </row>
    <row r="3" spans="1:8" ht="15.95" customHeight="1" x14ac:dyDescent="0.2"/>
    <row r="4" spans="1:8" ht="15.95" customHeight="1" x14ac:dyDescent="0.2">
      <c r="A4" s="264"/>
      <c r="B4" s="258"/>
      <c r="C4" s="664" t="s">
        <v>413</v>
      </c>
      <c r="D4" s="664" t="s">
        <v>414</v>
      </c>
      <c r="E4" s="664" t="s">
        <v>415</v>
      </c>
      <c r="F4" s="664" t="s">
        <v>567</v>
      </c>
      <c r="G4" s="282" t="s">
        <v>62</v>
      </c>
    </row>
    <row r="5" spans="1:8" ht="15.95" customHeight="1" x14ac:dyDescent="0.2">
      <c r="A5" s="258" t="s">
        <v>456</v>
      </c>
      <c r="B5" s="258"/>
      <c r="C5" s="259" t="s">
        <v>810</v>
      </c>
      <c r="D5" s="259" t="s">
        <v>811</v>
      </c>
      <c r="E5" s="259" t="s">
        <v>812</v>
      </c>
      <c r="F5" s="259" t="s">
        <v>813</v>
      </c>
      <c r="G5" s="282"/>
    </row>
    <row r="6" spans="1:8" ht="15.95" customHeight="1" thickBot="1" x14ac:dyDescent="0.25">
      <c r="A6" s="265"/>
      <c r="B6" s="265"/>
      <c r="C6" s="266" t="s">
        <v>461</v>
      </c>
      <c r="D6" s="266" t="s">
        <v>461</v>
      </c>
      <c r="E6" s="266" t="s">
        <v>462</v>
      </c>
      <c r="F6" s="266" t="s">
        <v>462</v>
      </c>
      <c r="G6" s="267"/>
    </row>
    <row r="7" spans="1:8" ht="15.95" customHeight="1" x14ac:dyDescent="0.2">
      <c r="A7" s="258"/>
      <c r="B7" s="258"/>
      <c r="C7" s="259"/>
      <c r="D7" s="259"/>
      <c r="E7" s="259"/>
      <c r="F7" s="259"/>
      <c r="G7" s="282"/>
    </row>
    <row r="8" spans="1:8" ht="15.95" customHeight="1" x14ac:dyDescent="0.2">
      <c r="A8" s="258" t="s">
        <v>827</v>
      </c>
      <c r="C8" s="767">
        <f>+'Banner YTD'!D19</f>
        <v>2098682.0099999998</v>
      </c>
      <c r="D8" s="767">
        <f>+'Banner YTD'!H19</f>
        <v>2809323.1399999997</v>
      </c>
      <c r="E8" s="767">
        <v>2800000</v>
      </c>
      <c r="F8" s="767">
        <v>3000000</v>
      </c>
      <c r="G8" s="281">
        <f>SUM(C8:F8)</f>
        <v>10708005.149999999</v>
      </c>
    </row>
    <row r="9" spans="1:8" ht="15.95" customHeight="1" x14ac:dyDescent="0.2">
      <c r="A9" s="258"/>
      <c r="B9" s="258"/>
      <c r="C9" s="601"/>
      <c r="D9" s="601"/>
      <c r="E9" s="601"/>
      <c r="F9" s="601"/>
      <c r="G9" s="282"/>
    </row>
    <row r="10" spans="1:8" ht="15.95" customHeight="1" x14ac:dyDescent="0.2">
      <c r="A10" s="258" t="s">
        <v>828</v>
      </c>
      <c r="B10" s="258"/>
      <c r="C10" s="259"/>
      <c r="D10" s="259"/>
      <c r="E10" s="259"/>
      <c r="F10" s="259"/>
      <c r="G10" s="282"/>
    </row>
    <row r="11" spans="1:8" ht="15.95" customHeight="1" x14ac:dyDescent="0.2">
      <c r="G11" s="279"/>
    </row>
    <row r="12" spans="1:8" ht="15.95" customHeight="1" x14ac:dyDescent="0.2">
      <c r="B12" s="663" t="s">
        <v>467</v>
      </c>
      <c r="C12" s="133">
        <f>+'Master_approved projects'!H33</f>
        <v>1267509.68</v>
      </c>
      <c r="D12" s="133">
        <f>+'Master_approved projects'!I33</f>
        <v>636581.16</v>
      </c>
      <c r="E12" s="133">
        <f>+'Master_approved projects'!J33</f>
        <v>594633.66</v>
      </c>
      <c r="F12" s="133"/>
      <c r="G12" s="280">
        <f>SUM(C12:F12)</f>
        <v>2498724.5</v>
      </c>
    </row>
    <row r="13" spans="1:8" ht="15.95" customHeight="1" x14ac:dyDescent="0.2">
      <c r="B13" s="662" t="s">
        <v>454</v>
      </c>
      <c r="C13" s="133">
        <v>6800</v>
      </c>
      <c r="D13" s="133"/>
      <c r="E13" s="133"/>
      <c r="F13" s="133"/>
      <c r="G13" s="280">
        <f t="shared" ref="G13:G20" si="0">SUM(C13:F13)</f>
        <v>6800</v>
      </c>
    </row>
    <row r="14" spans="1:8" ht="15.95" customHeight="1" x14ac:dyDescent="0.2">
      <c r="B14" s="662" t="s">
        <v>455</v>
      </c>
      <c r="C14" s="133">
        <v>32</v>
      </c>
      <c r="D14" s="133"/>
      <c r="E14" s="133"/>
      <c r="F14" s="133"/>
      <c r="G14" s="280">
        <f t="shared" si="0"/>
        <v>32</v>
      </c>
    </row>
    <row r="15" spans="1:8" ht="15.95" customHeight="1" x14ac:dyDescent="0.2">
      <c r="B15" s="663" t="s">
        <v>468</v>
      </c>
      <c r="C15" s="133">
        <f>+'Master_approved projects'!H66</f>
        <v>710487.73</v>
      </c>
      <c r="D15" s="133">
        <f>+'Master_approved projects'!I66</f>
        <v>423627.2099999999</v>
      </c>
      <c r="E15" s="133">
        <f>+'Master_approved projects'!J66</f>
        <v>134110.6</v>
      </c>
      <c r="F15" s="133"/>
      <c r="G15" s="280">
        <f t="shared" si="0"/>
        <v>1268225.54</v>
      </c>
      <c r="H15" s="256"/>
    </row>
    <row r="16" spans="1:8" ht="15.95" customHeight="1" x14ac:dyDescent="0.2">
      <c r="B16" s="663" t="s">
        <v>469</v>
      </c>
      <c r="C16" s="133">
        <v>0</v>
      </c>
      <c r="D16" s="313">
        <f>925411+21230</f>
        <v>946641</v>
      </c>
      <c r="E16" s="313">
        <v>156013</v>
      </c>
      <c r="F16" s="313">
        <f>+'Master_approved projects'!K103</f>
        <v>83204.320000000007</v>
      </c>
      <c r="G16" s="280">
        <f t="shared" si="0"/>
        <v>1185858.32</v>
      </c>
      <c r="H16" s="256"/>
    </row>
    <row r="17" spans="1:8" ht="15.95" customHeight="1" x14ac:dyDescent="0.2">
      <c r="B17" s="662" t="s">
        <v>793</v>
      </c>
      <c r="C17" s="133"/>
      <c r="D17" s="133">
        <v>157327</v>
      </c>
      <c r="E17" s="133"/>
      <c r="F17" s="133"/>
      <c r="G17" s="280">
        <f t="shared" si="0"/>
        <v>157327</v>
      </c>
      <c r="H17" s="256"/>
    </row>
    <row r="18" spans="1:8" ht="15.95" customHeight="1" x14ac:dyDescent="0.2">
      <c r="B18" s="278" t="s">
        <v>797</v>
      </c>
      <c r="C18" s="133"/>
      <c r="D18" s="133"/>
      <c r="E18" s="133">
        <v>450000</v>
      </c>
      <c r="F18" s="133"/>
      <c r="G18" s="280">
        <f t="shared" si="0"/>
        <v>450000</v>
      </c>
      <c r="H18" s="256"/>
    </row>
    <row r="19" spans="1:8" ht="15.95" customHeight="1" x14ac:dyDescent="0.2">
      <c r="B19" s="663" t="s">
        <v>470</v>
      </c>
      <c r="C19" s="133"/>
      <c r="D19" s="133"/>
      <c r="E19" s="133"/>
      <c r="F19" s="133"/>
      <c r="G19" s="280">
        <f t="shared" si="0"/>
        <v>0</v>
      </c>
      <c r="H19" s="256"/>
    </row>
    <row r="20" spans="1:8" ht="15.95" customHeight="1" x14ac:dyDescent="0.2">
      <c r="C20" s="133"/>
      <c r="D20" s="133"/>
      <c r="E20" s="133"/>
      <c r="F20" s="133"/>
      <c r="G20" s="280">
        <f t="shared" si="0"/>
        <v>0</v>
      </c>
    </row>
    <row r="21" spans="1:8" ht="15.95" customHeight="1" thickBot="1" x14ac:dyDescent="0.25">
      <c r="B21" s="268" t="s">
        <v>829</v>
      </c>
      <c r="C21" s="269">
        <f>SUM(C12:C20)</f>
        <v>1984829.41</v>
      </c>
      <c r="D21" s="269">
        <f>SUM(D12:D20)</f>
        <v>2164176.37</v>
      </c>
      <c r="E21" s="269">
        <f>SUM(E12:E20)</f>
        <v>1334757.26</v>
      </c>
      <c r="F21" s="269">
        <f>SUM(F12:F20)</f>
        <v>83204.320000000007</v>
      </c>
      <c r="G21" s="275">
        <f>SUM(G12:G20)</f>
        <v>5566967.3600000003</v>
      </c>
      <c r="H21" s="256"/>
    </row>
    <row r="22" spans="1:8" ht="15.95" customHeight="1" thickTop="1" x14ac:dyDescent="0.2">
      <c r="C22" s="133"/>
      <c r="D22" s="133"/>
      <c r="E22" s="133"/>
      <c r="F22" s="133"/>
      <c r="G22" s="280"/>
    </row>
    <row r="23" spans="1:8" ht="15.95" customHeight="1" thickBot="1" x14ac:dyDescent="0.25">
      <c r="A23" s="270" t="s">
        <v>830</v>
      </c>
      <c r="B23" s="271"/>
      <c r="C23" s="272">
        <f>+C8-C21</f>
        <v>113852.59999999986</v>
      </c>
      <c r="D23" s="272">
        <f>+D8-D21</f>
        <v>645146.76999999955</v>
      </c>
      <c r="E23" s="768">
        <f>+E8-E21</f>
        <v>1465242.74</v>
      </c>
      <c r="F23" s="272">
        <f>+F8-F21</f>
        <v>2916795.68</v>
      </c>
      <c r="G23" s="273">
        <f>+G8-G21</f>
        <v>5141037.7899999982</v>
      </c>
    </row>
    <row r="24" spans="1:8" ht="15.95" customHeight="1" x14ac:dyDescent="0.2">
      <c r="B24" s="278" t="s">
        <v>831</v>
      </c>
      <c r="C24" s="257"/>
      <c r="D24" s="137">
        <f>+D23+C23</f>
        <v>758999.36999999941</v>
      </c>
      <c r="E24" s="257">
        <f>+E23+D24</f>
        <v>2224242.1099999994</v>
      </c>
      <c r="F24" s="133"/>
      <c r="G24" s="133"/>
    </row>
    <row r="25" spans="1:8" x14ac:dyDescent="0.2">
      <c r="C25" s="133"/>
      <c r="D25" s="133"/>
      <c r="E25" s="133"/>
      <c r="F25" s="133"/>
      <c r="G25" s="133"/>
    </row>
  </sheetData>
  <pageMargins left="0.7" right="0.7" top="0.75" bottom="0.75" header="0.3" footer="0.3"/>
  <pageSetup orientation="landscape" horizontalDpi="4294967293" r:id="rId1"/>
  <headerFooter>
    <oddFooter>&amp;L&amp;Z&amp;F&amp;R&amp;D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5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7" sqref="L37"/>
    </sheetView>
  </sheetViews>
  <sheetFormatPr defaultRowHeight="14.1" customHeight="1" x14ac:dyDescent="0.2"/>
  <cols>
    <col min="1" max="1" width="6.7109375" style="127" customWidth="1"/>
    <col min="2" max="2" width="24.140625" style="127" customWidth="1"/>
    <col min="3" max="3" width="9.140625" style="127" customWidth="1"/>
    <col min="4" max="4" width="10.28515625" style="127" customWidth="1"/>
    <col min="5" max="5" width="8.42578125" style="127" customWidth="1"/>
    <col min="6" max="6" width="20.7109375" style="283" customWidth="1"/>
    <col min="7" max="7" width="9.5703125" style="283" customWidth="1"/>
    <col min="8" max="8" width="9.5703125" style="283" bestFit="1" customWidth="1"/>
    <col min="9" max="9" width="7.7109375" style="283" bestFit="1" customWidth="1"/>
    <col min="10" max="10" width="14.85546875" style="283" bestFit="1" customWidth="1"/>
    <col min="11" max="11" width="10.140625" style="284" customWidth="1"/>
    <col min="12" max="12" width="9.42578125" style="127" customWidth="1"/>
    <col min="13" max="13" width="10.7109375" style="127" customWidth="1"/>
    <col min="14" max="16384" width="9.140625" style="127"/>
  </cols>
  <sheetData>
    <row r="1" spans="1:13" ht="14.1" customHeight="1" x14ac:dyDescent="0.25">
      <c r="A1" s="918" t="s">
        <v>615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13" ht="14.1" customHeight="1" x14ac:dyDescent="0.25">
      <c r="A2" s="918" t="s">
        <v>735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</row>
    <row r="3" spans="1:13" ht="14.1" customHeight="1" x14ac:dyDescent="0.25">
      <c r="A3" s="919" t="s">
        <v>840</v>
      </c>
      <c r="B3" s="919"/>
      <c r="C3" s="919"/>
      <c r="D3" s="919"/>
      <c r="E3" s="919"/>
      <c r="F3" s="919"/>
      <c r="G3" s="919"/>
      <c r="H3" s="919"/>
      <c r="I3" s="919"/>
      <c r="J3" s="919"/>
      <c r="K3" s="919"/>
      <c r="L3" s="919"/>
      <c r="M3" s="919"/>
    </row>
    <row r="4" spans="1:13" ht="14.1" customHeight="1" x14ac:dyDescent="0.2">
      <c r="F4" s="495"/>
      <c r="G4" s="285"/>
      <c r="H4" s="285"/>
      <c r="I4" s="285"/>
      <c r="J4" s="495"/>
    </row>
    <row r="5" spans="1:13" ht="14.1" customHeight="1" x14ac:dyDescent="0.2">
      <c r="A5" s="386" t="s">
        <v>729</v>
      </c>
      <c r="B5" s="914" t="s">
        <v>730</v>
      </c>
      <c r="C5" s="914"/>
      <c r="D5" s="914"/>
      <c r="E5" s="915"/>
      <c r="F5" s="916" t="s">
        <v>731</v>
      </c>
      <c r="G5" s="917"/>
      <c r="H5" s="917"/>
      <c r="I5" s="917"/>
      <c r="J5" s="701"/>
      <c r="K5" s="704" t="s">
        <v>816</v>
      </c>
      <c r="L5" s="704"/>
      <c r="M5" s="704"/>
    </row>
    <row r="6" spans="1:13" ht="14.1" customHeight="1" thickBot="1" x14ac:dyDescent="0.25">
      <c r="A6" s="292"/>
      <c r="B6" s="702" t="s">
        <v>817</v>
      </c>
      <c r="C6" s="682" t="s">
        <v>500</v>
      </c>
      <c r="D6" s="682" t="s">
        <v>461</v>
      </c>
      <c r="E6" s="683" t="s">
        <v>186</v>
      </c>
      <c r="F6" s="496" t="s">
        <v>817</v>
      </c>
      <c r="G6" s="293" t="s">
        <v>500</v>
      </c>
      <c r="H6" s="582" t="s">
        <v>169</v>
      </c>
      <c r="I6" s="293" t="s">
        <v>186</v>
      </c>
      <c r="J6" s="724" t="s">
        <v>817</v>
      </c>
      <c r="K6" s="682" t="s">
        <v>500</v>
      </c>
      <c r="L6" s="682" t="s">
        <v>169</v>
      </c>
      <c r="M6" s="682" t="s">
        <v>186</v>
      </c>
    </row>
    <row r="7" spans="1:13" ht="14.1" customHeight="1" x14ac:dyDescent="0.2">
      <c r="A7" s="283" t="s">
        <v>170</v>
      </c>
      <c r="B7" s="498"/>
      <c r="C7" s="553"/>
      <c r="D7" s="552"/>
      <c r="E7" s="554"/>
      <c r="F7" s="687"/>
      <c r="G7" s="426"/>
      <c r="H7" s="688"/>
      <c r="I7" s="427"/>
      <c r="J7" s="721"/>
      <c r="K7" s="552"/>
      <c r="L7" s="553"/>
      <c r="M7" s="554"/>
    </row>
    <row r="8" spans="1:13" ht="14.1" customHeight="1" x14ac:dyDescent="0.2">
      <c r="A8" s="283"/>
      <c r="B8" s="498" t="s">
        <v>171</v>
      </c>
      <c r="C8" s="295">
        <v>2100000</v>
      </c>
      <c r="D8" s="497"/>
      <c r="E8" s="554"/>
      <c r="F8" s="687" t="s">
        <v>171</v>
      </c>
      <c r="G8" s="427">
        <v>2300000</v>
      </c>
      <c r="H8" s="689"/>
      <c r="I8" s="427"/>
      <c r="J8" s="721" t="s">
        <v>171</v>
      </c>
      <c r="K8" s="497">
        <v>2800000</v>
      </c>
      <c r="L8" s="295"/>
      <c r="M8" s="554"/>
    </row>
    <row r="9" spans="1:13" ht="14.1" customHeight="1" x14ac:dyDescent="0.2">
      <c r="A9" s="283"/>
      <c r="B9" s="498"/>
      <c r="C9" s="295"/>
      <c r="D9" s="497"/>
      <c r="E9" s="554"/>
      <c r="F9" s="687"/>
      <c r="G9" s="427"/>
      <c r="H9" s="689"/>
      <c r="I9" s="427"/>
      <c r="J9" s="721"/>
      <c r="K9" s="497"/>
      <c r="L9" s="295"/>
      <c r="M9" s="554"/>
    </row>
    <row r="10" spans="1:13" ht="14.1" customHeight="1" x14ac:dyDescent="0.2">
      <c r="A10" s="283"/>
      <c r="B10" s="553" t="s">
        <v>383</v>
      </c>
      <c r="C10" s="295"/>
      <c r="D10" s="497"/>
      <c r="E10" s="554"/>
      <c r="F10" s="688" t="s">
        <v>383</v>
      </c>
      <c r="G10" s="427"/>
      <c r="H10" s="689">
        <v>1218558.7</v>
      </c>
      <c r="I10" s="427"/>
      <c r="J10" s="553" t="s">
        <v>383</v>
      </c>
      <c r="K10" s="497"/>
      <c r="L10" s="295">
        <v>-79.56</v>
      </c>
      <c r="M10" s="554"/>
    </row>
    <row r="11" spans="1:13" ht="14.1" customHeight="1" x14ac:dyDescent="0.2">
      <c r="A11" s="283"/>
      <c r="B11" s="553" t="s">
        <v>381</v>
      </c>
      <c r="C11" s="295"/>
      <c r="D11" s="497">
        <v>942102.15</v>
      </c>
      <c r="E11" s="554"/>
      <c r="F11" s="688" t="s">
        <v>788</v>
      </c>
      <c r="G11" s="427"/>
      <c r="H11" s="689"/>
      <c r="I11" s="427"/>
      <c r="J11" s="553" t="s">
        <v>788</v>
      </c>
      <c r="K11" s="497"/>
      <c r="L11" s="295">
        <v>1500636</v>
      </c>
      <c r="M11" s="554"/>
    </row>
    <row r="12" spans="1:13" ht="14.1" customHeight="1" x14ac:dyDescent="0.2">
      <c r="A12" s="283"/>
      <c r="B12" s="553" t="s">
        <v>382</v>
      </c>
      <c r="C12" s="295"/>
      <c r="D12" s="497">
        <v>892028.12</v>
      </c>
      <c r="E12" s="554"/>
      <c r="F12" s="688" t="s">
        <v>616</v>
      </c>
      <c r="G12" s="427"/>
      <c r="H12" s="689">
        <v>1152391.98</v>
      </c>
      <c r="I12" s="427"/>
      <c r="J12" s="553" t="s">
        <v>616</v>
      </c>
      <c r="K12" s="497"/>
      <c r="L12" s="295">
        <v>1418023.15</v>
      </c>
      <c r="M12" s="554"/>
    </row>
    <row r="13" spans="1:13" ht="14.1" customHeight="1" x14ac:dyDescent="0.2">
      <c r="A13" s="283"/>
      <c r="B13" s="553" t="s">
        <v>384</v>
      </c>
      <c r="C13" s="295"/>
      <c r="D13" s="497">
        <v>264551.74</v>
      </c>
      <c r="E13" s="554"/>
      <c r="F13" s="688" t="s">
        <v>384</v>
      </c>
      <c r="G13" s="427"/>
      <c r="H13" s="689">
        <v>-561.12</v>
      </c>
      <c r="I13" s="427"/>
      <c r="J13" s="721"/>
      <c r="K13" s="497"/>
      <c r="L13" s="295">
        <v>7.08</v>
      </c>
      <c r="M13" s="554"/>
    </row>
    <row r="14" spans="1:13" ht="14.1" customHeight="1" x14ac:dyDescent="0.2">
      <c r="A14" s="283"/>
      <c r="B14" s="553" t="s">
        <v>789</v>
      </c>
      <c r="C14" s="295"/>
      <c r="D14" s="497"/>
      <c r="E14" s="554"/>
      <c r="F14" s="688" t="s">
        <v>789</v>
      </c>
      <c r="G14" s="427"/>
      <c r="H14" s="689">
        <v>332407.58</v>
      </c>
      <c r="I14" s="427"/>
      <c r="J14" s="553" t="s">
        <v>789</v>
      </c>
      <c r="K14" s="497"/>
      <c r="L14" s="295">
        <v>-997.83</v>
      </c>
      <c r="M14" s="554"/>
    </row>
    <row r="15" spans="1:13" ht="14.1" customHeight="1" x14ac:dyDescent="0.2">
      <c r="A15" s="283"/>
      <c r="B15" s="553" t="s">
        <v>790</v>
      </c>
      <c r="C15" s="295"/>
      <c r="D15" s="497"/>
      <c r="E15" s="554"/>
      <c r="F15" s="688" t="s">
        <v>790</v>
      </c>
      <c r="G15" s="427"/>
      <c r="H15" s="689">
        <v>0</v>
      </c>
      <c r="I15" s="427"/>
      <c r="J15" s="553" t="s">
        <v>790</v>
      </c>
      <c r="K15" s="497"/>
      <c r="L15" s="295">
        <v>150992.73000000001</v>
      </c>
      <c r="M15" s="554"/>
    </row>
    <row r="16" spans="1:13" ht="14.1" customHeight="1" x14ac:dyDescent="0.2">
      <c r="A16" s="283"/>
      <c r="B16" s="553"/>
      <c r="C16" s="295"/>
      <c r="D16" s="497"/>
      <c r="E16" s="554"/>
      <c r="F16" s="688" t="s">
        <v>385</v>
      </c>
      <c r="G16" s="427"/>
      <c r="H16" s="689">
        <v>106526</v>
      </c>
      <c r="I16" s="427"/>
      <c r="J16" s="553"/>
      <c r="K16" s="497"/>
      <c r="L16" s="295"/>
      <c r="M16" s="554"/>
    </row>
    <row r="17" spans="1:13" ht="14.1" customHeight="1" x14ac:dyDescent="0.2">
      <c r="A17" s="283"/>
      <c r="B17" s="553"/>
      <c r="C17" s="295"/>
      <c r="D17" s="497"/>
      <c r="E17" s="554"/>
      <c r="F17" s="688"/>
      <c r="G17" s="427"/>
      <c r="H17" s="689"/>
      <c r="I17" s="427"/>
      <c r="J17" s="900" t="s">
        <v>819</v>
      </c>
      <c r="K17" s="497"/>
      <c r="L17" s="295">
        <v>11315.2</v>
      </c>
      <c r="M17" s="554"/>
    </row>
    <row r="18" spans="1:13" ht="14.1" customHeight="1" thickBot="1" x14ac:dyDescent="0.25">
      <c r="A18" s="283"/>
      <c r="B18" s="703"/>
      <c r="C18" s="685"/>
      <c r="D18" s="555"/>
      <c r="E18" s="557"/>
      <c r="F18" s="690"/>
      <c r="G18" s="691"/>
      <c r="H18" s="692"/>
      <c r="I18" s="691"/>
      <c r="J18" s="901" t="s">
        <v>841</v>
      </c>
      <c r="K18" s="556"/>
      <c r="L18" s="685">
        <v>-88.4</v>
      </c>
      <c r="M18" s="557"/>
    </row>
    <row r="19" spans="1:13" ht="14.1" customHeight="1" x14ac:dyDescent="0.2">
      <c r="A19" s="283"/>
      <c r="B19" s="498" t="s">
        <v>172</v>
      </c>
      <c r="C19" s="295">
        <f>SUM(C8:C18)</f>
        <v>2100000</v>
      </c>
      <c r="D19" s="497">
        <f>SUM(D8:D18)</f>
        <v>2098682.0099999998</v>
      </c>
      <c r="E19" s="554">
        <f>+D19-C19</f>
        <v>-1317.9900000002235</v>
      </c>
      <c r="F19" s="687" t="s">
        <v>172</v>
      </c>
      <c r="G19" s="427">
        <f>SUM(G8:G18)</f>
        <v>2300000</v>
      </c>
      <c r="H19" s="689">
        <f>SUM(H8:H18)</f>
        <v>2809323.1399999997</v>
      </c>
      <c r="I19" s="427">
        <f>+H19-G19</f>
        <v>509323.13999999966</v>
      </c>
      <c r="J19" s="721"/>
      <c r="K19" s="497">
        <f>SUM(K8:K18)</f>
        <v>2800000</v>
      </c>
      <c r="L19" s="295">
        <f>SUM(L8:L18)</f>
        <v>3079808.37</v>
      </c>
      <c r="M19" s="554">
        <f>+L19-K19</f>
        <v>279808.37000000011</v>
      </c>
    </row>
    <row r="20" spans="1:13" ht="14.1" customHeight="1" x14ac:dyDescent="0.2">
      <c r="A20" s="283" t="s">
        <v>167</v>
      </c>
      <c r="B20" s="498"/>
      <c r="C20" s="295"/>
      <c r="D20" s="497"/>
      <c r="E20" s="554"/>
      <c r="F20" s="687"/>
      <c r="G20" s="427"/>
      <c r="H20" s="693"/>
      <c r="I20" s="427"/>
      <c r="J20" s="721"/>
      <c r="K20" s="497"/>
      <c r="L20" s="696"/>
      <c r="M20" s="554"/>
    </row>
    <row r="21" spans="1:13" ht="14.1" customHeight="1" x14ac:dyDescent="0.2">
      <c r="A21" s="283"/>
      <c r="B21" s="498" t="s">
        <v>173</v>
      </c>
      <c r="C21" s="295">
        <v>2100000</v>
      </c>
      <c r="D21" s="497"/>
      <c r="E21" s="554"/>
      <c r="F21" s="687" t="s">
        <v>173</v>
      </c>
      <c r="G21" s="427">
        <v>3270000</v>
      </c>
      <c r="H21" s="694"/>
      <c r="I21" s="427"/>
      <c r="J21" s="721" t="s">
        <v>173</v>
      </c>
      <c r="K21" s="497">
        <v>2800000</v>
      </c>
      <c r="L21" s="697"/>
      <c r="M21" s="554"/>
    </row>
    <row r="22" spans="1:13" ht="14.1" customHeight="1" x14ac:dyDescent="0.2">
      <c r="A22" s="283"/>
      <c r="B22" s="553" t="s">
        <v>174</v>
      </c>
      <c r="C22" s="295"/>
      <c r="D22" s="686">
        <v>-31.86</v>
      </c>
      <c r="E22" s="554"/>
      <c r="F22" s="688" t="s">
        <v>174</v>
      </c>
      <c r="G22" s="427"/>
      <c r="H22" s="694"/>
      <c r="I22" s="427"/>
      <c r="J22" s="721" t="s">
        <v>818</v>
      </c>
      <c r="K22" s="497">
        <v>-450000</v>
      </c>
      <c r="L22" s="697">
        <v>-450000</v>
      </c>
      <c r="M22" s="554"/>
    </row>
    <row r="23" spans="1:13" ht="14.1" customHeight="1" x14ac:dyDescent="0.2">
      <c r="A23" s="283"/>
      <c r="B23" s="553" t="s">
        <v>175</v>
      </c>
      <c r="C23" s="295">
        <v>-6800</v>
      </c>
      <c r="D23" s="686">
        <v>-6800</v>
      </c>
      <c r="E23" s="554"/>
      <c r="F23" s="688" t="s">
        <v>489</v>
      </c>
      <c r="G23" s="427">
        <f>41461-628938</f>
        <v>-587477</v>
      </c>
      <c r="H23" s="694"/>
      <c r="I23" s="427"/>
      <c r="J23" s="896"/>
      <c r="K23" s="497"/>
      <c r="L23" s="697"/>
      <c r="M23" s="554"/>
    </row>
    <row r="24" spans="1:13" ht="14.1" customHeight="1" x14ac:dyDescent="0.2">
      <c r="A24" s="283"/>
      <c r="B24" s="553" t="s">
        <v>824</v>
      </c>
      <c r="C24" s="295">
        <v>-766260</v>
      </c>
      <c r="D24" s="497">
        <v>-766260</v>
      </c>
      <c r="E24" s="554"/>
      <c r="F24" s="688" t="s">
        <v>489</v>
      </c>
      <c r="G24" s="427">
        <v>-202376</v>
      </c>
      <c r="H24" s="694"/>
      <c r="I24" s="427"/>
      <c r="J24" s="897" t="s">
        <v>836</v>
      </c>
      <c r="K24" s="497">
        <v>-594634</v>
      </c>
      <c r="L24" s="697">
        <f>+K24</f>
        <v>-594634</v>
      </c>
      <c r="M24" s="764" t="s">
        <v>826</v>
      </c>
    </row>
    <row r="25" spans="1:13" ht="14.1" customHeight="1" x14ac:dyDescent="0.2">
      <c r="A25" s="283"/>
      <c r="B25" s="553" t="s">
        <v>380</v>
      </c>
      <c r="C25" s="295">
        <v>-501250</v>
      </c>
      <c r="D25" s="497">
        <v>-501250</v>
      </c>
      <c r="E25" s="554"/>
      <c r="F25" s="688" t="s">
        <v>564</v>
      </c>
      <c r="G25" s="427">
        <f>-703409-350000-6800</f>
        <v>-1060209</v>
      </c>
      <c r="H25" s="694">
        <f>-Projection!D12-Projection!D15</f>
        <v>-1060208.3699999999</v>
      </c>
      <c r="I25" s="294"/>
      <c r="J25" s="897" t="s">
        <v>837</v>
      </c>
      <c r="K25" s="497">
        <v>-134111</v>
      </c>
      <c r="L25" s="697">
        <f>+K25</f>
        <v>-134111</v>
      </c>
      <c r="M25" s="764" t="s">
        <v>826</v>
      </c>
    </row>
    <row r="26" spans="1:13" ht="14.1" customHeight="1" x14ac:dyDescent="0.2">
      <c r="A26" s="283"/>
      <c r="B26" s="553" t="s">
        <v>825</v>
      </c>
      <c r="C26" s="295">
        <v>-710488</v>
      </c>
      <c r="D26" s="497">
        <v>-710488</v>
      </c>
      <c r="E26" s="554"/>
      <c r="F26" s="688" t="s">
        <v>740</v>
      </c>
      <c r="G26" s="427">
        <v>-946642</v>
      </c>
      <c r="H26" s="694">
        <v>-946642</v>
      </c>
      <c r="I26" s="294"/>
      <c r="J26" s="897" t="s">
        <v>838</v>
      </c>
      <c r="K26" s="497">
        <v>-156013</v>
      </c>
      <c r="L26" s="697">
        <f>+K26</f>
        <v>-156013</v>
      </c>
      <c r="M26" s="764" t="s">
        <v>826</v>
      </c>
    </row>
    <row r="27" spans="1:13" ht="14.1" customHeight="1" x14ac:dyDescent="0.2">
      <c r="A27" s="283"/>
      <c r="B27" s="553"/>
      <c r="C27" s="295"/>
      <c r="D27" s="497"/>
      <c r="E27" s="554"/>
      <c r="F27" s="688" t="s">
        <v>814</v>
      </c>
      <c r="G27" s="427">
        <v>-157327</v>
      </c>
      <c r="H27" s="694">
        <v>-157327</v>
      </c>
      <c r="I27" s="294"/>
      <c r="J27" s="898"/>
      <c r="K27" s="497"/>
      <c r="L27" s="697"/>
      <c r="M27" s="684"/>
    </row>
    <row r="28" spans="1:13" ht="14.1" customHeight="1" x14ac:dyDescent="0.2">
      <c r="A28" s="283"/>
      <c r="B28" s="553"/>
      <c r="C28" s="295"/>
      <c r="D28" s="497"/>
      <c r="E28" s="554"/>
      <c r="F28" s="688"/>
      <c r="G28" s="427"/>
      <c r="H28" s="694"/>
      <c r="I28" s="294"/>
      <c r="J28" s="498"/>
      <c r="K28" s="497"/>
      <c r="L28" s="697"/>
      <c r="M28" s="684"/>
    </row>
    <row r="29" spans="1:13" ht="14.1" customHeight="1" thickBot="1" x14ac:dyDescent="0.25">
      <c r="A29" s="283"/>
      <c r="B29" s="703"/>
      <c r="C29" s="685"/>
      <c r="D29" s="556"/>
      <c r="E29" s="557"/>
      <c r="F29" s="690"/>
      <c r="G29" s="691"/>
      <c r="H29" s="695"/>
      <c r="I29" s="691"/>
      <c r="J29" s="722"/>
      <c r="K29" s="556"/>
      <c r="L29" s="698"/>
      <c r="M29" s="557"/>
    </row>
    <row r="30" spans="1:13" ht="14.1" customHeight="1" x14ac:dyDescent="0.2">
      <c r="A30" s="283"/>
      <c r="B30" s="498" t="s">
        <v>176</v>
      </c>
      <c r="C30" s="295">
        <f>SUM(C21:C29)</f>
        <v>115202</v>
      </c>
      <c r="D30" s="497">
        <f>SUM(D21:D29)</f>
        <v>-1984829.8599999999</v>
      </c>
      <c r="E30" s="497"/>
      <c r="F30" s="545" t="s">
        <v>176</v>
      </c>
      <c r="G30" s="427">
        <f>SUM(G20:G29)</f>
        <v>315969</v>
      </c>
      <c r="H30" s="689">
        <f>SUM(H21:H29)</f>
        <v>-2164177.37</v>
      </c>
      <c r="I30" s="699"/>
      <c r="J30" s="723"/>
      <c r="K30" s="497">
        <f>SUM(K20:K29)</f>
        <v>1465242</v>
      </c>
      <c r="L30" s="295">
        <f>SUM(L21:L29)</f>
        <v>-1334758</v>
      </c>
      <c r="M30" s="554"/>
    </row>
    <row r="31" spans="1:13" ht="14.1" customHeight="1" thickBot="1" x14ac:dyDescent="0.25">
      <c r="A31" s="290" t="s">
        <v>177</v>
      </c>
      <c r="B31" s="290"/>
      <c r="C31" s="290"/>
      <c r="D31" s="291">
        <f>+D30+D19</f>
        <v>113852.14999999991</v>
      </c>
      <c r="E31" s="291"/>
      <c r="F31" s="290"/>
      <c r="G31" s="291"/>
      <c r="H31" s="291">
        <f>+H30+H19</f>
        <v>645145.76999999955</v>
      </c>
      <c r="I31" s="291"/>
      <c r="J31" s="700"/>
      <c r="K31" s="291"/>
      <c r="L31" s="291">
        <f>+L30+L19</f>
        <v>1745050.37</v>
      </c>
      <c r="M31" s="291"/>
    </row>
    <row r="32" spans="1:13" ht="14.1" customHeight="1" x14ac:dyDescent="0.2">
      <c r="B32" s="545" t="s">
        <v>815</v>
      </c>
      <c r="C32" s="546"/>
      <c r="D32" s="899">
        <f>+D31</f>
        <v>113852.14999999991</v>
      </c>
      <c r="E32" s="546"/>
      <c r="F32" s="545"/>
      <c r="G32" s="547"/>
      <c r="H32" s="585">
        <f>+D31</f>
        <v>113852.14999999991</v>
      </c>
      <c r="I32" s="583"/>
      <c r="J32" s="547"/>
      <c r="K32" s="547"/>
      <c r="L32" s="585">
        <f>+H33</f>
        <v>758997.91999999946</v>
      </c>
      <c r="M32" s="583"/>
    </row>
    <row r="33" spans="1:13" ht="14.1" customHeight="1" x14ac:dyDescent="0.2">
      <c r="B33" s="548" t="s">
        <v>614</v>
      </c>
      <c r="C33" s="549"/>
      <c r="D33" s="550"/>
      <c r="E33" s="549"/>
      <c r="F33" s="548"/>
      <c r="G33" s="551"/>
      <c r="H33" s="766">
        <f>+H32+H31</f>
        <v>758997.91999999946</v>
      </c>
      <c r="I33" s="584"/>
      <c r="J33" s="551"/>
      <c r="K33" s="551"/>
      <c r="L33" s="766">
        <f>+L32+L31</f>
        <v>2504048.2899999996</v>
      </c>
      <c r="M33" s="584"/>
    </row>
    <row r="34" spans="1:13" ht="14.1" customHeight="1" x14ac:dyDescent="0.2">
      <c r="A34" s="705" t="s">
        <v>742</v>
      </c>
      <c r="B34" s="706"/>
      <c r="C34" s="707" t="s">
        <v>734</v>
      </c>
      <c r="D34" s="708">
        <v>0</v>
      </c>
      <c r="E34" s="706"/>
      <c r="F34" s="709"/>
      <c r="G34" s="707" t="s">
        <v>734</v>
      </c>
      <c r="H34" s="710">
        <f>+D37</f>
        <v>1262493.7599999998</v>
      </c>
      <c r="I34" s="706"/>
      <c r="J34" s="713"/>
      <c r="K34" s="707" t="s">
        <v>734</v>
      </c>
      <c r="L34" s="710">
        <f>+H37</f>
        <v>1925361.7999999993</v>
      </c>
    </row>
    <row r="35" spans="1:13" ht="14.1" customHeight="1" x14ac:dyDescent="0.2">
      <c r="A35" s="709"/>
      <c r="B35" s="706"/>
      <c r="C35" s="706" t="s">
        <v>170</v>
      </c>
      <c r="D35" s="708">
        <v>2098682.0099999998</v>
      </c>
      <c r="E35" s="706"/>
      <c r="F35" s="709"/>
      <c r="G35" s="706" t="s">
        <v>170</v>
      </c>
      <c r="H35" s="710">
        <f>+H19</f>
        <v>2809323.1399999997</v>
      </c>
      <c r="I35" s="706"/>
      <c r="J35" s="713"/>
      <c r="K35" s="706" t="s">
        <v>170</v>
      </c>
      <c r="L35" s="710">
        <f>+L19</f>
        <v>3079808.37</v>
      </c>
    </row>
    <row r="36" spans="1:13" ht="14.1" customHeight="1" thickBot="1" x14ac:dyDescent="0.25">
      <c r="A36" s="709"/>
      <c r="B36" s="706"/>
      <c r="C36" s="711" t="s">
        <v>732</v>
      </c>
      <c r="D36" s="712">
        <v>-836188.25</v>
      </c>
      <c r="E36" s="706"/>
      <c r="F36" s="713"/>
      <c r="G36" s="711" t="s">
        <v>732</v>
      </c>
      <c r="H36" s="714">
        <v>-2146455.1</v>
      </c>
      <c r="I36" s="706"/>
      <c r="J36" s="713"/>
      <c r="K36" s="711" t="s">
        <v>732</v>
      </c>
      <c r="L36" s="714">
        <v>-573332</v>
      </c>
    </row>
    <row r="37" spans="1:13" ht="14.1" customHeight="1" x14ac:dyDescent="0.2">
      <c r="A37" s="715"/>
      <c r="B37" s="716"/>
      <c r="C37" s="717" t="s">
        <v>733</v>
      </c>
      <c r="D37" s="718">
        <f>+D36+D35+D34</f>
        <v>1262493.7599999998</v>
      </c>
      <c r="E37" s="717"/>
      <c r="F37" s="719"/>
      <c r="G37" s="717" t="s">
        <v>733</v>
      </c>
      <c r="H37" s="720">
        <f>+H36+H35+H34</f>
        <v>1925361.7999999993</v>
      </c>
      <c r="I37" s="717"/>
      <c r="J37" s="719"/>
      <c r="K37" s="717" t="s">
        <v>733</v>
      </c>
      <c r="L37" s="720">
        <f>+L36+L35+L34</f>
        <v>4431838.17</v>
      </c>
    </row>
    <row r="38" spans="1:13" ht="14.1" customHeight="1" x14ac:dyDescent="0.2">
      <c r="D38" s="284"/>
      <c r="J38" s="765"/>
    </row>
    <row r="39" spans="1:13" ht="14.1" customHeight="1" x14ac:dyDescent="0.2">
      <c r="F39" s="127"/>
      <c r="G39" s="127"/>
      <c r="H39" s="284"/>
      <c r="I39" s="127"/>
    </row>
    <row r="40" spans="1:13" ht="14.1" customHeight="1" x14ac:dyDescent="0.2">
      <c r="F40" s="127"/>
      <c r="G40" s="127"/>
      <c r="H40" s="284"/>
      <c r="I40" s="127"/>
    </row>
    <row r="41" spans="1:13" ht="14.1" customHeight="1" x14ac:dyDescent="0.2">
      <c r="F41" s="127"/>
      <c r="G41" s="127"/>
      <c r="H41" s="284"/>
      <c r="I41" s="127"/>
    </row>
    <row r="42" spans="1:13" ht="14.1" customHeight="1" x14ac:dyDescent="0.2">
      <c r="F42" s="127"/>
      <c r="G42" s="127"/>
      <c r="H42" s="127"/>
      <c r="I42" s="127"/>
    </row>
    <row r="43" spans="1:13" ht="14.1" customHeight="1" x14ac:dyDescent="0.2">
      <c r="F43" s="127"/>
      <c r="G43" s="127"/>
      <c r="H43" s="127"/>
      <c r="I43" s="127"/>
    </row>
    <row r="44" spans="1:13" ht="14.1" customHeight="1" x14ac:dyDescent="0.2">
      <c r="F44" s="127"/>
      <c r="G44" s="127"/>
      <c r="H44" s="127"/>
      <c r="I44" s="127"/>
    </row>
    <row r="45" spans="1:13" ht="14.1" customHeight="1" x14ac:dyDescent="0.2">
      <c r="F45" s="127"/>
      <c r="G45" s="127"/>
      <c r="H45" s="127"/>
      <c r="I45" s="127"/>
    </row>
    <row r="46" spans="1:13" ht="14.1" customHeight="1" x14ac:dyDescent="0.2">
      <c r="F46" s="127"/>
      <c r="G46" s="127"/>
      <c r="H46" s="127"/>
      <c r="I46" s="127"/>
    </row>
    <row r="47" spans="1:13" ht="14.1" customHeight="1" x14ac:dyDescent="0.2">
      <c r="F47" s="127"/>
      <c r="G47" s="127"/>
      <c r="H47" s="127"/>
      <c r="I47" s="127"/>
    </row>
    <row r="48" spans="1:13" ht="14.1" customHeight="1" x14ac:dyDescent="0.2">
      <c r="F48" s="127"/>
      <c r="G48" s="127"/>
      <c r="H48" s="127"/>
      <c r="I48" s="127"/>
    </row>
    <row r="49" spans="6:9" ht="14.1" customHeight="1" x14ac:dyDescent="0.2">
      <c r="F49" s="127"/>
      <c r="G49" s="127"/>
      <c r="H49" s="127"/>
      <c r="I49" s="127"/>
    </row>
    <row r="50" spans="6:9" ht="14.1" customHeight="1" x14ac:dyDescent="0.2">
      <c r="F50" s="127"/>
      <c r="G50" s="127"/>
      <c r="H50" s="127"/>
      <c r="I50" s="127"/>
    </row>
    <row r="51" spans="6:9" ht="14.1" customHeight="1" x14ac:dyDescent="0.2">
      <c r="F51" s="127"/>
      <c r="G51" s="127"/>
      <c r="H51" s="127"/>
      <c r="I51" s="127"/>
    </row>
    <row r="52" spans="6:9" ht="14.1" customHeight="1" x14ac:dyDescent="0.2">
      <c r="F52" s="127"/>
      <c r="G52" s="127"/>
      <c r="H52" s="127"/>
      <c r="I52" s="127"/>
    </row>
    <row r="53" spans="6:9" ht="14.1" customHeight="1" x14ac:dyDescent="0.2">
      <c r="F53" s="127"/>
      <c r="G53" s="127"/>
      <c r="H53" s="127"/>
      <c r="I53" s="127"/>
    </row>
    <row r="54" spans="6:9" ht="14.1" customHeight="1" x14ac:dyDescent="0.2">
      <c r="F54" s="127"/>
      <c r="G54" s="127"/>
      <c r="H54" s="127"/>
      <c r="I54" s="127"/>
    </row>
    <row r="55" spans="6:9" ht="14.1" customHeight="1" x14ac:dyDescent="0.2">
      <c r="F55" s="127"/>
      <c r="G55" s="127"/>
      <c r="H55" s="127"/>
      <c r="I55" s="127"/>
    </row>
    <row r="56" spans="6:9" ht="14.1" customHeight="1" x14ac:dyDescent="0.2">
      <c r="F56" s="127"/>
      <c r="G56" s="127"/>
      <c r="H56" s="127"/>
      <c r="I56" s="127"/>
    </row>
    <row r="57" spans="6:9" ht="14.1" customHeight="1" x14ac:dyDescent="0.2">
      <c r="F57" s="127"/>
      <c r="G57" s="127"/>
      <c r="H57" s="127"/>
      <c r="I57" s="127"/>
    </row>
    <row r="58" spans="6:9" ht="14.1" customHeight="1" x14ac:dyDescent="0.2">
      <c r="F58" s="127"/>
      <c r="G58" s="127"/>
      <c r="H58" s="127"/>
      <c r="I58" s="127"/>
    </row>
  </sheetData>
  <mergeCells count="5">
    <mergeCell ref="B5:E5"/>
    <mergeCell ref="F5:I5"/>
    <mergeCell ref="A1:M1"/>
    <mergeCell ref="A2:M2"/>
    <mergeCell ref="A3:M3"/>
  </mergeCells>
  <pageMargins left="0" right="0" top="0.75" bottom="0.75" header="0.3" footer="0.3"/>
  <pageSetup scale="89" orientation="landscape" horizontalDpi="1200" verticalDpi="1200" r:id="rId1"/>
  <headerFoot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R1_file</vt:lpstr>
      <vt:lpstr>R2_file</vt:lpstr>
      <vt:lpstr>R3_file</vt:lpstr>
      <vt:lpstr>Banner accts</vt:lpstr>
      <vt:lpstr>09-10_R1 YTD</vt:lpstr>
      <vt:lpstr>09-10 R2 approved</vt:lpstr>
      <vt:lpstr>10-11_R3 approved</vt:lpstr>
      <vt:lpstr>Projection</vt:lpstr>
      <vt:lpstr>Banner YTD</vt:lpstr>
      <vt:lpstr>Master_approved projects</vt:lpstr>
      <vt:lpstr>'09-10 R2 approved'!Print_Area</vt:lpstr>
      <vt:lpstr>'09-10_R1 YTD'!Print_Area</vt:lpstr>
      <vt:lpstr>'Banner accts'!Print_Area</vt:lpstr>
      <vt:lpstr>'Banner YTD'!Print_Area</vt:lpstr>
      <vt:lpstr>'Master_approved projects'!Print_Area</vt:lpstr>
      <vt:lpstr>Projection!Print_Area</vt:lpstr>
      <vt:lpstr>'R2_file'!Print_Area</vt:lpstr>
      <vt:lpstr>'Master_approved projects'!Print_Titles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jball</dc:creator>
  <cp:lastModifiedBy>Jie Shi</cp:lastModifiedBy>
  <cp:lastPrinted>2011-10-26T12:47:22Z</cp:lastPrinted>
  <dcterms:created xsi:type="dcterms:W3CDTF">2009-11-16T14:26:19Z</dcterms:created>
  <dcterms:modified xsi:type="dcterms:W3CDTF">2012-01-31T19:02:29Z</dcterms:modified>
</cp:coreProperties>
</file>