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35" windowWidth="15120" windowHeight="7905" activeTab="5"/>
  </bookViews>
  <sheets>
    <sheet name="Pay schedule" sheetId="2" r:id="rId1"/>
    <sheet name="Univ. Plan" sheetId="6" r:id="rId2"/>
    <sheet name="2008-09" sheetId="1" r:id="rId3"/>
    <sheet name="2009-10" sheetId="4" r:id="rId4"/>
    <sheet name="2010-11" sheetId="5" r:id="rId5"/>
    <sheet name="2011-12" sheetId="7" r:id="rId6"/>
    <sheet name="Acct Summary" sheetId="3" r:id="rId7"/>
  </sheets>
  <externalReferences>
    <externalReference r:id="rId8"/>
  </externalReferences>
  <definedNames>
    <definedName name="_xlnm.Print_Area" localSheetId="2">'2008-09'!$A$1:$R$69</definedName>
    <definedName name="_xlnm.Print_Area" localSheetId="3">'2009-10'!$A$1:$P$70</definedName>
    <definedName name="_xlnm.Print_Area" localSheetId="4">'2010-11'!$A$1:$P$75</definedName>
    <definedName name="_xlnm.Print_Area" localSheetId="5">'2011-12'!$A$1:$P$81</definedName>
    <definedName name="_xlnm.Print_Area" localSheetId="6">'Acct Summary'!$A$1:$H$30</definedName>
    <definedName name="_xlnm.Print_Area" localSheetId="0">'Pay schedule'!$A$1:$H$39</definedName>
    <definedName name="_xlnm.Print_Area" localSheetId="1">'Univ. Plan'!$A$1:$L$35</definedName>
    <definedName name="_xlnm.Print_Titles" localSheetId="2">'2008-09'!$A:$O</definedName>
  </definedNames>
  <calcPr calcId="145621"/>
</workbook>
</file>

<file path=xl/calcChain.xml><?xml version="1.0" encoding="utf-8"?>
<calcChain xmlns="http://schemas.openxmlformats.org/spreadsheetml/2006/main">
  <c r="G77" i="7" l="1"/>
  <c r="G45" i="7"/>
  <c r="F78" i="7" l="1"/>
  <c r="F77" i="7"/>
  <c r="F45" i="7"/>
  <c r="E78" i="7" l="1"/>
  <c r="E77" i="7"/>
  <c r="E45" i="7"/>
  <c r="D78" i="7" l="1"/>
  <c r="D77" i="7"/>
  <c r="D45" i="7"/>
  <c r="C77" i="7"/>
  <c r="N30" i="7" l="1"/>
  <c r="N29" i="7"/>
  <c r="N28" i="7"/>
  <c r="N27" i="7"/>
  <c r="F8" i="3"/>
  <c r="F9" i="3" s="1"/>
  <c r="F24" i="3"/>
  <c r="E24" i="3"/>
  <c r="D24" i="3"/>
  <c r="C24" i="3"/>
  <c r="H23" i="3"/>
  <c r="H22" i="3"/>
  <c r="H21" i="3"/>
  <c r="H20" i="3"/>
  <c r="G19" i="3"/>
  <c r="H19" i="3" s="1"/>
  <c r="H18" i="3"/>
  <c r="H17" i="3"/>
  <c r="H16" i="3"/>
  <c r="H15" i="3"/>
  <c r="G12" i="3"/>
  <c r="E11" i="3"/>
  <c r="D11" i="3"/>
  <c r="G9" i="3"/>
  <c r="E8" i="3"/>
  <c r="E9" i="3" s="1"/>
  <c r="D8" i="3"/>
  <c r="C8" i="3"/>
  <c r="E7" i="3"/>
  <c r="D7" i="3"/>
  <c r="C7" i="3"/>
  <c r="H7" i="3" l="1"/>
  <c r="D9" i="3"/>
  <c r="H9" i="3" s="1"/>
  <c r="C9" i="3"/>
  <c r="E12" i="3"/>
  <c r="H24" i="3"/>
  <c r="C12" i="3"/>
  <c r="C25" i="3" s="1"/>
  <c r="C27" i="3" s="1"/>
  <c r="G24" i="3"/>
  <c r="D12" i="3"/>
  <c r="H8" i="3"/>
  <c r="B79" i="7"/>
  <c r="N76" i="7"/>
  <c r="N75" i="7"/>
  <c r="N74" i="7"/>
  <c r="N73" i="7"/>
  <c r="N72" i="7"/>
  <c r="N71" i="7"/>
  <c r="N70" i="7"/>
  <c r="N69" i="7"/>
  <c r="N68" i="7"/>
  <c r="N67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48" i="7"/>
  <c r="N46" i="7"/>
  <c r="N44" i="7"/>
  <c r="M41" i="7"/>
  <c r="L41" i="7"/>
  <c r="K41" i="7"/>
  <c r="J41" i="7"/>
  <c r="I41" i="7"/>
  <c r="H41" i="7"/>
  <c r="G41" i="7"/>
  <c r="F41" i="7"/>
  <c r="E41" i="7"/>
  <c r="D41" i="7"/>
  <c r="C41" i="7"/>
  <c r="B41" i="7"/>
  <c r="N40" i="7"/>
  <c r="N39" i="7"/>
  <c r="N38" i="7"/>
  <c r="N37" i="7"/>
  <c r="N36" i="7"/>
  <c r="N35" i="7"/>
  <c r="N34" i="7"/>
  <c r="M31" i="7"/>
  <c r="L31" i="7"/>
  <c r="K31" i="7"/>
  <c r="J31" i="7"/>
  <c r="I31" i="7"/>
  <c r="H31" i="7"/>
  <c r="G31" i="7"/>
  <c r="F31" i="7"/>
  <c r="E31" i="7"/>
  <c r="D31" i="7"/>
  <c r="C31" i="7"/>
  <c r="B31" i="7"/>
  <c r="N26" i="7"/>
  <c r="N25" i="7"/>
  <c r="M22" i="7"/>
  <c r="L22" i="7"/>
  <c r="K22" i="7"/>
  <c r="J22" i="7"/>
  <c r="I22" i="7"/>
  <c r="H22" i="7"/>
  <c r="G22" i="7"/>
  <c r="F22" i="7"/>
  <c r="E22" i="7"/>
  <c r="D22" i="7"/>
  <c r="C22" i="7"/>
  <c r="N21" i="7"/>
  <c r="N20" i="7"/>
  <c r="N19" i="7"/>
  <c r="N18" i="7"/>
  <c r="N17" i="7"/>
  <c r="L14" i="7"/>
  <c r="K14" i="7"/>
  <c r="J14" i="7"/>
  <c r="I14" i="7"/>
  <c r="H14" i="7"/>
  <c r="G14" i="7"/>
  <c r="F14" i="7"/>
  <c r="E14" i="7"/>
  <c r="D14" i="7"/>
  <c r="C14" i="7"/>
  <c r="M12" i="7"/>
  <c r="M14" i="7" s="1"/>
  <c r="N8" i="7"/>
  <c r="D25" i="3" l="1"/>
  <c r="E25" i="3" s="1"/>
  <c r="D27" i="3"/>
  <c r="C79" i="7"/>
  <c r="N41" i="7"/>
  <c r="P75" i="7" s="1"/>
  <c r="O38" i="7"/>
  <c r="N31" i="7"/>
  <c r="P74" i="7"/>
  <c r="O20" i="7"/>
  <c r="B14" i="7"/>
  <c r="N14" i="7" s="1"/>
  <c r="B16" i="7"/>
  <c r="N12" i="7"/>
  <c r="E27" i="3" l="1"/>
  <c r="D79" i="7"/>
  <c r="N78" i="7"/>
  <c r="N16" i="7"/>
  <c r="N22" i="7" s="1"/>
  <c r="B22" i="7"/>
  <c r="E79" i="7"/>
  <c r="F79" i="7" l="1"/>
  <c r="H79" i="7"/>
  <c r="G79" i="7"/>
  <c r="N39" i="5"/>
  <c r="I79" i="7" l="1"/>
  <c r="N77" i="7" l="1"/>
  <c r="J79" i="7"/>
  <c r="K79" i="7" l="1"/>
  <c r="L79" i="7" l="1"/>
  <c r="H72" i="5"/>
  <c r="N69" i="5"/>
  <c r="N68" i="5"/>
  <c r="N67" i="5"/>
  <c r="N66" i="5"/>
  <c r="C71" i="5"/>
  <c r="C45" i="5"/>
  <c r="M21" i="4"/>
  <c r="M79" i="7" l="1"/>
  <c r="J72" i="5"/>
  <c r="I72" i="5"/>
  <c r="D45" i="5"/>
  <c r="D71" i="5"/>
  <c r="L24" i="6"/>
  <c r="K20" i="6"/>
  <c r="J20" i="6"/>
  <c r="I20" i="6"/>
  <c r="H20" i="6"/>
  <c r="G20" i="6"/>
  <c r="F20" i="6"/>
  <c r="E20" i="6"/>
  <c r="D20" i="6"/>
  <c r="K10" i="6"/>
  <c r="J10" i="6"/>
  <c r="I10" i="6"/>
  <c r="H10" i="6"/>
  <c r="G10" i="6"/>
  <c r="F10" i="6"/>
  <c r="E10" i="6"/>
  <c r="D10" i="6"/>
  <c r="B26" i="6"/>
  <c r="C73" i="5"/>
  <c r="B73" i="5"/>
  <c r="N70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4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N38" i="5"/>
  <c r="N37" i="5"/>
  <c r="N36" i="5"/>
  <c r="N35" i="5"/>
  <c r="N34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N29" i="5"/>
  <c r="N28" i="5"/>
  <c r="N27" i="5"/>
  <c r="N26" i="5"/>
  <c r="N25" i="5"/>
  <c r="M22" i="5"/>
  <c r="L22" i="5"/>
  <c r="K22" i="5"/>
  <c r="J22" i="5"/>
  <c r="I22" i="5"/>
  <c r="H22" i="5"/>
  <c r="F22" i="5"/>
  <c r="E22" i="5"/>
  <c r="D22" i="5"/>
  <c r="N21" i="5"/>
  <c r="C22" i="5"/>
  <c r="G22" i="5"/>
  <c r="N18" i="5"/>
  <c r="N17" i="5"/>
  <c r="L14" i="5"/>
  <c r="K14" i="5"/>
  <c r="J14" i="5"/>
  <c r="I14" i="5"/>
  <c r="H14" i="5"/>
  <c r="F14" i="5"/>
  <c r="E14" i="5"/>
  <c r="D14" i="5"/>
  <c r="C14" i="5"/>
  <c r="M12" i="5"/>
  <c r="M14" i="5" s="1"/>
  <c r="G14" i="5"/>
  <c r="P64" i="4"/>
  <c r="R64" i="1"/>
  <c r="R65" i="1"/>
  <c r="F68" i="4"/>
  <c r="E68" i="4"/>
  <c r="D68" i="4"/>
  <c r="C68" i="4"/>
  <c r="B68" i="4"/>
  <c r="I67" i="4"/>
  <c r="H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H44" i="4"/>
  <c r="G44" i="4"/>
  <c r="N43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C19" i="6" s="1"/>
  <c r="L19" i="6" s="1"/>
  <c r="N38" i="4"/>
  <c r="C18" i="6" s="1"/>
  <c r="N37" i="4"/>
  <c r="C15" i="6" s="1"/>
  <c r="N36" i="4"/>
  <c r="N35" i="4"/>
  <c r="C16" i="6" s="1"/>
  <c r="N34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N29" i="4"/>
  <c r="N28" i="4"/>
  <c r="N27" i="4"/>
  <c r="N26" i="4"/>
  <c r="N25" i="4"/>
  <c r="M22" i="4"/>
  <c r="L22" i="4"/>
  <c r="K22" i="4"/>
  <c r="J22" i="4"/>
  <c r="I22" i="4"/>
  <c r="H22" i="4"/>
  <c r="F22" i="4"/>
  <c r="E22" i="4"/>
  <c r="D22" i="4"/>
  <c r="N21" i="4"/>
  <c r="G20" i="4"/>
  <c r="C20" i="4"/>
  <c r="C22" i="4" s="1"/>
  <c r="G19" i="4"/>
  <c r="N18" i="4"/>
  <c r="N17" i="4"/>
  <c r="C8" i="6" s="1"/>
  <c r="L14" i="4"/>
  <c r="K14" i="4"/>
  <c r="J14" i="4"/>
  <c r="I14" i="4"/>
  <c r="H14" i="4"/>
  <c r="F14" i="4"/>
  <c r="E14" i="4"/>
  <c r="D14" i="4"/>
  <c r="C14" i="4"/>
  <c r="M12" i="4"/>
  <c r="M14" i="4" s="1"/>
  <c r="G12" i="4"/>
  <c r="I56" i="2"/>
  <c r="I55" i="2"/>
  <c r="I54" i="2"/>
  <c r="I53" i="2"/>
  <c r="I52" i="2"/>
  <c r="I51" i="2"/>
  <c r="I50" i="2"/>
  <c r="I49" i="2"/>
  <c r="I48" i="2"/>
  <c r="I47" i="2"/>
  <c r="I46" i="2"/>
  <c r="I45" i="2"/>
  <c r="C57" i="2"/>
  <c r="H57" i="2"/>
  <c r="G57" i="2"/>
  <c r="F57" i="2"/>
  <c r="E57" i="2"/>
  <c r="D57" i="2"/>
  <c r="H19" i="1"/>
  <c r="O19" i="1" s="1"/>
  <c r="H18" i="1"/>
  <c r="H31" i="2"/>
  <c r="G31" i="2"/>
  <c r="G30" i="2"/>
  <c r="G28" i="2"/>
  <c r="G27" i="2"/>
  <c r="G26" i="2"/>
  <c r="G25" i="2"/>
  <c r="G24" i="2"/>
  <c r="G23" i="2"/>
  <c r="C37" i="2"/>
  <c r="C34" i="2"/>
  <c r="C35" i="2" s="1"/>
  <c r="C36" i="2" s="1"/>
  <c r="C32" i="2"/>
  <c r="H32" i="2" s="1"/>
  <c r="F17" i="2"/>
  <c r="F16" i="2"/>
  <c r="F15" i="2"/>
  <c r="F14" i="2"/>
  <c r="F13" i="2"/>
  <c r="F8" i="2"/>
  <c r="F7" i="2"/>
  <c r="F6" i="2"/>
  <c r="F5" i="2"/>
  <c r="F4" i="2"/>
  <c r="N66" i="1"/>
  <c r="O66" i="1" s="1"/>
  <c r="O68" i="1"/>
  <c r="R63" i="1" s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16" i="1"/>
  <c r="B17" i="1"/>
  <c r="O17" i="1" s="1"/>
  <c r="B8" i="6" s="1"/>
  <c r="O18" i="1"/>
  <c r="O20" i="1"/>
  <c r="B21" i="1"/>
  <c r="C21" i="1"/>
  <c r="D21" i="1"/>
  <c r="E21" i="1"/>
  <c r="O65" i="1"/>
  <c r="O64" i="1"/>
  <c r="O63" i="1"/>
  <c r="F45" i="1"/>
  <c r="O45" i="1" s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4" i="1"/>
  <c r="O69" i="1"/>
  <c r="O43" i="1"/>
  <c r="O38" i="1"/>
  <c r="B18" i="6" s="1"/>
  <c r="O36" i="1"/>
  <c r="B17" i="6" s="1"/>
  <c r="O35" i="1"/>
  <c r="B16" i="6" s="1"/>
  <c r="O37" i="1"/>
  <c r="B15" i="6" s="1"/>
  <c r="O34" i="1"/>
  <c r="B14" i="6" s="1"/>
  <c r="L14" i="6" s="1"/>
  <c r="O42" i="1"/>
  <c r="O30" i="1"/>
  <c r="O28" i="1"/>
  <c r="O27" i="1"/>
  <c r="O29" i="1"/>
  <c r="O26" i="1"/>
  <c r="M67" i="1"/>
  <c r="L67" i="1"/>
  <c r="K67" i="1"/>
  <c r="J67" i="1"/>
  <c r="I67" i="1"/>
  <c r="H67" i="1"/>
  <c r="G67" i="1"/>
  <c r="E67" i="1"/>
  <c r="D67" i="1"/>
  <c r="C67" i="1"/>
  <c r="B67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22" i="1"/>
  <c r="M22" i="1"/>
  <c r="L22" i="1"/>
  <c r="K22" i="1"/>
  <c r="J22" i="1"/>
  <c r="I22" i="1"/>
  <c r="G22" i="1"/>
  <c r="F22" i="1"/>
  <c r="E22" i="1"/>
  <c r="D22" i="1"/>
  <c r="C2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2" i="1"/>
  <c r="O11" i="1"/>
  <c r="O10" i="1"/>
  <c r="O9" i="1"/>
  <c r="B22" i="1" l="1"/>
  <c r="F11" i="3"/>
  <c r="F12" i="3" s="1"/>
  <c r="F25" i="3" s="1"/>
  <c r="D29" i="6"/>
  <c r="E45" i="5"/>
  <c r="K72" i="5"/>
  <c r="M72" i="5" s="1"/>
  <c r="L72" i="5"/>
  <c r="H11" i="3"/>
  <c r="H12" i="3" s="1"/>
  <c r="N45" i="7"/>
  <c r="N79" i="7" s="1"/>
  <c r="B9" i="6"/>
  <c r="N67" i="1"/>
  <c r="N31" i="4"/>
  <c r="O38" i="4"/>
  <c r="D73" i="5"/>
  <c r="E71" i="5"/>
  <c r="F71" i="5" s="1"/>
  <c r="I57" i="2"/>
  <c r="L15" i="6"/>
  <c r="C17" i="6"/>
  <c r="L17" i="6" s="1"/>
  <c r="G68" i="4"/>
  <c r="F20" i="2"/>
  <c r="G20" i="2" s="1"/>
  <c r="G33" i="2"/>
  <c r="C29" i="6"/>
  <c r="O38" i="5"/>
  <c r="F67" i="1"/>
  <c r="H22" i="1"/>
  <c r="I66" i="4"/>
  <c r="G22" i="4"/>
  <c r="N31" i="5"/>
  <c r="L8" i="6"/>
  <c r="L18" i="6"/>
  <c r="L16" i="6"/>
  <c r="C20" i="6"/>
  <c r="B10" i="6"/>
  <c r="B20" i="6"/>
  <c r="N41" i="5"/>
  <c r="P69" i="5" s="1"/>
  <c r="N19" i="5"/>
  <c r="N12" i="5"/>
  <c r="N20" i="5"/>
  <c r="N12" i="4"/>
  <c r="N40" i="4"/>
  <c r="P63" i="4" s="1"/>
  <c r="O31" i="1"/>
  <c r="G14" i="4"/>
  <c r="N19" i="4"/>
  <c r="I44" i="4"/>
  <c r="I68" i="4" s="1"/>
  <c r="J66" i="4"/>
  <c r="K66" i="4" s="1"/>
  <c r="J67" i="4"/>
  <c r="H68" i="4"/>
  <c r="N20" i="4"/>
  <c r="J44" i="4"/>
  <c r="J68" i="4" s="1"/>
  <c r="O21" i="1"/>
  <c r="O39" i="1"/>
  <c r="O14" i="1"/>
  <c r="Q14" i="1" s="1"/>
  <c r="Q20" i="1"/>
  <c r="H33" i="2"/>
  <c r="F11" i="2"/>
  <c r="G11" i="2" s="1"/>
  <c r="F45" i="5" l="1"/>
  <c r="F27" i="3"/>
  <c r="G25" i="3"/>
  <c r="G27" i="3" s="1"/>
  <c r="G71" i="5"/>
  <c r="H71" i="5"/>
  <c r="O67" i="1"/>
  <c r="E73" i="5"/>
  <c r="I71" i="5"/>
  <c r="J71" i="5"/>
  <c r="L66" i="4"/>
  <c r="M66" i="4" s="1"/>
  <c r="K67" i="4"/>
  <c r="L67" i="4" s="1"/>
  <c r="L20" i="6"/>
  <c r="B29" i="6"/>
  <c r="B32" i="6" s="1"/>
  <c r="B28" i="6"/>
  <c r="B22" i="6"/>
  <c r="O20" i="5"/>
  <c r="N72" i="5"/>
  <c r="P68" i="5"/>
  <c r="O20" i="4"/>
  <c r="R62" i="1"/>
  <c r="O22" i="1"/>
  <c r="R61" i="1" s="1"/>
  <c r="R67" i="1" s="1"/>
  <c r="K44" i="4"/>
  <c r="L44" i="4" s="1"/>
  <c r="P62" i="4"/>
  <c r="Q22" i="1"/>
  <c r="K71" i="5" l="1"/>
  <c r="G45" i="5"/>
  <c r="G73" i="5" s="1"/>
  <c r="H45" i="5"/>
  <c r="H73" i="5" s="1"/>
  <c r="F73" i="5"/>
  <c r="I45" i="5"/>
  <c r="I73" i="5" s="1"/>
  <c r="M67" i="4"/>
  <c r="C9" i="6"/>
  <c r="L68" i="4"/>
  <c r="K68" i="4"/>
  <c r="M44" i="4"/>
  <c r="N67" i="4"/>
  <c r="N66" i="4"/>
  <c r="R69" i="1"/>
  <c r="B8" i="4"/>
  <c r="B30" i="6"/>
  <c r="J45" i="5" l="1"/>
  <c r="K45" i="5" s="1"/>
  <c r="L71" i="5"/>
  <c r="M68" i="4"/>
  <c r="N44" i="4"/>
  <c r="N68" i="4" s="1"/>
  <c r="L9" i="6"/>
  <c r="L10" i="6" s="1"/>
  <c r="C10" i="6"/>
  <c r="B16" i="4"/>
  <c r="B14" i="4"/>
  <c r="N14" i="4" s="1"/>
  <c r="N8" i="4"/>
  <c r="P61" i="4" s="1"/>
  <c r="P68" i="4" s="1"/>
  <c r="K73" i="5" l="1"/>
  <c r="L45" i="5"/>
  <c r="J73" i="5"/>
  <c r="M71" i="5"/>
  <c r="N71" i="5" s="1"/>
  <c r="C22" i="6"/>
  <c r="C32" i="6"/>
  <c r="C28" i="6"/>
  <c r="C30" i="6" s="1"/>
  <c r="D28" i="6" s="1"/>
  <c r="P70" i="4"/>
  <c r="B8" i="5"/>
  <c r="B22" i="4"/>
  <c r="N16" i="4"/>
  <c r="N22" i="4" s="1"/>
  <c r="L73" i="5" l="1"/>
  <c r="M45" i="5"/>
  <c r="M73" i="5" s="1"/>
  <c r="N45" i="5"/>
  <c r="N73" i="5" s="1"/>
  <c r="D30" i="6"/>
  <c r="B16" i="5"/>
  <c r="N8" i="5"/>
  <c r="P67" i="5" s="1"/>
  <c r="P73" i="5" s="1"/>
  <c r="B14" i="5"/>
  <c r="N14" i="5" s="1"/>
  <c r="P75" i="5" l="1"/>
  <c r="P73" i="7"/>
  <c r="P79" i="7" s="1"/>
  <c r="P81" i="7" s="1"/>
  <c r="E28" i="6"/>
  <c r="E30" i="6" s="1"/>
  <c r="F28" i="6" s="1"/>
  <c r="F30" i="6" s="1"/>
  <c r="G28" i="6" s="1"/>
  <c r="G30" i="6" s="1"/>
  <c r="H28" i="6" s="1"/>
  <c r="D32" i="6"/>
  <c r="B22" i="5"/>
  <c r="N16" i="5"/>
  <c r="N22" i="5" s="1"/>
  <c r="E32" i="6" l="1"/>
  <c r="H30" i="6"/>
  <c r="I28" i="6" s="1"/>
  <c r="I30" i="6" l="1"/>
  <c r="J28" i="6" s="1"/>
  <c r="J30" i="6" l="1"/>
  <c r="K28" i="6" s="1"/>
  <c r="K30" i="6" s="1"/>
</calcChain>
</file>

<file path=xl/comments1.xml><?xml version="1.0" encoding="utf-8"?>
<comments xmlns="http://schemas.openxmlformats.org/spreadsheetml/2006/main">
  <authors>
    <author>Jie Shi</author>
  </authors>
  <commentList>
    <comment ref="I34" authorId="0">
      <text>
        <r>
          <rPr>
            <b/>
            <sz val="8"/>
            <color indexed="81"/>
            <rFont val="Tahoma"/>
            <family val="2"/>
          </rPr>
          <t>Jie Shi:</t>
        </r>
        <r>
          <rPr>
            <sz val="8"/>
            <color indexed="81"/>
            <rFont val="Tahoma"/>
            <family val="2"/>
          </rPr>
          <t xml:space="preserve">
1% sal. Increase &amp; bonus for in unit fac and PBA
</t>
        </r>
      </text>
    </comment>
  </commentList>
</comments>
</file>

<file path=xl/comments2.xml><?xml version="1.0" encoding="utf-8"?>
<comments xmlns="http://schemas.openxmlformats.org/spreadsheetml/2006/main">
  <authors>
    <author>Jie Shi</author>
  </authors>
  <commentList>
    <comment ref="G19" authorId="0">
      <text>
        <r>
          <rPr>
            <b/>
            <sz val="8"/>
            <color indexed="81"/>
            <rFont val="Tahoma"/>
            <family val="2"/>
          </rPr>
          <t>Jie Shi:</t>
        </r>
        <r>
          <rPr>
            <sz val="8"/>
            <color indexed="81"/>
            <rFont val="Tahoma"/>
            <family val="2"/>
          </rPr>
          <t xml:space="preserve">
from Nov.28-May 27, 2010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Jie Shi:</t>
        </r>
        <r>
          <rPr>
            <sz val="8"/>
            <color indexed="81"/>
            <rFont val="Tahoma"/>
            <family val="2"/>
          </rPr>
          <t xml:space="preserve">
prorated for Nov.1-27.
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Jie Shi:</t>
        </r>
        <r>
          <rPr>
            <sz val="8"/>
            <color indexed="81"/>
            <rFont val="Tahoma"/>
            <family val="2"/>
          </rPr>
          <t xml:space="preserve">
Bonus payments
</t>
        </r>
      </text>
    </comment>
  </commentList>
</comments>
</file>

<file path=xl/sharedStrings.xml><?xml version="1.0" encoding="utf-8"?>
<sst xmlns="http://schemas.openxmlformats.org/spreadsheetml/2006/main" count="495" uniqueCount="230">
  <si>
    <t>Fund = FI1005</t>
  </si>
  <si>
    <t>Index = F01005</t>
  </si>
  <si>
    <t xml:space="preserve">  "D" Channel Approval (Case 2) </t>
  </si>
  <si>
    <t xml:space="preserve">  Initial Payment (Case 1)</t>
  </si>
  <si>
    <t xml:space="preserve">  Monthly  Lease Payments (Case 1)</t>
  </si>
  <si>
    <t xml:space="preserve">  Monthly  Lease Payments (Case 2)</t>
  </si>
  <si>
    <t xml:space="preserve">Revenues - Cash Receipts </t>
  </si>
  <si>
    <t>Overhead Account</t>
  </si>
  <si>
    <t>Contribution to the FAU Mission</t>
  </si>
  <si>
    <t>Fostering Student Success</t>
  </si>
  <si>
    <t xml:space="preserve">Strategic Investment in Research </t>
  </si>
  <si>
    <t>Academic Excellence</t>
  </si>
  <si>
    <t>Strengthening the Teaching/Learning Infra - IRM</t>
  </si>
  <si>
    <t>ok</t>
  </si>
  <si>
    <t>Strengthening the Teaching/Learning Infra - IRM (A01600)</t>
  </si>
  <si>
    <t>Strategic Investment in Research  (index 961000)</t>
  </si>
  <si>
    <t xml:space="preserve">Contribution to the FAU Mission - various accts </t>
  </si>
  <si>
    <t>Transfer to Endowment (Check paid to Foundation)</t>
  </si>
  <si>
    <t>(1)</t>
  </si>
  <si>
    <t>(2)</t>
  </si>
  <si>
    <t>(3)</t>
  </si>
  <si>
    <t>Claim on cash (Banner) -</t>
  </si>
  <si>
    <t>Fostering Student Success (A00687)</t>
  </si>
  <si>
    <t>Academic Excellence (A00688)</t>
  </si>
  <si>
    <t>TOTAL</t>
  </si>
  <si>
    <t>OH-Science Dept Overhead</t>
  </si>
  <si>
    <t>DOR Revenue-Indirect Cost Rev</t>
  </si>
  <si>
    <t>SRTF Reserve</t>
  </si>
  <si>
    <t>Clearwire Faculty &amp; Student Support</t>
  </si>
  <si>
    <t>Clearwire Infrastructure Support</t>
  </si>
  <si>
    <t>Clearwire Strategic Investm Support</t>
  </si>
  <si>
    <t>R76000</t>
  </si>
  <si>
    <t>FAURC Rev-Indirect Cost Recovery</t>
  </si>
  <si>
    <t>OH-Humanities Dept</t>
  </si>
  <si>
    <t>OH-Biomedical Dept Overhead Acct</t>
  </si>
  <si>
    <t>OH-College of Business Acct</t>
  </si>
  <si>
    <t>OH-CAUPA Overhead Acct</t>
  </si>
  <si>
    <t>OH-CUES-Overhead</t>
  </si>
  <si>
    <t>OH-College of Education Acct</t>
  </si>
  <si>
    <t>OH-Engineering Dean's OH Acct</t>
  </si>
  <si>
    <t>OH-Honors College</t>
  </si>
  <si>
    <t>OH-IOG Overhead Account</t>
  </si>
  <si>
    <t>OH-Information Resource Managemt</t>
  </si>
  <si>
    <t>OH-Nursing Dept Overhead</t>
  </si>
  <si>
    <t>Student Affairs Overhead Accounts</t>
  </si>
  <si>
    <t>Strategic Investment in Research  - (index 96100) - Transfer cash to the following accounts:</t>
  </si>
  <si>
    <t>Total</t>
  </si>
  <si>
    <t>(4)</t>
  </si>
  <si>
    <t xml:space="preserve"> </t>
  </si>
  <si>
    <t>As of 6/30/09</t>
  </si>
  <si>
    <t xml:space="preserve">  Interest earned</t>
  </si>
  <si>
    <t>Total Fund Bal</t>
  </si>
  <si>
    <t>Diff.</t>
  </si>
  <si>
    <t>1. Budgeted Revenues</t>
  </si>
  <si>
    <t>2. Actual Revenues</t>
  </si>
  <si>
    <t>3. Budgeted Expenditures</t>
  </si>
  <si>
    <t>5. Actual Expenditures</t>
  </si>
  <si>
    <t>Channels</t>
  </si>
  <si>
    <t>(1) 877 (A1, 2, 3)</t>
  </si>
  <si>
    <t>(2) 894 (A1, 2, 3)</t>
  </si>
  <si>
    <t>(3) 895 (A1, 2, 3, 4)</t>
  </si>
  <si>
    <t>(4) 896 (B1, 2, 3, 4)</t>
  </si>
  <si>
    <t>(5) 901 (C1, 2, 3, 4)</t>
  </si>
  <si>
    <t>(6) 897 (C1, 2, 3, 4)</t>
  </si>
  <si>
    <t>(7) 296 (D3, 4)</t>
  </si>
  <si>
    <t>(7) 296 (D1, 2, 3, 4)</t>
  </si>
  <si>
    <t>Upfront payment</t>
  </si>
  <si>
    <t>Per year (year 1-5)</t>
  </si>
  <si>
    <t>Per year (year 6-10)</t>
  </si>
  <si>
    <t>Per year (year 11-15)</t>
  </si>
  <si>
    <t>Per year (year 16-20)</t>
  </si>
  <si>
    <t>Per year (year 21-30)</t>
  </si>
  <si>
    <t>Services &amp; equipment</t>
  </si>
  <si>
    <t>Case 1</t>
  </si>
  <si>
    <t>Case 2</t>
  </si>
  <si>
    <t>Total Lease Pay</t>
  </si>
  <si>
    <t>Total # of channels: 24</t>
  </si>
  <si>
    <t>Total # of channels: 26</t>
  </si>
  <si>
    <t>Amount</t>
  </si>
  <si>
    <t>Note</t>
  </si>
  <si>
    <t>1st month payment for Bs, Cs, &amp; Ds;</t>
  </si>
  <si>
    <t>Initial fees for Bs, Cs, &amp; Ds;</t>
  </si>
  <si>
    <t>Initial Fees for As;</t>
  </si>
  <si>
    <t>1st month pay for As;</t>
  </si>
  <si>
    <t>1st full month pay for Bs, Cs, &amp; Ds.</t>
  </si>
  <si>
    <t>Monthly pay for all channels (year 1-5)</t>
  </si>
  <si>
    <t>After final-add'' pay</t>
  </si>
  <si>
    <t>upfront</t>
  </si>
  <si>
    <t>monthly pay</t>
  </si>
  <si>
    <t>moth 19 - will pay 6 month - 19-24</t>
  </si>
  <si>
    <t>Year 3</t>
  </si>
  <si>
    <t>Year 4</t>
  </si>
  <si>
    <t>Year 5</t>
  </si>
  <si>
    <t>Year 6</t>
  </si>
  <si>
    <t>Year 1</t>
  </si>
  <si>
    <t>Year 1 &amp; 2</t>
  </si>
  <si>
    <t>2011 June</t>
  </si>
  <si>
    <t>2012 June</t>
  </si>
  <si>
    <t>2013 June</t>
  </si>
  <si>
    <t>2014 June</t>
  </si>
  <si>
    <t>will be paid annually in advance for months 25</t>
  </si>
  <si>
    <t>will be paid annually in advance for months 37</t>
  </si>
  <si>
    <t>will be paid annually in advance for months 49</t>
  </si>
  <si>
    <t>will be paid annually in advance for months 61</t>
  </si>
  <si>
    <t>Contracts</t>
  </si>
  <si>
    <t xml:space="preserve">*All payments are due 10 days after the applicable month. </t>
  </si>
  <si>
    <t>Payment/yr</t>
  </si>
  <si>
    <t>From - To</t>
  </si>
  <si>
    <t>Total 30 year Payments</t>
  </si>
  <si>
    <t xml:space="preserve">Payment Schedule - </t>
  </si>
  <si>
    <t>Clearwire Contracts and Lease Payment Schedule:</t>
  </si>
  <si>
    <t>4. Actual Cash Tfrs/Budget Authority</t>
  </si>
  <si>
    <t>2008-09</t>
  </si>
  <si>
    <t>2009-10</t>
  </si>
  <si>
    <t>Initial Fee</t>
  </si>
  <si>
    <t>Years 1 - 5</t>
  </si>
  <si>
    <t>Years 6-10</t>
  </si>
  <si>
    <t>Years 11-15</t>
  </si>
  <si>
    <t>Years 16-20</t>
  </si>
  <si>
    <t>Years 21-30</t>
  </si>
  <si>
    <t>License</t>
  </si>
  <si>
    <t>WHR896</t>
  </si>
  <si>
    <t>WHR897</t>
  </si>
  <si>
    <t>WHR901</t>
  </si>
  <si>
    <t>WQCT296</t>
  </si>
  <si>
    <t>WHR877</t>
  </si>
  <si>
    <t>WHR894</t>
  </si>
  <si>
    <t>WHR895</t>
  </si>
  <si>
    <t>EBS Long Term Lease Agreement ???</t>
  </si>
  <si>
    <t>Payments received</t>
  </si>
  <si>
    <t>Contract Amount</t>
  </si>
  <si>
    <t>Clearwire Account Activity Summary</t>
  </si>
  <si>
    <t>Category</t>
  </si>
  <si>
    <t>Year 1 &amp; 2 Total</t>
  </si>
  <si>
    <t>Year 3 Total</t>
  </si>
  <si>
    <t>FAU Academic Infrastructure Enhancement Initiative:  Including Year One Faculty and Staff Compensation Package (rev 6 09-16/08) "payments only"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</si>
  <si>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</si>
  <si>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</si>
  <si>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</si>
  <si>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</si>
  <si>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</si>
  <si>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</si>
  <si>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</si>
  <si>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</si>
  <si>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</si>
  <si>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</si>
  <si>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YEARS 1-10</t>
  </si>
  <si>
    <t>INCOME</t>
  </si>
  <si>
    <t>Lump Sum (payments only; no interest buildup)</t>
  </si>
  <si>
    <t>Mon. Pmt. (annualized w/ no interest)</t>
  </si>
  <si>
    <t>EXPENDITURES</t>
  </si>
  <si>
    <t>Rewarding Faculty and Staff Contributions to FAU Mission</t>
  </si>
  <si>
    <t>Strengthening the Teaching/Learning Infrastructure</t>
  </si>
  <si>
    <t>Strategic Investment in Research</t>
  </si>
  <si>
    <t>Academic Enhancement</t>
  </si>
  <si>
    <t>TOTAL EXP.</t>
  </si>
  <si>
    <t>Not Obligated</t>
  </si>
  <si>
    <t>TO ENDOWMENT</t>
  </si>
  <si>
    <t>ENDOW. VALUE (1,2)</t>
  </si>
  <si>
    <t>Carry-forward/working reserve</t>
  </si>
  <si>
    <t>Notes</t>
  </si>
  <si>
    <t>(1)  endowment grows at 5 percent each year</t>
  </si>
  <si>
    <t>(2) endowment value potentially greater if used as seed money for matching gift campaign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</si>
  <si>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</si>
  <si>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</si>
  <si>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</si>
  <si>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</si>
  <si>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</si>
  <si>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</si>
  <si>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</si>
  <si>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</si>
  <si>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Banner FGITBSR</t>
  </si>
  <si>
    <t>Clearwire Spectrum Holding Account Activity - 2009-10 (2nd year)</t>
  </si>
  <si>
    <t>Clearwire Spectrum Holding Account Activity - 2008-09 (1st year)</t>
  </si>
  <si>
    <t>Trans. Out (4)</t>
  </si>
  <si>
    <t>Special payments</t>
  </si>
  <si>
    <t>*No budget transfer to research as it's a different fund</t>
  </si>
  <si>
    <t>Clearwire Spectrum Holding Account Activity - 2010-11 (3rd year)</t>
  </si>
  <si>
    <t>Actual</t>
  </si>
  <si>
    <t>Other Payments</t>
  </si>
  <si>
    <t>Interests Earned</t>
  </si>
  <si>
    <t>Ending Fund Balance</t>
  </si>
  <si>
    <t>Strategic Investment in Research  - (index 961000) - Transfer cash to the following accounts:</t>
  </si>
  <si>
    <t>FGITBSR-6/30/10</t>
  </si>
  <si>
    <t>Strategic Investment in Research (961000)</t>
  </si>
  <si>
    <t>Fostering Student Success (A00687</t>
  </si>
  <si>
    <t>Index = X01005</t>
  </si>
  <si>
    <t>Harbor Branch Overhead Return</t>
  </si>
  <si>
    <t>180250_DOR-Research Priority Area-Aging</t>
  </si>
  <si>
    <t>800439_DOR-Research Priority Area-Aging</t>
  </si>
  <si>
    <t>DOR-Research Priority Area-Clima</t>
  </si>
  <si>
    <t>DOR-Researcfh Priority Area-Brain</t>
  </si>
  <si>
    <t>Transfer to Stadium</t>
  </si>
  <si>
    <t>Clearwire Spectrum Holding Account Activity - 2011-12 (4th year)</t>
  </si>
  <si>
    <t>Index number = X01005</t>
  </si>
  <si>
    <t>2007-08</t>
  </si>
  <si>
    <t>2011-12*</t>
  </si>
  <si>
    <t>REVENUE</t>
  </si>
  <si>
    <t>Interests</t>
  </si>
  <si>
    <t>TOTAL REVENUE</t>
  </si>
  <si>
    <t>EXPENDITURES/TRANSFER OUT</t>
  </si>
  <si>
    <t>Foundation</t>
  </si>
  <si>
    <t>One-time bonus for project participation</t>
  </si>
  <si>
    <t>Total Expenses</t>
  </si>
  <si>
    <t>Fund Balance</t>
  </si>
  <si>
    <t>FGITBSR - Fund balance</t>
  </si>
  <si>
    <t>DIFF.</t>
  </si>
  <si>
    <t>* Based on contract for Revenue and proposed expenditures.</t>
  </si>
  <si>
    <t>.</t>
  </si>
  <si>
    <t>As of Sept. 13, 2011</t>
  </si>
  <si>
    <t>As of 9/13/11</t>
  </si>
  <si>
    <t>FGITBSR</t>
  </si>
  <si>
    <t>(1) Beg Bal.</t>
  </si>
  <si>
    <t>(2) Actual Rev.</t>
  </si>
  <si>
    <t xml:space="preserve">(3) Trans. Out </t>
  </si>
  <si>
    <t xml:space="preserve">(4) Overhead </t>
  </si>
  <si>
    <t>as of 6/30/2010</t>
  </si>
  <si>
    <t>as of 6/30/2011</t>
  </si>
  <si>
    <t xml:space="preserve">    Transfer to Stadium</t>
  </si>
  <si>
    <t>Year-end balance - FGITBSR</t>
  </si>
  <si>
    <t>As of Sept. 30, 2011</t>
  </si>
  <si>
    <t>645590-Seatech-Engineering-Federal Grant</t>
  </si>
  <si>
    <t>640590 Engineering Private Other Grants</t>
  </si>
  <si>
    <t>660590 Engineering Private other Grants</t>
  </si>
  <si>
    <t>150141 Science Private Other Grants</t>
  </si>
  <si>
    <t>150142 Science Private Other Grants</t>
  </si>
  <si>
    <t>140320 Science Private Other Grants</t>
  </si>
  <si>
    <t>180250 College of Medicine other Grants</t>
  </si>
  <si>
    <t>800439 Nursing Private Other Grants</t>
  </si>
  <si>
    <t>960221 Science Private Other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</si>
</sst>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&quot;$&quot;* #,##0_);_(&quot;$&quot;* \(#,##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u val="singleAccounting"/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b/>
      <u/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Calibri"/>
      <family val="2"/>
    </font>
    <font>
      <b/>
      <sz val="9"/>
      <color indexed="10"/>
      <name val="Calibri"/>
      <family val="2"/>
    </font>
    <font>
      <b/>
      <u/>
      <sz val="12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u/>
      <sz val="10"/>
      <name val="Calibri"/>
      <family val="2"/>
    </font>
    <font>
      <u/>
      <sz val="9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379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1" xfId="0" applyFont="1" applyBorder="1"/>
    <xf numFmtId="0" fontId="4" fillId="0" borderId="0" xfId="0" applyFont="1"/>
    <xf numFmtId="41" fontId="2" fillId="0" borderId="0" xfId="0" applyNumberFormat="1" applyFont="1"/>
    <xf numFmtId="0" fontId="2" fillId="0" borderId="0" xfId="0" applyFont="1" applyBorder="1"/>
    <xf numFmtId="41" fontId="2" fillId="0" borderId="0" xfId="0" applyNumberFormat="1" applyFont="1" applyBorder="1"/>
    <xf numFmtId="0" fontId="2" fillId="0" borderId="0" xfId="0" applyFont="1" applyFill="1"/>
    <xf numFmtId="41" fontId="2" fillId="0" borderId="0" xfId="0" applyNumberFormat="1" applyFont="1" applyFill="1"/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165" fontId="4" fillId="3" borderId="3" xfId="0" applyNumberFormat="1" applyFont="1" applyFill="1" applyBorder="1"/>
    <xf numFmtId="41" fontId="4" fillId="0" borderId="0" xfId="0" applyNumberFormat="1" applyFont="1"/>
    <xf numFmtId="165" fontId="2" fillId="0" borderId="0" xfId="0" applyNumberFormat="1" applyFont="1" applyFill="1" applyBorder="1"/>
    <xf numFmtId="41" fontId="2" fillId="0" borderId="0" xfId="0" applyNumberFormat="1" applyFont="1" applyFill="1" applyBorder="1"/>
    <xf numFmtId="165" fontId="4" fillId="0" borderId="0" xfId="0" quotePrefix="1" applyNumberFormat="1" applyFont="1" applyFill="1"/>
    <xf numFmtId="41" fontId="4" fillId="0" borderId="0" xfId="0" quotePrefix="1" applyNumberFormat="1" applyFont="1" applyFill="1"/>
    <xf numFmtId="41" fontId="4" fillId="2" borderId="4" xfId="0" applyNumberFormat="1" applyFont="1" applyFill="1" applyBorder="1"/>
    <xf numFmtId="41" fontId="2" fillId="2" borderId="6" xfId="0" applyNumberFormat="1" applyFont="1" applyFill="1" applyBorder="1"/>
    <xf numFmtId="41" fontId="2" fillId="2" borderId="7" xfId="0" applyNumberFormat="1" applyFont="1" applyFill="1" applyBorder="1"/>
    <xf numFmtId="0" fontId="2" fillId="4" borderId="0" xfId="0" applyFont="1" applyFill="1"/>
    <xf numFmtId="0" fontId="2" fillId="5" borderId="0" xfId="0" applyFont="1" applyFill="1"/>
    <xf numFmtId="0" fontId="2" fillId="7" borderId="0" xfId="0" applyFont="1" applyFill="1"/>
    <xf numFmtId="0" fontId="4" fillId="0" borderId="0" xfId="0" applyFont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0" xfId="0" applyFont="1" applyBorder="1"/>
    <xf numFmtId="41" fontId="4" fillId="3" borderId="0" xfId="0" applyNumberFormat="1" applyFont="1" applyFill="1"/>
    <xf numFmtId="0" fontId="2" fillId="0" borderId="1" xfId="0" applyFont="1" applyFill="1" applyBorder="1"/>
    <xf numFmtId="0" fontId="2" fillId="8" borderId="0" xfId="0" applyFont="1" applyFill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/>
    <xf numFmtId="0" fontId="4" fillId="5" borderId="9" xfId="0" applyFont="1" applyFill="1" applyBorder="1"/>
    <xf numFmtId="0" fontId="4" fillId="4" borderId="10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164" fontId="6" fillId="0" borderId="12" xfId="0" quotePrefix="1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2" fillId="0" borderId="12" xfId="0" applyFont="1" applyBorder="1"/>
    <xf numFmtId="165" fontId="2" fillId="0" borderId="12" xfId="1" applyNumberFormat="1" applyFont="1" applyBorder="1"/>
    <xf numFmtId="165" fontId="2" fillId="0" borderId="13" xfId="1" applyNumberFormat="1" applyFont="1" applyBorder="1"/>
    <xf numFmtId="0" fontId="3" fillId="0" borderId="12" xfId="1" applyNumberFormat="1" applyFont="1" applyBorder="1"/>
    <xf numFmtId="0" fontId="3" fillId="0" borderId="13" xfId="1" applyNumberFormat="1" applyFont="1" applyBorder="1"/>
    <xf numFmtId="165" fontId="2" fillId="0" borderId="14" xfId="1" applyNumberFormat="1" applyFont="1" applyBorder="1"/>
    <xf numFmtId="165" fontId="2" fillId="0" borderId="15" xfId="1" applyNumberFormat="1" applyFont="1" applyBorder="1"/>
    <xf numFmtId="165" fontId="2" fillId="0" borderId="12" xfId="1" applyNumberFormat="1" applyFont="1" applyFill="1" applyBorder="1"/>
    <xf numFmtId="165" fontId="2" fillId="0" borderId="13" xfId="1" applyNumberFormat="1" applyFont="1" applyFill="1" applyBorder="1"/>
    <xf numFmtId="165" fontId="2" fillId="0" borderId="14" xfId="1" applyNumberFormat="1" applyFont="1" applyFill="1" applyBorder="1"/>
    <xf numFmtId="165" fontId="2" fillId="0" borderId="15" xfId="1" applyNumberFormat="1" applyFont="1" applyFill="1" applyBorder="1"/>
    <xf numFmtId="165" fontId="4" fillId="3" borderId="16" xfId="0" applyNumberFormat="1" applyFont="1" applyFill="1" applyBorder="1"/>
    <xf numFmtId="165" fontId="2" fillId="8" borderId="12" xfId="1" applyNumberFormat="1" applyFont="1" applyFill="1" applyBorder="1"/>
    <xf numFmtId="165" fontId="2" fillId="8" borderId="13" xfId="1" applyNumberFormat="1" applyFont="1" applyFill="1" applyBorder="1"/>
    <xf numFmtId="41" fontId="2" fillId="0" borderId="12" xfId="0" applyNumberFormat="1" applyFont="1" applyFill="1" applyBorder="1"/>
    <xf numFmtId="41" fontId="2" fillId="0" borderId="13" xfId="0" applyNumberFormat="1" applyFont="1" applyBorder="1"/>
    <xf numFmtId="41" fontId="4" fillId="0" borderId="17" xfId="0" applyNumberFormat="1" applyFont="1" applyBorder="1"/>
    <xf numFmtId="41" fontId="2" fillId="0" borderId="18" xfId="0" applyNumberFormat="1" applyFont="1" applyBorder="1"/>
    <xf numFmtId="41" fontId="4" fillId="0" borderId="19" xfId="0" applyNumberFormat="1" applyFont="1" applyFill="1" applyBorder="1"/>
    <xf numFmtId="41" fontId="2" fillId="0" borderId="12" xfId="0" applyNumberFormat="1" applyFont="1" applyBorder="1"/>
    <xf numFmtId="41" fontId="2" fillId="0" borderId="13" xfId="0" applyNumberFormat="1" applyFont="1" applyFill="1" applyBorder="1"/>
    <xf numFmtId="41" fontId="2" fillId="5" borderId="13" xfId="0" applyNumberFormat="1" applyFont="1" applyFill="1" applyBorder="1"/>
    <xf numFmtId="41" fontId="2" fillId="4" borderId="13" xfId="0" applyNumberFormat="1" applyFont="1" applyFill="1" applyBorder="1"/>
    <xf numFmtId="41" fontId="2" fillId="6" borderId="13" xfId="0" applyNumberFormat="1" applyFont="1" applyFill="1" applyBorder="1"/>
    <xf numFmtId="41" fontId="2" fillId="7" borderId="13" xfId="0" applyNumberFormat="1" applyFont="1" applyFill="1" applyBorder="1"/>
    <xf numFmtId="41" fontId="4" fillId="0" borderId="18" xfId="0" applyNumberFormat="1" applyFont="1" applyBorder="1"/>
    <xf numFmtId="41" fontId="4" fillId="3" borderId="19" xfId="0" applyNumberFormat="1" applyFont="1" applyFill="1" applyBorder="1"/>
    <xf numFmtId="41" fontId="2" fillId="0" borderId="20" xfId="0" applyNumberFormat="1" applyFont="1" applyFill="1" applyBorder="1"/>
    <xf numFmtId="41" fontId="2" fillId="0" borderId="21" xfId="0" applyNumberFormat="1" applyFont="1" applyFill="1" applyBorder="1"/>
    <xf numFmtId="41" fontId="2" fillId="5" borderId="21" xfId="0" applyNumberFormat="1" applyFont="1" applyFill="1" applyBorder="1"/>
    <xf numFmtId="41" fontId="2" fillId="0" borderId="21" xfId="0" applyNumberFormat="1" applyFont="1" applyBorder="1"/>
    <xf numFmtId="41" fontId="2" fillId="0" borderId="22" xfId="0" applyNumberFormat="1" applyFont="1" applyFill="1" applyBorder="1"/>
    <xf numFmtId="41" fontId="2" fillId="0" borderId="11" xfId="0" applyNumberFormat="1" applyFont="1" applyFill="1" applyBorder="1"/>
    <xf numFmtId="41" fontId="2" fillId="4" borderId="11" xfId="0" applyNumberFormat="1" applyFont="1" applyFill="1" applyBorder="1"/>
    <xf numFmtId="41" fontId="2" fillId="0" borderId="11" xfId="0" applyNumberFormat="1" applyFont="1" applyBorder="1"/>
    <xf numFmtId="0" fontId="2" fillId="0" borderId="11" xfId="0" applyFont="1" applyBorder="1"/>
    <xf numFmtId="41" fontId="2" fillId="7" borderId="11" xfId="0" applyNumberFormat="1" applyFont="1" applyFill="1" applyBorder="1"/>
    <xf numFmtId="41" fontId="2" fillId="0" borderId="23" xfId="0" applyNumberFormat="1" applyFont="1" applyFill="1" applyBorder="1"/>
    <xf numFmtId="41" fontId="2" fillId="0" borderId="24" xfId="0" applyNumberFormat="1" applyFont="1" applyFill="1" applyBorder="1"/>
    <xf numFmtId="41" fontId="2" fillId="0" borderId="24" xfId="0" applyNumberFormat="1" applyFont="1" applyBorder="1"/>
    <xf numFmtId="41" fontId="4" fillId="0" borderId="19" xfId="0" applyNumberFormat="1" applyFont="1" applyBorder="1"/>
    <xf numFmtId="0" fontId="4" fillId="0" borderId="0" xfId="0" applyFont="1" applyAlignment="1">
      <alignment horizontal="center"/>
    </xf>
    <xf numFmtId="41" fontId="9" fillId="0" borderId="11" xfId="0" applyNumberFormat="1" applyFont="1" applyBorder="1"/>
    <xf numFmtId="164" fontId="4" fillId="0" borderId="0" xfId="0" applyNumberFormat="1" applyFont="1"/>
    <xf numFmtId="0" fontId="4" fillId="0" borderId="16" xfId="0" applyFont="1" applyBorder="1"/>
    <xf numFmtId="165" fontId="4" fillId="0" borderId="16" xfId="0" applyNumberFormat="1" applyFont="1" applyBorder="1"/>
    <xf numFmtId="0" fontId="4" fillId="0" borderId="25" xfId="0" applyFont="1" applyBorder="1"/>
    <xf numFmtId="165" fontId="4" fillId="0" borderId="25" xfId="0" applyNumberFormat="1" applyFont="1" applyBorder="1"/>
    <xf numFmtId="0" fontId="4" fillId="8" borderId="16" xfId="0" applyFont="1" applyFill="1" applyBorder="1"/>
    <xf numFmtId="41" fontId="4" fillId="0" borderId="16" xfId="0" applyNumberFormat="1" applyFont="1" applyBorder="1"/>
    <xf numFmtId="41" fontId="4" fillId="0" borderId="16" xfId="0" applyNumberFormat="1" applyFont="1" applyFill="1" applyBorder="1"/>
    <xf numFmtId="41" fontId="4" fillId="0" borderId="26" xfId="0" applyNumberFormat="1" applyFont="1" applyBorder="1"/>
    <xf numFmtId="41" fontId="4" fillId="0" borderId="27" xfId="0" applyNumberFormat="1" applyFont="1" applyBorder="1"/>
    <xf numFmtId="0" fontId="9" fillId="0" borderId="22" xfId="0" applyFont="1" applyBorder="1" applyAlignment="1">
      <alignment horizontal="center"/>
    </xf>
    <xf numFmtId="0" fontId="4" fillId="7" borderId="22" xfId="0" applyFont="1" applyFill="1" applyBorder="1"/>
    <xf numFmtId="0" fontId="4" fillId="7" borderId="23" xfId="0" applyFont="1" applyFill="1" applyBorder="1"/>
    <xf numFmtId="165" fontId="2" fillId="0" borderId="0" xfId="0" applyNumberFormat="1" applyFont="1" applyBorder="1"/>
    <xf numFmtId="41" fontId="4" fillId="0" borderId="13" xfId="0" applyNumberFormat="1" applyFont="1" applyFill="1" applyBorder="1"/>
    <xf numFmtId="165" fontId="2" fillId="4" borderId="0" xfId="1" applyNumberFormat="1" applyFont="1" applyFill="1"/>
    <xf numFmtId="41" fontId="4" fillId="5" borderId="16" xfId="0" applyNumberFormat="1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41" fontId="2" fillId="2" borderId="0" xfId="0" applyNumberFormat="1" applyFont="1" applyFill="1" applyBorder="1"/>
    <xf numFmtId="165" fontId="2" fillId="2" borderId="0" xfId="0" applyNumberFormat="1" applyFont="1" applyFill="1" applyBorder="1"/>
    <xf numFmtId="164" fontId="2" fillId="0" borderId="11" xfId="0" applyNumberFormat="1" applyFont="1" applyBorder="1"/>
    <xf numFmtId="0" fontId="2" fillId="0" borderId="11" xfId="1" applyNumberFormat="1" applyFont="1" applyBorder="1" applyAlignment="1">
      <alignment horizontal="center"/>
    </xf>
    <xf numFmtId="165" fontId="2" fillId="0" borderId="11" xfId="1" applyNumberFormat="1" applyFont="1" applyBorder="1"/>
    <xf numFmtId="165" fontId="2" fillId="0" borderId="21" xfId="1" applyNumberFormat="1" applyFont="1" applyBorder="1"/>
    <xf numFmtId="165" fontId="2" fillId="0" borderId="18" xfId="1" applyNumberFormat="1" applyFont="1" applyBorder="1"/>
    <xf numFmtId="165" fontId="2" fillId="0" borderId="29" xfId="1" applyNumberFormat="1" applyFont="1" applyBorder="1"/>
    <xf numFmtId="165" fontId="2" fillId="9" borderId="18" xfId="1" applyNumberFormat="1" applyFont="1" applyFill="1" applyBorder="1"/>
    <xf numFmtId="41" fontId="4" fillId="0" borderId="30" xfId="0" applyNumberFormat="1" applyFont="1" applyBorder="1"/>
    <xf numFmtId="165" fontId="2" fillId="0" borderId="31" xfId="1" applyNumberFormat="1" applyFont="1" applyBorder="1"/>
    <xf numFmtId="165" fontId="2" fillId="11" borderId="11" xfId="1" applyNumberFormat="1" applyFont="1" applyFill="1" applyBorder="1"/>
    <xf numFmtId="165" fontId="2" fillId="12" borderId="11" xfId="1" applyNumberFormat="1" applyFont="1" applyFill="1" applyBorder="1"/>
    <xf numFmtId="165" fontId="2" fillId="12" borderId="29" xfId="1" applyNumberFormat="1" applyFont="1" applyFill="1" applyBorder="1"/>
    <xf numFmtId="0" fontId="4" fillId="10" borderId="1" xfId="0" applyFont="1" applyFill="1" applyBorder="1"/>
    <xf numFmtId="41" fontId="2" fillId="10" borderId="14" xfId="0" applyNumberFormat="1" applyFont="1" applyFill="1" applyBorder="1"/>
    <xf numFmtId="41" fontId="2" fillId="10" borderId="15" xfId="0" applyNumberFormat="1" applyFont="1" applyFill="1" applyBorder="1"/>
    <xf numFmtId="41" fontId="4" fillId="10" borderId="25" xfId="0" applyNumberFormat="1" applyFont="1" applyFill="1" applyBorder="1"/>
    <xf numFmtId="165" fontId="2" fillId="10" borderId="18" xfId="1" applyNumberFormat="1" applyFont="1" applyFill="1" applyBorder="1"/>
    <xf numFmtId="165" fontId="2" fillId="12" borderId="21" xfId="1" applyNumberFormat="1" applyFont="1" applyFill="1" applyBorder="1"/>
    <xf numFmtId="164" fontId="6" fillId="0" borderId="32" xfId="0" applyNumberFormat="1" applyFont="1" applyBorder="1" applyAlignment="1">
      <alignment horizontal="center"/>
    </xf>
    <xf numFmtId="43" fontId="12" fillId="0" borderId="0" xfId="0" applyNumberFormat="1" applyFont="1"/>
    <xf numFmtId="0" fontId="12" fillId="0" borderId="0" xfId="0" applyFont="1"/>
    <xf numFmtId="43" fontId="12" fillId="0" borderId="33" xfId="1" applyFont="1" applyBorder="1"/>
    <xf numFmtId="0" fontId="12" fillId="0" borderId="33" xfId="0" applyFont="1" applyBorder="1"/>
    <xf numFmtId="43" fontId="12" fillId="0" borderId="0" xfId="1" quotePrefix="1" applyFont="1"/>
    <xf numFmtId="166" fontId="12" fillId="0" borderId="0" xfId="2" applyNumberFormat="1" applyFont="1"/>
    <xf numFmtId="43" fontId="12" fillId="0" borderId="0" xfId="1" quotePrefix="1" applyFont="1" applyBorder="1"/>
    <xf numFmtId="0" fontId="12" fillId="0" borderId="0" xfId="0" applyFont="1" applyBorder="1"/>
    <xf numFmtId="43" fontId="12" fillId="0" borderId="1" xfId="1" quotePrefix="1" applyFont="1" applyBorder="1"/>
    <xf numFmtId="0" fontId="12" fillId="0" borderId="1" xfId="0" applyFont="1" applyBorder="1"/>
    <xf numFmtId="166" fontId="12" fillId="0" borderId="0" xfId="0" applyNumberFormat="1" applyFont="1"/>
    <xf numFmtId="166" fontId="12" fillId="0" borderId="1" xfId="2" applyNumberFormat="1" applyFont="1" applyBorder="1"/>
    <xf numFmtId="43" fontId="12" fillId="0" borderId="0" xfId="1" applyFont="1" applyAlignment="1">
      <alignment horizontal="left"/>
    </xf>
    <xf numFmtId="0" fontId="12" fillId="0" borderId="0" xfId="0" applyFont="1" applyAlignment="1">
      <alignment horizontal="right"/>
    </xf>
    <xf numFmtId="15" fontId="12" fillId="0" borderId="0" xfId="1" applyNumberFormat="1" applyFont="1" applyAlignment="1">
      <alignment horizontal="left"/>
    </xf>
    <xf numFmtId="0" fontId="14" fillId="0" borderId="0" xfId="0" applyFont="1"/>
    <xf numFmtId="43" fontId="14" fillId="0" borderId="0" xfId="1" applyFont="1"/>
    <xf numFmtId="166" fontId="14" fillId="0" borderId="0" xfId="2" applyNumberFormat="1" applyFont="1"/>
    <xf numFmtId="43" fontId="14" fillId="0" borderId="0" xfId="1" applyFont="1" applyAlignment="1">
      <alignment horizontal="left"/>
    </xf>
    <xf numFmtId="0" fontId="15" fillId="0" borderId="0" xfId="0" applyFont="1"/>
    <xf numFmtId="43" fontId="15" fillId="16" borderId="33" xfId="1" applyFont="1" applyFill="1" applyBorder="1"/>
    <xf numFmtId="0" fontId="15" fillId="16" borderId="41" xfId="0" applyFont="1" applyFill="1" applyBorder="1" applyAlignment="1">
      <alignment horizontal="center"/>
    </xf>
    <xf numFmtId="0" fontId="15" fillId="16" borderId="44" xfId="0" applyFont="1" applyFill="1" applyBorder="1" applyAlignment="1">
      <alignment horizontal="right"/>
    </xf>
    <xf numFmtId="165" fontId="2" fillId="14" borderId="13" xfId="1" applyNumberFormat="1" applyFont="1" applyFill="1" applyBorder="1"/>
    <xf numFmtId="0" fontId="2" fillId="13" borderId="0" xfId="0" applyFont="1" applyFill="1"/>
    <xf numFmtId="165" fontId="4" fillId="16" borderId="11" xfId="1" applyNumberFormat="1" applyFont="1" applyFill="1" applyBorder="1"/>
    <xf numFmtId="165" fontId="2" fillId="17" borderId="11" xfId="1" applyNumberFormat="1" applyFont="1" applyFill="1" applyBorder="1"/>
    <xf numFmtId="0" fontId="15" fillId="16" borderId="43" xfId="0" applyFont="1" applyFill="1" applyBorder="1" applyAlignment="1"/>
    <xf numFmtId="0" fontId="16" fillId="0" borderId="0" xfId="0" applyFont="1"/>
    <xf numFmtId="0" fontId="17" fillId="0" borderId="0" xfId="0" applyFont="1"/>
    <xf numFmtId="0" fontId="12" fillId="0" borderId="46" xfId="0" applyFont="1" applyBorder="1"/>
    <xf numFmtId="166" fontId="12" fillId="0" borderId="6" xfId="2" applyNumberFormat="1" applyFont="1" applyBorder="1"/>
    <xf numFmtId="166" fontId="12" fillId="0" borderId="2" xfId="2" applyNumberFormat="1" applyFont="1" applyBorder="1"/>
    <xf numFmtId="0" fontId="12" fillId="0" borderId="6" xfId="0" applyFont="1" applyBorder="1"/>
    <xf numFmtId="0" fontId="12" fillId="0" borderId="2" xfId="0" applyFont="1" applyBorder="1"/>
    <xf numFmtId="0" fontId="12" fillId="0" borderId="47" xfId="0" applyFont="1" applyBorder="1"/>
    <xf numFmtId="0" fontId="12" fillId="0" borderId="7" xfId="0" applyFont="1" applyBorder="1"/>
    <xf numFmtId="0" fontId="12" fillId="0" borderId="3" xfId="0" applyFont="1" applyBorder="1"/>
    <xf numFmtId="0" fontId="17" fillId="0" borderId="40" xfId="0" applyFont="1" applyBorder="1"/>
    <xf numFmtId="166" fontId="17" fillId="0" borderId="48" xfId="2" applyNumberFormat="1" applyFont="1" applyBorder="1"/>
    <xf numFmtId="0" fontId="17" fillId="0" borderId="42" xfId="0" applyFont="1" applyBorder="1"/>
    <xf numFmtId="166" fontId="17" fillId="0" borderId="45" xfId="0" applyNumberFormat="1" applyFont="1" applyBorder="1"/>
    <xf numFmtId="166" fontId="17" fillId="16" borderId="40" xfId="0" applyNumberFormat="1" applyFont="1" applyFill="1" applyBorder="1"/>
    <xf numFmtId="166" fontId="17" fillId="0" borderId="42" xfId="2" applyNumberFormat="1" applyFont="1" applyBorder="1"/>
    <xf numFmtId="0" fontId="12" fillId="16" borderId="0" xfId="0" applyFont="1" applyFill="1" applyBorder="1"/>
    <xf numFmtId="166" fontId="12" fillId="0" borderId="46" xfId="2" applyNumberFormat="1" applyFont="1" applyBorder="1"/>
    <xf numFmtId="166" fontId="12" fillId="0" borderId="6" xfId="0" applyNumberFormat="1" applyFont="1" applyBorder="1"/>
    <xf numFmtId="166" fontId="12" fillId="0" borderId="47" xfId="2" applyNumberFormat="1" applyFont="1" applyBorder="1"/>
    <xf numFmtId="166" fontId="12" fillId="0" borderId="7" xfId="2" applyNumberFormat="1" applyFont="1" applyBorder="1"/>
    <xf numFmtId="166" fontId="12" fillId="0" borderId="3" xfId="2" applyNumberFormat="1" applyFont="1" applyBorder="1"/>
    <xf numFmtId="0" fontId="17" fillId="0" borderId="33" xfId="0" applyFont="1" applyBorder="1"/>
    <xf numFmtId="166" fontId="17" fillId="0" borderId="43" xfId="2" applyNumberFormat="1" applyFont="1" applyBorder="1"/>
    <xf numFmtId="166" fontId="17" fillId="0" borderId="41" xfId="2" applyNumberFormat="1" applyFont="1" applyBorder="1"/>
    <xf numFmtId="166" fontId="17" fillId="0" borderId="33" xfId="2" applyNumberFormat="1" applyFont="1" applyBorder="1"/>
    <xf numFmtId="166" fontId="17" fillId="0" borderId="44" xfId="2" applyNumberFormat="1" applyFont="1" applyBorder="1"/>
    <xf numFmtId="166" fontId="17" fillId="16" borderId="33" xfId="0" applyNumberFormat="1" applyFont="1" applyFill="1" applyBorder="1"/>
    <xf numFmtId="0" fontId="17" fillId="16" borderId="0" xfId="0" applyFont="1" applyFill="1"/>
    <xf numFmtId="43" fontId="12" fillId="16" borderId="0" xfId="1" applyFont="1" applyFill="1" applyBorder="1"/>
    <xf numFmtId="0" fontId="17" fillId="15" borderId="38" xfId="0" applyFont="1" applyFill="1" applyBorder="1" applyAlignment="1">
      <alignment horizontal="center"/>
    </xf>
    <xf numFmtId="0" fontId="17" fillId="15" borderId="39" xfId="0" applyFont="1" applyFill="1" applyBorder="1" applyAlignment="1">
      <alignment horizontal="center"/>
    </xf>
    <xf numFmtId="166" fontId="18" fillId="0" borderId="0" xfId="2" applyNumberFormat="1" applyFont="1"/>
    <xf numFmtId="166" fontId="12" fillId="15" borderId="34" xfId="2" applyNumberFormat="1" applyFont="1" applyFill="1" applyBorder="1"/>
    <xf numFmtId="0" fontId="12" fillId="15" borderId="35" xfId="0" applyFont="1" applyFill="1" applyBorder="1"/>
    <xf numFmtId="166" fontId="12" fillId="15" borderId="35" xfId="2" applyNumberFormat="1" applyFont="1" applyFill="1" applyBorder="1"/>
    <xf numFmtId="15" fontId="12" fillId="0" borderId="1" xfId="1" applyNumberFormat="1" applyFont="1" applyBorder="1" applyAlignment="1">
      <alignment horizontal="left"/>
    </xf>
    <xf numFmtId="166" fontId="18" fillId="0" borderId="1" xfId="2" applyNumberFormat="1" applyFont="1" applyBorder="1"/>
    <xf numFmtId="43" fontId="12" fillId="0" borderId="33" xfId="1" applyFont="1" applyBorder="1" applyAlignment="1">
      <alignment horizontal="left"/>
    </xf>
    <xf numFmtId="166" fontId="18" fillId="0" borderId="33" xfId="2" applyNumberFormat="1" applyFont="1" applyBorder="1"/>
    <xf numFmtId="0" fontId="12" fillId="15" borderId="36" xfId="0" applyFont="1" applyFill="1" applyBorder="1"/>
    <xf numFmtId="166" fontId="12" fillId="15" borderId="37" xfId="2" applyNumberFormat="1" applyFont="1" applyFill="1" applyBorder="1"/>
    <xf numFmtId="166" fontId="17" fillId="16" borderId="36" xfId="0" applyNumberFormat="1" applyFont="1" applyFill="1" applyBorder="1"/>
    <xf numFmtId="166" fontId="17" fillId="16" borderId="37" xfId="2" applyNumberFormat="1" applyFont="1" applyFill="1" applyBorder="1"/>
    <xf numFmtId="166" fontId="12" fillId="0" borderId="33" xfId="2" applyNumberFormat="1" applyFont="1" applyBorder="1"/>
    <xf numFmtId="0" fontId="15" fillId="16" borderId="3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5" fillId="16" borderId="33" xfId="0" applyFont="1" applyFill="1" applyBorder="1" applyAlignment="1">
      <alignment horizontal="right" wrapText="1"/>
    </xf>
    <xf numFmtId="0" fontId="15" fillId="16" borderId="41" xfId="0" applyFont="1" applyFill="1" applyBorder="1" applyAlignment="1">
      <alignment horizontal="right" wrapText="1"/>
    </xf>
    <xf numFmtId="165" fontId="14" fillId="0" borderId="0" xfId="1" applyNumberFormat="1" applyFont="1"/>
    <xf numFmtId="43" fontId="2" fillId="0" borderId="0" xfId="1" applyFont="1"/>
    <xf numFmtId="165" fontId="14" fillId="0" borderId="0" xfId="1" applyNumberFormat="1" applyFont="1" applyAlignment="1">
      <alignment horizontal="right"/>
    </xf>
    <xf numFmtId="165" fontId="14" fillId="0" borderId="0" xfId="0" applyNumberFormat="1" applyFont="1"/>
    <xf numFmtId="165" fontId="14" fillId="0" borderId="1" xfId="1" applyNumberFormat="1" applyFont="1" applyBorder="1"/>
    <xf numFmtId="165" fontId="14" fillId="0" borderId="1" xfId="1" applyNumberFormat="1" applyFont="1" applyBorder="1" applyAlignment="1">
      <alignment horizontal="right"/>
    </xf>
    <xf numFmtId="0" fontId="14" fillId="0" borderId="1" xfId="0" applyFont="1" applyBorder="1"/>
    <xf numFmtId="43" fontId="14" fillId="0" borderId="1" xfId="1" applyFont="1" applyBorder="1"/>
    <xf numFmtId="43" fontId="14" fillId="0" borderId="1" xfId="1" applyFont="1" applyBorder="1" applyAlignment="1">
      <alignment horizontal="left"/>
    </xf>
    <xf numFmtId="165" fontId="14" fillId="0" borderId="0" xfId="1" applyNumberFormat="1" applyFont="1" applyBorder="1"/>
    <xf numFmtId="165" fontId="14" fillId="0" borderId="1" xfId="0" applyNumberFormat="1" applyFont="1" applyBorder="1"/>
    <xf numFmtId="0" fontId="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0" fillId="0" borderId="0" xfId="3" applyFont="1"/>
    <xf numFmtId="0" fontId="21" fillId="0" borderId="0" xfId="3" applyFont="1"/>
    <xf numFmtId="0" fontId="22" fillId="0" borderId="0" xfId="0" applyFont="1"/>
    <xf numFmtId="0" fontId="21" fillId="0" borderId="0" xfId="3" applyFont="1" applyAlignment="1">
      <alignment horizontal="center"/>
    </xf>
    <xf numFmtId="17" fontId="21" fillId="0" borderId="0" xfId="3" applyNumberFormat="1" applyFont="1" applyAlignment="1">
      <alignment horizontal="center"/>
    </xf>
    <xf numFmtId="17" fontId="20" fillId="0" borderId="0" xfId="3" applyNumberFormat="1" applyFont="1"/>
    <xf numFmtId="0" fontId="20" fillId="0" borderId="0" xfId="3" applyFont="1" applyAlignment="1">
      <alignment wrapText="1"/>
    </xf>
    <xf numFmtId="42" fontId="20" fillId="0" borderId="0" xfId="3" applyNumberFormat="1" applyFont="1"/>
    <xf numFmtId="0" fontId="23" fillId="0" borderId="0" xfId="3" applyFont="1"/>
    <xf numFmtId="165" fontId="2" fillId="0" borderId="0" xfId="1" applyNumberFormat="1" applyFont="1" applyAlignment="1">
      <alignment horizontal="right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24" fillId="0" borderId="33" xfId="0" applyFont="1" applyBorder="1"/>
    <xf numFmtId="164" fontId="6" fillId="0" borderId="33" xfId="0" quotePrefix="1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0" fontId="4" fillId="18" borderId="22" xfId="0" applyFont="1" applyFill="1" applyBorder="1"/>
    <xf numFmtId="0" fontId="9" fillId="18" borderId="28" xfId="0" applyFont="1" applyFill="1" applyBorder="1" applyAlignment="1">
      <alignment horizontal="right"/>
    </xf>
    <xf numFmtId="0" fontId="2" fillId="18" borderId="22" xfId="0" applyFont="1" applyFill="1" applyBorder="1"/>
    <xf numFmtId="41" fontId="9" fillId="18" borderId="11" xfId="0" applyNumberFormat="1" applyFont="1" applyFill="1" applyBorder="1"/>
    <xf numFmtId="0" fontId="4" fillId="0" borderId="13" xfId="0" applyFont="1" applyBorder="1" applyAlignment="1">
      <alignment horizontal="right"/>
    </xf>
    <xf numFmtId="0" fontId="2" fillId="0" borderId="33" xfId="0" applyFont="1" applyBorder="1"/>
    <xf numFmtId="41" fontId="25" fillId="13" borderId="8" xfId="0" applyNumberFormat="1" applyFont="1" applyFill="1" applyBorder="1"/>
    <xf numFmtId="0" fontId="26" fillId="13" borderId="5" xfId="0" applyFont="1" applyFill="1" applyBorder="1"/>
    <xf numFmtId="41" fontId="25" fillId="13" borderId="1" xfId="0" applyNumberFormat="1" applyFont="1" applyFill="1" applyBorder="1"/>
    <xf numFmtId="0" fontId="26" fillId="13" borderId="3" xfId="0" applyFont="1" applyFill="1" applyBorder="1"/>
    <xf numFmtId="41" fontId="26" fillId="13" borderId="0" xfId="0" applyNumberFormat="1" applyFont="1" applyFill="1" applyBorder="1"/>
    <xf numFmtId="41" fontId="26" fillId="13" borderId="2" xfId="0" applyNumberFormat="1" applyFont="1" applyFill="1" applyBorder="1"/>
    <xf numFmtId="41" fontId="26" fillId="13" borderId="1" xfId="0" applyNumberFormat="1" applyFont="1" applyFill="1" applyBorder="1"/>
    <xf numFmtId="41" fontId="26" fillId="13" borderId="7" xfId="0" applyNumberFormat="1" applyFont="1" applyFill="1" applyBorder="1"/>
    <xf numFmtId="165" fontId="25" fillId="9" borderId="3" xfId="0" applyNumberFormat="1" applyFont="1" applyFill="1" applyBorder="1"/>
    <xf numFmtId="165" fontId="26" fillId="0" borderId="0" xfId="1" applyNumberFormat="1" applyFont="1"/>
    <xf numFmtId="165" fontId="4" fillId="19" borderId="11" xfId="1" applyNumberFormat="1" applyFont="1" applyFill="1" applyBorder="1"/>
    <xf numFmtId="0" fontId="2" fillId="12" borderId="0" xfId="0" applyFont="1" applyFill="1"/>
    <xf numFmtId="165" fontId="2" fillId="20" borderId="11" xfId="1" applyNumberFormat="1" applyFont="1" applyFill="1" applyBorder="1"/>
    <xf numFmtId="165" fontId="2" fillId="9" borderId="11" xfId="1" applyNumberFormat="1" applyFont="1" applyFill="1" applyBorder="1"/>
    <xf numFmtId="0" fontId="2" fillId="9" borderId="0" xfId="0" applyFont="1" applyFill="1"/>
    <xf numFmtId="165" fontId="26" fillId="17" borderId="2" xfId="0" applyNumberFormat="1" applyFont="1" applyFill="1" applyBorder="1"/>
    <xf numFmtId="0" fontId="2" fillId="12" borderId="11" xfId="1" applyNumberFormat="1" applyFont="1" applyFill="1" applyBorder="1" applyAlignment="1">
      <alignment horizontal="center"/>
    </xf>
    <xf numFmtId="164" fontId="6" fillId="12" borderId="32" xfId="0" applyNumberFormat="1" applyFont="1" applyFill="1" applyBorder="1" applyAlignment="1">
      <alignment horizontal="center"/>
    </xf>
    <xf numFmtId="0" fontId="21" fillId="16" borderId="0" xfId="3" applyFont="1" applyFill="1" applyAlignment="1">
      <alignment horizontal="center"/>
    </xf>
    <xf numFmtId="0" fontId="20" fillId="16" borderId="0" xfId="3" applyFont="1" applyFill="1"/>
    <xf numFmtId="165" fontId="20" fillId="16" borderId="0" xfId="4" applyNumberFormat="1" applyFont="1" applyFill="1"/>
    <xf numFmtId="165" fontId="21" fillId="16" borderId="0" xfId="4" applyNumberFormat="1" applyFont="1" applyFill="1"/>
    <xf numFmtId="42" fontId="21" fillId="16" borderId="0" xfId="3" applyNumberFormat="1" applyFont="1" applyFill="1"/>
    <xf numFmtId="0" fontId="20" fillId="0" borderId="0" xfId="3" applyFont="1" applyAlignment="1">
      <alignment horizontal="left" wrapText="1"/>
    </xf>
    <xf numFmtId="165" fontId="20" fillId="0" borderId="0" xfId="1" applyNumberFormat="1" applyFont="1"/>
    <xf numFmtId="0" fontId="21" fillId="16" borderId="8" xfId="3" applyFont="1" applyFill="1" applyBorder="1"/>
    <xf numFmtId="42" fontId="21" fillId="16" borderId="8" xfId="3" applyNumberFormat="1" applyFont="1" applyFill="1" applyBorder="1"/>
    <xf numFmtId="166" fontId="20" fillId="0" borderId="0" xfId="3" applyNumberFormat="1" applyFont="1"/>
    <xf numFmtId="165" fontId="20" fillId="16" borderId="0" xfId="1" applyNumberFormat="1" applyFont="1" applyFill="1"/>
    <xf numFmtId="0" fontId="20" fillId="0" borderId="49" xfId="3" applyFont="1" applyBorder="1"/>
    <xf numFmtId="0" fontId="27" fillId="16" borderId="49" xfId="3" applyFont="1" applyFill="1" applyBorder="1" applyAlignment="1">
      <alignment horizontal="center"/>
    </xf>
    <xf numFmtId="17" fontId="20" fillId="0" borderId="49" xfId="3" applyNumberFormat="1" applyFont="1" applyBorder="1"/>
    <xf numFmtId="165" fontId="21" fillId="0" borderId="0" xfId="1" applyNumberFormat="1" applyFont="1"/>
    <xf numFmtId="165" fontId="20" fillId="16" borderId="1" xfId="4" applyNumberFormat="1" applyFont="1" applyFill="1" applyBorder="1"/>
    <xf numFmtId="165" fontId="20" fillId="0" borderId="1" xfId="1" applyNumberFormat="1" applyFont="1" applyBorder="1"/>
    <xf numFmtId="165" fontId="21" fillId="0" borderId="1" xfId="1" applyNumberFormat="1" applyFont="1" applyBorder="1"/>
    <xf numFmtId="165" fontId="21" fillId="12" borderId="0" xfId="4" applyNumberFormat="1" applyFont="1" applyFill="1"/>
    <xf numFmtId="42" fontId="21" fillId="12" borderId="0" xfId="3" applyNumberFormat="1" applyFont="1" applyFill="1"/>
    <xf numFmtId="43" fontId="20" fillId="0" borderId="0" xfId="3" applyNumberFormat="1" applyFont="1"/>
    <xf numFmtId="165" fontId="20" fillId="16" borderId="1" xfId="1" applyNumberFormat="1" applyFont="1" applyFill="1" applyBorder="1"/>
    <xf numFmtId="0" fontId="11" fillId="0" borderId="0" xfId="0" applyFont="1" applyAlignment="1"/>
    <xf numFmtId="165" fontId="4" fillId="16" borderId="21" xfId="1" applyNumberFormat="1" applyFont="1" applyFill="1" applyBorder="1"/>
    <xf numFmtId="165" fontId="2" fillId="12" borderId="24" xfId="1" applyNumberFormat="1" applyFont="1" applyFill="1" applyBorder="1"/>
    <xf numFmtId="0" fontId="2" fillId="17" borderId="0" xfId="0" applyFont="1" applyFill="1"/>
    <xf numFmtId="0" fontId="2" fillId="20" borderId="0" xfId="0" applyFont="1" applyFill="1"/>
    <xf numFmtId="0" fontId="2" fillId="9" borderId="1" xfId="0" applyFont="1" applyFill="1" applyBorder="1"/>
    <xf numFmtId="0" fontId="4" fillId="18" borderId="9" xfId="0" applyFont="1" applyFill="1" applyBorder="1"/>
    <xf numFmtId="42" fontId="27" fillId="16" borderId="8" xfId="3" applyNumberFormat="1" applyFont="1" applyFill="1" applyBorder="1"/>
    <xf numFmtId="0" fontId="2" fillId="18" borderId="22" xfId="0" applyFont="1" applyFill="1" applyBorder="1" applyAlignment="1">
      <alignment horizontal="right"/>
    </xf>
    <xf numFmtId="0" fontId="9" fillId="18" borderId="22" xfId="0" applyFont="1" applyFill="1" applyBorder="1" applyAlignment="1">
      <alignment horizontal="right"/>
    </xf>
    <xf numFmtId="0" fontId="2" fillId="22" borderId="0" xfId="0" applyFont="1" applyFill="1"/>
    <xf numFmtId="0" fontId="28" fillId="0" borderId="0" xfId="0" applyFont="1"/>
    <xf numFmtId="0" fontId="18" fillId="0" borderId="0" xfId="0" applyFont="1"/>
    <xf numFmtId="0" fontId="29" fillId="0" borderId="0" xfId="0" applyFont="1" applyAlignment="1">
      <alignment vertical="center"/>
    </xf>
    <xf numFmtId="165" fontId="30" fillId="12" borderId="11" xfId="1" applyNumberFormat="1" applyFont="1" applyFill="1" applyBorder="1"/>
    <xf numFmtId="0" fontId="11" fillId="0" borderId="0" xfId="0" applyFont="1" applyAlignment="1">
      <alignment horizontal="left"/>
    </xf>
    <xf numFmtId="0" fontId="31" fillId="21" borderId="33" xfId="0" applyFont="1" applyFill="1" applyBorder="1"/>
    <xf numFmtId="0" fontId="31" fillId="21" borderId="41" xfId="0" applyFont="1" applyFill="1" applyBorder="1" applyAlignment="1">
      <alignment horizontal="right"/>
    </xf>
    <xf numFmtId="0" fontId="31" fillId="21" borderId="33" xfId="0" applyFont="1" applyFill="1" applyBorder="1" applyAlignment="1">
      <alignment horizontal="right"/>
    </xf>
    <xf numFmtId="0" fontId="21" fillId="21" borderId="33" xfId="0" applyFont="1" applyFill="1" applyBorder="1" applyAlignment="1">
      <alignment horizontal="right"/>
    </xf>
    <xf numFmtId="0" fontId="21" fillId="14" borderId="33" xfId="0" applyFont="1" applyFill="1" applyBorder="1" applyAlignment="1">
      <alignment horizontal="right"/>
    </xf>
    <xf numFmtId="0" fontId="31" fillId="15" borderId="0" xfId="0" applyFont="1" applyFill="1" applyBorder="1" applyAlignment="1">
      <alignment horizontal="left"/>
    </xf>
    <xf numFmtId="0" fontId="31" fillId="15" borderId="6" xfId="0" applyFont="1" applyFill="1" applyBorder="1"/>
    <xf numFmtId="0" fontId="31" fillId="15" borderId="0" xfId="0" applyFont="1" applyFill="1" applyBorder="1" applyAlignment="1">
      <alignment horizontal="right"/>
    </xf>
    <xf numFmtId="0" fontId="21" fillId="15" borderId="0" xfId="0" applyFont="1" applyFill="1" applyBorder="1" applyAlignment="1">
      <alignment horizontal="right"/>
    </xf>
    <xf numFmtId="0" fontId="21" fillId="14" borderId="0" xfId="0" applyFont="1" applyFill="1" applyBorder="1" applyAlignment="1">
      <alignment horizontal="right"/>
    </xf>
    <xf numFmtId="0" fontId="32" fillId="15" borderId="0" xfId="0" applyFont="1" applyFill="1" applyBorder="1" applyAlignment="1">
      <alignment horizontal="center"/>
    </xf>
    <xf numFmtId="0" fontId="32" fillId="15" borderId="0" xfId="0" applyFont="1" applyFill="1" applyBorder="1"/>
    <xf numFmtId="165" fontId="32" fillId="15" borderId="6" xfId="1" applyNumberFormat="1" applyFont="1" applyFill="1" applyBorder="1"/>
    <xf numFmtId="165" fontId="32" fillId="15" borderId="0" xfId="1" applyNumberFormat="1" applyFont="1" applyFill="1" applyBorder="1"/>
    <xf numFmtId="165" fontId="20" fillId="15" borderId="0" xfId="1" applyNumberFormat="1" applyFont="1" applyFill="1" applyBorder="1"/>
    <xf numFmtId="165" fontId="20" fillId="14" borderId="0" xfId="1" applyNumberFormat="1" applyFont="1" applyFill="1" applyBorder="1"/>
    <xf numFmtId="0" fontId="32" fillId="15" borderId="1" xfId="0" applyFont="1" applyFill="1" applyBorder="1"/>
    <xf numFmtId="165" fontId="32" fillId="15" borderId="7" xfId="1" applyNumberFormat="1" applyFont="1" applyFill="1" applyBorder="1"/>
    <xf numFmtId="165" fontId="32" fillId="15" borderId="1" xfId="1" applyNumberFormat="1" applyFont="1" applyFill="1" applyBorder="1"/>
    <xf numFmtId="165" fontId="20" fillId="15" borderId="1" xfId="1" applyNumberFormat="1" applyFont="1" applyFill="1" applyBorder="1"/>
    <xf numFmtId="165" fontId="20" fillId="14" borderId="1" xfId="1" applyNumberFormat="1" applyFont="1" applyFill="1" applyBorder="1"/>
    <xf numFmtId="165" fontId="31" fillId="15" borderId="6" xfId="1" applyNumberFormat="1" applyFont="1" applyFill="1" applyBorder="1"/>
    <xf numFmtId="165" fontId="31" fillId="15" borderId="0" xfId="1" applyNumberFormat="1" applyFont="1" applyFill="1" applyBorder="1"/>
    <xf numFmtId="165" fontId="21" fillId="15" borderId="0" xfId="1" applyNumberFormat="1" applyFont="1" applyFill="1" applyBorder="1"/>
    <xf numFmtId="165" fontId="21" fillId="14" borderId="0" xfId="1" applyNumberFormat="1" applyFont="1" applyFill="1" applyBorder="1"/>
    <xf numFmtId="0" fontId="32" fillId="15" borderId="0" xfId="0" applyFont="1" applyFill="1" applyBorder="1" applyAlignment="1">
      <alignment horizontal="left"/>
    </xf>
    <xf numFmtId="0" fontId="32" fillId="15" borderId="1" xfId="0" applyFont="1" applyFill="1" applyBorder="1" applyAlignment="1">
      <alignment horizontal="left"/>
    </xf>
    <xf numFmtId="165" fontId="31" fillId="15" borderId="7" xfId="1" applyNumberFormat="1" applyFont="1" applyFill="1" applyBorder="1"/>
    <xf numFmtId="165" fontId="31" fillId="15" borderId="1" xfId="1" applyNumberFormat="1" applyFont="1" applyFill="1" applyBorder="1"/>
    <xf numFmtId="165" fontId="21" fillId="15" borderId="1" xfId="1" applyNumberFormat="1" applyFont="1" applyFill="1" applyBorder="1"/>
    <xf numFmtId="165" fontId="21" fillId="14" borderId="1" xfId="1" applyNumberFormat="1" applyFont="1" applyFill="1" applyBorder="1"/>
    <xf numFmtId="0" fontId="32" fillId="18" borderId="0" xfId="0" applyFont="1" applyFill="1" applyBorder="1" applyAlignment="1">
      <alignment horizontal="center"/>
    </xf>
    <xf numFmtId="0" fontId="31" fillId="16" borderId="0" xfId="0" applyFont="1" applyFill="1" applyBorder="1" applyAlignment="1">
      <alignment horizontal="left"/>
    </xf>
    <xf numFmtId="165" fontId="31" fillId="16" borderId="6" xfId="1" applyNumberFormat="1" applyFont="1" applyFill="1" applyBorder="1"/>
    <xf numFmtId="165" fontId="31" fillId="16" borderId="0" xfId="1" applyNumberFormat="1" applyFont="1" applyFill="1" applyBorder="1"/>
    <xf numFmtId="165" fontId="21" fillId="16" borderId="0" xfId="1" applyNumberFormat="1" applyFont="1" applyFill="1" applyBorder="1"/>
    <xf numFmtId="165" fontId="31" fillId="18" borderId="6" xfId="1" applyNumberFormat="1" applyFont="1" applyFill="1" applyBorder="1"/>
    <xf numFmtId="165" fontId="31" fillId="18" borderId="0" xfId="1" applyNumberFormat="1" applyFont="1" applyFill="1" applyBorder="1"/>
    <xf numFmtId="165" fontId="27" fillId="18" borderId="0" xfId="1" applyNumberFormat="1" applyFont="1" applyFill="1" applyBorder="1"/>
    <xf numFmtId="0" fontId="33" fillId="18" borderId="0" xfId="0" applyFont="1" applyFill="1"/>
    <xf numFmtId="0" fontId="22" fillId="18" borderId="0" xfId="0" applyFont="1" applyFill="1"/>
    <xf numFmtId="165" fontId="22" fillId="18" borderId="6" xfId="1" applyNumberFormat="1" applyFont="1" applyFill="1" applyBorder="1"/>
    <xf numFmtId="165" fontId="22" fillId="18" borderId="0" xfId="1" applyNumberFormat="1" applyFont="1" applyFill="1" applyAlignment="1">
      <alignment horizontal="center"/>
    </xf>
    <xf numFmtId="165" fontId="34" fillId="18" borderId="0" xfId="1" applyNumberFormat="1" applyFont="1" applyFill="1" applyAlignment="1">
      <alignment horizontal="center"/>
    </xf>
    <xf numFmtId="165" fontId="20" fillId="14" borderId="0" xfId="1" applyNumberFormat="1" applyFont="1" applyFill="1" applyAlignment="1">
      <alignment horizontal="center"/>
    </xf>
    <xf numFmtId="0" fontId="32" fillId="18" borderId="0" xfId="0" applyFont="1" applyFill="1"/>
    <xf numFmtId="165" fontId="32" fillId="18" borderId="6" xfId="1" applyNumberFormat="1" applyFont="1" applyFill="1" applyBorder="1"/>
    <xf numFmtId="165" fontId="22" fillId="18" borderId="0" xfId="1" applyNumberFormat="1" applyFont="1" applyFill="1"/>
    <xf numFmtId="165" fontId="34" fillId="18" borderId="0" xfId="1" applyNumberFormat="1" applyFont="1" applyFill="1"/>
    <xf numFmtId="165" fontId="20" fillId="14" borderId="0" xfId="1" applyNumberFormat="1" applyFont="1" applyFill="1"/>
    <xf numFmtId="165" fontId="22" fillId="18" borderId="0" xfId="1" applyNumberFormat="1" applyFont="1" applyFill="1" applyBorder="1"/>
    <xf numFmtId="165" fontId="20" fillId="18" borderId="0" xfId="1" applyNumberFormat="1" applyFont="1" applyFill="1"/>
    <xf numFmtId="0" fontId="32" fillId="18" borderId="0" xfId="0" applyFont="1" applyFill="1" applyBorder="1"/>
    <xf numFmtId="165" fontId="20" fillId="18" borderId="0" xfId="1" applyNumberFormat="1" applyFont="1" applyFill="1" applyBorder="1"/>
    <xf numFmtId="0" fontId="32" fillId="18" borderId="1" xfId="0" applyFont="1" applyFill="1" applyBorder="1"/>
    <xf numFmtId="165" fontId="32" fillId="18" borderId="7" xfId="1" applyNumberFormat="1" applyFont="1" applyFill="1" applyBorder="1"/>
    <xf numFmtId="165" fontId="22" fillId="18" borderId="1" xfId="1" applyNumberFormat="1" applyFont="1" applyFill="1" applyBorder="1"/>
    <xf numFmtId="165" fontId="20" fillId="18" borderId="1" xfId="1" applyNumberFormat="1" applyFont="1" applyFill="1" applyBorder="1"/>
    <xf numFmtId="0" fontId="22" fillId="18" borderId="0" xfId="0" applyFont="1" applyFill="1" applyBorder="1"/>
    <xf numFmtId="0" fontId="33" fillId="16" borderId="40" xfId="0" applyFont="1" applyFill="1" applyBorder="1"/>
    <xf numFmtId="165" fontId="33" fillId="16" borderId="42" xfId="1" applyNumberFormat="1" applyFont="1" applyFill="1" applyBorder="1"/>
    <xf numFmtId="165" fontId="33" fillId="16" borderId="40" xfId="1" applyNumberFormat="1" applyFont="1" applyFill="1" applyBorder="1"/>
    <xf numFmtId="165" fontId="21" fillId="16" borderId="40" xfId="1" applyNumberFormat="1" applyFont="1" applyFill="1" applyBorder="1"/>
    <xf numFmtId="165" fontId="21" fillId="14" borderId="40" xfId="1" applyNumberFormat="1" applyFont="1" applyFill="1" applyBorder="1"/>
    <xf numFmtId="0" fontId="33" fillId="21" borderId="0" xfId="0" applyFont="1" applyFill="1" applyBorder="1"/>
    <xf numFmtId="165" fontId="33" fillId="21" borderId="6" xfId="1" applyNumberFormat="1" applyFont="1" applyFill="1" applyBorder="1"/>
    <xf numFmtId="165" fontId="33" fillId="21" borderId="0" xfId="1" applyNumberFormat="1" applyFont="1" applyFill="1"/>
    <xf numFmtId="165" fontId="21" fillId="21" borderId="0" xfId="1" applyNumberFormat="1" applyFont="1" applyFill="1"/>
    <xf numFmtId="165" fontId="21" fillId="14" borderId="0" xfId="1" applyNumberFormat="1" applyFont="1" applyFill="1"/>
    <xf numFmtId="0" fontId="22" fillId="21" borderId="0" xfId="0" applyFont="1" applyFill="1"/>
    <xf numFmtId="165" fontId="22" fillId="21" borderId="6" xfId="1" applyNumberFormat="1" applyFont="1" applyFill="1" applyBorder="1"/>
    <xf numFmtId="165" fontId="22" fillId="21" borderId="0" xfId="1" applyNumberFormat="1" applyFont="1" applyFill="1"/>
    <xf numFmtId="165" fontId="20" fillId="21" borderId="0" xfId="1" applyNumberFormat="1" applyFont="1" applyFill="1"/>
    <xf numFmtId="165" fontId="22" fillId="0" borderId="0" xfId="1" applyNumberFormat="1" applyFont="1"/>
    <xf numFmtId="165" fontId="22" fillId="14" borderId="0" xfId="1" applyNumberFormat="1" applyFont="1" applyFill="1"/>
    <xf numFmtId="165" fontId="21" fillId="16" borderId="0" xfId="1" applyNumberFormat="1" applyFont="1" applyFill="1"/>
    <xf numFmtId="165" fontId="20" fillId="16" borderId="0" xfId="3" applyNumberFormat="1" applyFont="1" applyFill="1"/>
    <xf numFmtId="0" fontId="27" fillId="0" borderId="0" xfId="3" applyFont="1" applyFill="1"/>
    <xf numFmtId="166" fontId="27" fillId="0" borderId="0" xfId="3" applyNumberFormat="1" applyFont="1"/>
    <xf numFmtId="43" fontId="20" fillId="16" borderId="0" xfId="3" applyNumberFormat="1" applyFont="1" applyFill="1"/>
    <xf numFmtId="0" fontId="6" fillId="0" borderId="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left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14</xdr:row>
      <xdr:rowOff>66675</xdr:rowOff>
    </xdr:from>
    <xdr:to>
      <xdr:col>12</xdr:col>
      <xdr:colOff>600075</xdr:colOff>
      <xdr:row>16</xdr:row>
      <xdr:rowOff>9525</xdr:rowOff>
    </xdr:to>
    <xdr:sp macro="" textlink="">
      <xdr:nvSpPr>
        <xdr:cNvPr id="2" name="Rounded Rectangle 1"/>
        <xdr:cNvSpPr/>
      </xdr:nvSpPr>
      <xdr:spPr>
        <a:xfrm>
          <a:off x="9344025" y="2257425"/>
          <a:ext cx="1047750" cy="2476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2010-11 payment</a:t>
          </a:r>
        </a:p>
      </xdr:txBody>
    </xdr:sp>
    <xdr:clientData/>
  </xdr:twoCellAnchor>
  <xdr:twoCellAnchor>
    <xdr:from>
      <xdr:col>11</xdr:col>
      <xdr:colOff>314325</xdr:colOff>
      <xdr:row>16</xdr:row>
      <xdr:rowOff>9525</xdr:rowOff>
    </xdr:from>
    <xdr:to>
      <xdr:col>11</xdr:col>
      <xdr:colOff>581025</xdr:colOff>
      <xdr:row>18</xdr:row>
      <xdr:rowOff>9525</xdr:rowOff>
    </xdr:to>
    <xdr:cxnSp macro="">
      <xdr:nvCxnSpPr>
        <xdr:cNvPr id="4" name="Straight Arrow Connector 3"/>
        <xdr:cNvCxnSpPr/>
      </xdr:nvCxnSpPr>
      <xdr:spPr>
        <a:xfrm rot="5400000" flipH="1" flipV="1">
          <a:off x="9439275" y="2524125"/>
          <a:ext cx="30480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15</xdr:row>
      <xdr:rowOff>85725</xdr:rowOff>
    </xdr:from>
    <xdr:to>
      <xdr:col>12</xdr:col>
      <xdr:colOff>142875</xdr:colOff>
      <xdr:row>17</xdr:row>
      <xdr:rowOff>28575</xdr:rowOff>
    </xdr:to>
    <xdr:sp macro="" textlink="">
      <xdr:nvSpPr>
        <xdr:cNvPr id="2" name="Rounded Rectangle 1"/>
        <xdr:cNvSpPr/>
      </xdr:nvSpPr>
      <xdr:spPr>
        <a:xfrm>
          <a:off x="9782174" y="2466975"/>
          <a:ext cx="762001" cy="2476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ysClr val="windowText" lastClr="000000"/>
              </a:solidFill>
            </a:rPr>
            <a:t>2011-12 pay</a:t>
          </a:r>
        </a:p>
      </xdr:txBody>
    </xdr:sp>
    <xdr:clientData/>
  </xdr:twoCellAnchor>
  <xdr:twoCellAnchor>
    <xdr:from>
      <xdr:col>10</xdr:col>
      <xdr:colOff>609600</xdr:colOff>
      <xdr:row>17</xdr:row>
      <xdr:rowOff>38100</xdr:rowOff>
    </xdr:from>
    <xdr:to>
      <xdr:col>11</xdr:col>
      <xdr:colOff>123825</xdr:colOff>
      <xdr:row>18</xdr:row>
      <xdr:rowOff>19051</xdr:rowOff>
    </xdr:to>
    <xdr:cxnSp macro="">
      <xdr:nvCxnSpPr>
        <xdr:cNvPr id="4" name="Straight Arrow Connector 3"/>
        <xdr:cNvCxnSpPr/>
      </xdr:nvCxnSpPr>
      <xdr:spPr>
        <a:xfrm flipH="1">
          <a:off x="9715500" y="2724150"/>
          <a:ext cx="161925" cy="1333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hi/Desktop/2011-12%20Budget%20Construction/Central%20budgets/Clearwire/Clearwire%20Holding%20Account%20Activity_7-1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 schedule"/>
      <sheetName val="Univ. Plan"/>
      <sheetName val="2008-09"/>
      <sheetName val="2009-10"/>
      <sheetName val="2010-11"/>
      <sheetName val="2011-12"/>
      <sheetName val="Acct Summary"/>
    </sheetNames>
    <sheetDataSet>
      <sheetData sheetId="0"/>
      <sheetData sheetId="1"/>
      <sheetData sheetId="2">
        <row r="14">
          <cell r="B14">
            <v>8629614</v>
          </cell>
          <cell r="C14">
            <v>295161</v>
          </cell>
          <cell r="D14">
            <v>295161</v>
          </cell>
          <cell r="E14">
            <v>295161</v>
          </cell>
          <cell r="F14">
            <v>285579</v>
          </cell>
          <cell r="G14">
            <v>295161</v>
          </cell>
          <cell r="H14">
            <v>1719119</v>
          </cell>
          <cell r="I14">
            <v>340606</v>
          </cell>
          <cell r="J14">
            <v>340606</v>
          </cell>
          <cell r="K14">
            <v>340606</v>
          </cell>
          <cell r="L14">
            <v>340606</v>
          </cell>
          <cell r="M14">
            <v>340606</v>
          </cell>
          <cell r="N14">
            <v>340606</v>
          </cell>
        </row>
        <row r="17">
          <cell r="B17">
            <v>8629613.870000001</v>
          </cell>
        </row>
        <row r="21">
          <cell r="B21">
            <v>13540.849999999999</v>
          </cell>
          <cell r="C21">
            <v>27270.34</v>
          </cell>
          <cell r="D21">
            <v>29991.769999999997</v>
          </cell>
          <cell r="E21">
            <v>13049.74</v>
          </cell>
          <cell r="F21">
            <v>10929.37</v>
          </cell>
          <cell r="G21">
            <v>13971.82</v>
          </cell>
          <cell r="H21">
            <v>12495.18</v>
          </cell>
          <cell r="I21">
            <v>17546.41</v>
          </cell>
          <cell r="J21">
            <v>3618.79</v>
          </cell>
          <cell r="K21">
            <v>8529.11</v>
          </cell>
          <cell r="L21">
            <v>8073.4</v>
          </cell>
          <cell r="M21">
            <v>8905.7900000000009</v>
          </cell>
          <cell r="N21">
            <v>8253.09</v>
          </cell>
        </row>
        <row r="22">
          <cell r="C22">
            <v>285579.40000000002</v>
          </cell>
          <cell r="D22">
            <v>295160.5</v>
          </cell>
          <cell r="E22">
            <v>295160.5</v>
          </cell>
          <cell r="F22">
            <v>295160.5</v>
          </cell>
          <cell r="G22">
            <v>295160.5</v>
          </cell>
          <cell r="H22">
            <v>1687337.3</v>
          </cell>
          <cell r="I22">
            <v>340606.5</v>
          </cell>
          <cell r="J22">
            <v>340606.5</v>
          </cell>
          <cell r="K22">
            <v>340606.5</v>
          </cell>
          <cell r="L22">
            <v>340606.5</v>
          </cell>
          <cell r="M22">
            <v>340606.5</v>
          </cell>
          <cell r="N22">
            <v>340606.5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</sheetData>
      <sheetData sheetId="3">
        <row r="12">
          <cell r="N12">
            <v>4087272</v>
          </cell>
        </row>
        <row r="19">
          <cell r="N19">
            <v>6403107</v>
          </cell>
        </row>
        <row r="20">
          <cell r="N20">
            <v>2009578.35</v>
          </cell>
        </row>
        <row r="21">
          <cell r="N21">
            <v>109099.69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58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10.7109375" style="144" customWidth="1"/>
    <col min="2" max="2" width="18.7109375" style="141" customWidth="1"/>
    <col min="3" max="3" width="15" style="140" customWidth="1"/>
    <col min="4" max="4" width="14.28515625" style="140" customWidth="1"/>
    <col min="5" max="5" width="17.85546875" style="140" customWidth="1"/>
    <col min="6" max="6" width="15.42578125" style="140" customWidth="1"/>
    <col min="7" max="7" width="14.28515625" style="140" customWidth="1"/>
    <col min="8" max="8" width="13.85546875" style="140" customWidth="1"/>
    <col min="9" max="9" width="13.5703125" style="140" bestFit="1" customWidth="1"/>
    <col min="10" max="16384" width="9.140625" style="140"/>
  </cols>
  <sheetData>
    <row r="1" spans="1:8" ht="18.75" x14ac:dyDescent="0.3">
      <c r="A1" s="153" t="s">
        <v>110</v>
      </c>
    </row>
    <row r="3" spans="1:8" ht="26.25" thickBot="1" x14ac:dyDescent="0.25">
      <c r="A3" s="145" t="s">
        <v>104</v>
      </c>
      <c r="B3" s="145" t="s">
        <v>73</v>
      </c>
      <c r="C3" s="152" t="s">
        <v>66</v>
      </c>
      <c r="D3" s="146" t="s">
        <v>106</v>
      </c>
      <c r="E3" s="198" t="s">
        <v>107</v>
      </c>
      <c r="F3" s="147" t="s">
        <v>75</v>
      </c>
      <c r="G3" s="204" t="s">
        <v>108</v>
      </c>
      <c r="H3" s="205" t="s">
        <v>72</v>
      </c>
    </row>
    <row r="4" spans="1:8" x14ac:dyDescent="0.2">
      <c r="A4" s="154" t="s">
        <v>57</v>
      </c>
      <c r="B4" s="129" t="s">
        <v>58</v>
      </c>
      <c r="C4" s="155"/>
      <c r="D4" s="156">
        <v>3541928</v>
      </c>
      <c r="E4" s="199" t="s">
        <v>67</v>
      </c>
      <c r="F4" s="157">
        <f>+D4*5</f>
        <v>17709640</v>
      </c>
      <c r="G4" s="126"/>
      <c r="H4" s="158"/>
    </row>
    <row r="5" spans="1:8" x14ac:dyDescent="0.2">
      <c r="A5" s="154"/>
      <c r="B5" s="129" t="s">
        <v>59</v>
      </c>
      <c r="C5" s="155"/>
      <c r="D5" s="156">
        <v>4073218</v>
      </c>
      <c r="E5" s="199" t="s">
        <v>68</v>
      </c>
      <c r="F5" s="157">
        <f>+D5*5</f>
        <v>20366090</v>
      </c>
      <c r="G5" s="126"/>
      <c r="H5" s="158"/>
    </row>
    <row r="6" spans="1:8" x14ac:dyDescent="0.2">
      <c r="A6" s="154"/>
      <c r="B6" s="129" t="s">
        <v>60</v>
      </c>
      <c r="C6" s="155"/>
      <c r="D6" s="156">
        <v>4604506</v>
      </c>
      <c r="E6" s="199" t="s">
        <v>69</v>
      </c>
      <c r="F6" s="157">
        <f>+D6*5</f>
        <v>23022530</v>
      </c>
      <c r="G6" s="126"/>
      <c r="H6" s="158"/>
    </row>
    <row r="7" spans="1:8" x14ac:dyDescent="0.2">
      <c r="A7" s="154"/>
      <c r="B7" s="129" t="s">
        <v>61</v>
      </c>
      <c r="C7" s="155"/>
      <c r="D7" s="156">
        <v>5091522</v>
      </c>
      <c r="E7" s="199" t="s">
        <v>70</v>
      </c>
      <c r="F7" s="157">
        <f>+D7*5</f>
        <v>25457610</v>
      </c>
      <c r="G7" s="126"/>
      <c r="H7" s="158"/>
    </row>
    <row r="8" spans="1:8" x14ac:dyDescent="0.2">
      <c r="A8" s="154"/>
      <c r="B8" s="131" t="s">
        <v>62</v>
      </c>
      <c r="C8" s="155"/>
      <c r="D8" s="156">
        <v>5534264</v>
      </c>
      <c r="E8" s="199" t="s">
        <v>71</v>
      </c>
      <c r="F8" s="157">
        <f>+D8*10</f>
        <v>55342640</v>
      </c>
      <c r="G8" s="126"/>
      <c r="H8" s="158"/>
    </row>
    <row r="9" spans="1:8" x14ac:dyDescent="0.2">
      <c r="A9" s="154"/>
      <c r="B9" s="131" t="s">
        <v>63</v>
      </c>
      <c r="C9" s="155"/>
      <c r="D9" s="158"/>
      <c r="E9" s="199"/>
      <c r="F9" s="159"/>
      <c r="G9" s="126"/>
      <c r="H9" s="158"/>
    </row>
    <row r="10" spans="1:8" x14ac:dyDescent="0.2">
      <c r="A10" s="154"/>
      <c r="B10" s="133" t="s">
        <v>64</v>
      </c>
      <c r="C10" s="160"/>
      <c r="D10" s="161"/>
      <c r="E10" s="200"/>
      <c r="F10" s="162"/>
      <c r="G10" s="134"/>
      <c r="H10" s="161"/>
    </row>
    <row r="11" spans="1:8" x14ac:dyDescent="0.2">
      <c r="A11" s="154"/>
      <c r="B11" s="163" t="s">
        <v>76</v>
      </c>
      <c r="C11" s="164">
        <v>8597710</v>
      </c>
      <c r="D11" s="165"/>
      <c r="E11" s="201"/>
      <c r="F11" s="166">
        <f>SUM(F4:F10)</f>
        <v>141898510</v>
      </c>
      <c r="G11" s="167">
        <f>+F11+C11</f>
        <v>150496220</v>
      </c>
      <c r="H11" s="168">
        <v>4282597</v>
      </c>
    </row>
    <row r="12" spans="1:8" x14ac:dyDescent="0.2">
      <c r="A12" s="154"/>
      <c r="B12" s="169" t="s">
        <v>74</v>
      </c>
      <c r="C12" s="155"/>
      <c r="D12" s="156"/>
      <c r="E12" s="202"/>
      <c r="F12" s="157"/>
      <c r="G12" s="126"/>
      <c r="H12" s="158"/>
    </row>
    <row r="13" spans="1:8" x14ac:dyDescent="0.2">
      <c r="A13" s="154"/>
      <c r="B13" s="131" t="s">
        <v>58</v>
      </c>
      <c r="C13" s="170"/>
      <c r="D13" s="156">
        <v>4087279</v>
      </c>
      <c r="E13" s="199" t="s">
        <v>67</v>
      </c>
      <c r="F13" s="157">
        <f>+D13*5</f>
        <v>20436395</v>
      </c>
      <c r="G13" s="130"/>
      <c r="H13" s="158"/>
    </row>
    <row r="14" spans="1:8" x14ac:dyDescent="0.2">
      <c r="A14" s="154"/>
      <c r="B14" s="131" t="s">
        <v>59</v>
      </c>
      <c r="C14" s="155"/>
      <c r="D14" s="156">
        <v>4700372</v>
      </c>
      <c r="E14" s="199" t="s">
        <v>68</v>
      </c>
      <c r="F14" s="157">
        <f>+D14*5</f>
        <v>23501860</v>
      </c>
      <c r="G14" s="126"/>
      <c r="H14" s="171"/>
    </row>
    <row r="15" spans="1:8" x14ac:dyDescent="0.2">
      <c r="A15" s="154"/>
      <c r="B15" s="131" t="s">
        <v>60</v>
      </c>
      <c r="C15" s="155"/>
      <c r="D15" s="156">
        <v>5313462</v>
      </c>
      <c r="E15" s="199" t="s">
        <v>69</v>
      </c>
      <c r="F15" s="157">
        <f>+D15*5</f>
        <v>26567310</v>
      </c>
      <c r="G15" s="126"/>
      <c r="H15" s="171"/>
    </row>
    <row r="16" spans="1:8" x14ac:dyDescent="0.2">
      <c r="A16" s="154"/>
      <c r="B16" s="131" t="s">
        <v>61</v>
      </c>
      <c r="C16" s="155"/>
      <c r="D16" s="156">
        <v>5875464</v>
      </c>
      <c r="E16" s="199" t="s">
        <v>70</v>
      </c>
      <c r="F16" s="157">
        <f>+D16*5</f>
        <v>29377320</v>
      </c>
      <c r="G16" s="126"/>
      <c r="H16" s="171"/>
    </row>
    <row r="17" spans="1:9" x14ac:dyDescent="0.2">
      <c r="A17" s="154"/>
      <c r="B17" s="131" t="s">
        <v>62</v>
      </c>
      <c r="C17" s="155"/>
      <c r="D17" s="156">
        <v>6386375</v>
      </c>
      <c r="E17" s="199" t="s">
        <v>71</v>
      </c>
      <c r="F17" s="157">
        <f>+D17*10</f>
        <v>63863750</v>
      </c>
      <c r="G17" s="126"/>
      <c r="H17" s="171"/>
    </row>
    <row r="18" spans="1:9" x14ac:dyDescent="0.2">
      <c r="A18" s="154"/>
      <c r="B18" s="131" t="s">
        <v>63</v>
      </c>
      <c r="C18" s="155"/>
      <c r="D18" s="156"/>
      <c r="E18" s="202"/>
      <c r="F18" s="157"/>
      <c r="G18" s="126"/>
      <c r="H18" s="171"/>
    </row>
    <row r="19" spans="1:9" x14ac:dyDescent="0.2">
      <c r="A19" s="154"/>
      <c r="B19" s="133" t="s">
        <v>65</v>
      </c>
      <c r="C19" s="172"/>
      <c r="D19" s="173"/>
      <c r="E19" s="203"/>
      <c r="F19" s="174"/>
      <c r="G19" s="136"/>
      <c r="H19" s="161"/>
    </row>
    <row r="20" spans="1:9" ht="13.5" thickBot="1" x14ac:dyDescent="0.25">
      <c r="A20" s="175"/>
      <c r="B20" s="175" t="s">
        <v>77</v>
      </c>
      <c r="C20" s="176">
        <v>9976223</v>
      </c>
      <c r="D20" s="177"/>
      <c r="E20" s="178"/>
      <c r="F20" s="179">
        <f>SUM(F13:F19)</f>
        <v>163746635</v>
      </c>
      <c r="G20" s="180">
        <f>+F20+C20</f>
        <v>173722858</v>
      </c>
      <c r="H20" s="177">
        <v>4282597</v>
      </c>
    </row>
    <row r="21" spans="1:9" ht="13.5" thickBot="1" x14ac:dyDescent="0.25">
      <c r="A21" s="181" t="s">
        <v>109</v>
      </c>
      <c r="B21" s="182"/>
      <c r="C21" s="132"/>
      <c r="D21" s="132"/>
      <c r="E21" s="132"/>
      <c r="F21" s="132"/>
      <c r="G21" s="126"/>
      <c r="H21" s="126"/>
    </row>
    <row r="22" spans="1:9" x14ac:dyDescent="0.2">
      <c r="A22" s="154"/>
      <c r="B22" s="137"/>
      <c r="C22" s="138" t="s">
        <v>78</v>
      </c>
      <c r="D22" s="138" t="s">
        <v>79</v>
      </c>
      <c r="E22" s="126"/>
      <c r="F22" s="126"/>
      <c r="G22" s="183" t="s">
        <v>133</v>
      </c>
      <c r="H22" s="184" t="s">
        <v>134</v>
      </c>
    </row>
    <row r="23" spans="1:9" x14ac:dyDescent="0.2">
      <c r="A23" s="154" t="s">
        <v>94</v>
      </c>
      <c r="B23" s="139">
        <v>39609</v>
      </c>
      <c r="C23" s="185">
        <v>31904</v>
      </c>
      <c r="D23" s="126" t="s">
        <v>80</v>
      </c>
      <c r="E23" s="126"/>
      <c r="F23" s="126"/>
      <c r="G23" s="186">
        <f>+C23</f>
        <v>31904</v>
      </c>
      <c r="H23" s="187"/>
    </row>
    <row r="24" spans="1:9" x14ac:dyDescent="0.2">
      <c r="A24" s="154"/>
      <c r="B24" s="139">
        <v>39610</v>
      </c>
      <c r="C24" s="185">
        <v>7500001</v>
      </c>
      <c r="D24" s="126" t="s">
        <v>81</v>
      </c>
      <c r="E24" s="126"/>
      <c r="F24" s="126"/>
      <c r="G24" s="186">
        <f>+C24</f>
        <v>7500001</v>
      </c>
      <c r="H24" s="187"/>
    </row>
    <row r="25" spans="1:9" x14ac:dyDescent="0.2">
      <c r="A25" s="154"/>
      <c r="B25" s="139">
        <v>39619</v>
      </c>
      <c r="C25" s="185">
        <v>1097709</v>
      </c>
      <c r="D25" s="126" t="s">
        <v>82</v>
      </c>
      <c r="E25" s="126"/>
      <c r="F25" s="126"/>
      <c r="G25" s="186">
        <f>+C25</f>
        <v>1097709</v>
      </c>
      <c r="H25" s="188"/>
    </row>
    <row r="26" spans="1:9" x14ac:dyDescent="0.2">
      <c r="A26" s="154"/>
      <c r="B26" s="139">
        <v>39639</v>
      </c>
      <c r="C26" s="185">
        <v>38325</v>
      </c>
      <c r="D26" s="126" t="s">
        <v>83</v>
      </c>
      <c r="E26" s="126"/>
      <c r="F26" s="126"/>
      <c r="G26" s="186">
        <f>+C26</f>
        <v>38325</v>
      </c>
      <c r="H26" s="188"/>
    </row>
    <row r="27" spans="1:9" x14ac:dyDescent="0.2">
      <c r="A27" s="154"/>
      <c r="B27" s="139">
        <v>39639</v>
      </c>
      <c r="C27" s="185">
        <v>247255</v>
      </c>
      <c r="D27" s="126" t="s">
        <v>84</v>
      </c>
      <c r="E27" s="126"/>
      <c r="F27" s="126"/>
      <c r="G27" s="186">
        <f>+C27</f>
        <v>247255</v>
      </c>
      <c r="H27" s="188"/>
    </row>
    <row r="28" spans="1:9" x14ac:dyDescent="0.2">
      <c r="A28" s="154"/>
      <c r="B28" s="189">
        <v>39670</v>
      </c>
      <c r="C28" s="190">
        <v>295161</v>
      </c>
      <c r="D28" s="134" t="s">
        <v>85</v>
      </c>
      <c r="E28" s="126"/>
      <c r="F28" s="126"/>
      <c r="G28" s="186">
        <f>+C28*4</f>
        <v>1180644</v>
      </c>
      <c r="H28" s="188"/>
    </row>
    <row r="29" spans="1:9" x14ac:dyDescent="0.2">
      <c r="A29" s="154"/>
      <c r="B29" s="137"/>
      <c r="C29" s="130"/>
      <c r="D29" s="126"/>
      <c r="E29" s="126"/>
      <c r="F29" s="126"/>
      <c r="G29" s="186"/>
      <c r="H29" s="188"/>
    </row>
    <row r="30" spans="1:9" x14ac:dyDescent="0.2">
      <c r="A30" s="154"/>
      <c r="B30" s="137" t="s">
        <v>86</v>
      </c>
      <c r="C30" s="185">
        <v>1378513</v>
      </c>
      <c r="D30" s="126" t="s">
        <v>87</v>
      </c>
      <c r="E30" s="126"/>
      <c r="F30" s="126"/>
      <c r="G30" s="186">
        <f>+C30</f>
        <v>1378513</v>
      </c>
      <c r="H30" s="188"/>
    </row>
    <row r="31" spans="1:9" x14ac:dyDescent="0.2">
      <c r="A31" s="154" t="s">
        <v>95</v>
      </c>
      <c r="B31" s="137"/>
      <c r="C31" s="185">
        <v>340606.58</v>
      </c>
      <c r="D31" s="126" t="s">
        <v>88</v>
      </c>
      <c r="E31" s="126"/>
      <c r="F31" s="126"/>
      <c r="G31" s="186">
        <f>+C31*7</f>
        <v>2384246.06</v>
      </c>
      <c r="H31" s="188">
        <f>+C31*6</f>
        <v>2043639.48</v>
      </c>
    </row>
    <row r="32" spans="1:9" ht="13.5" thickBot="1" x14ac:dyDescent="0.25">
      <c r="A32" s="154"/>
      <c r="B32" s="191"/>
      <c r="C32" s="192">
        <f>+C31*6</f>
        <v>2043639.48</v>
      </c>
      <c r="D32" s="128" t="s">
        <v>89</v>
      </c>
      <c r="E32" s="128"/>
      <c r="F32" s="128"/>
      <c r="G32" s="193"/>
      <c r="H32" s="194">
        <f>+C32</f>
        <v>2043639.48</v>
      </c>
      <c r="I32" s="206"/>
    </row>
    <row r="33" spans="1:9" ht="13.5" thickBot="1" x14ac:dyDescent="0.25">
      <c r="A33" s="154"/>
      <c r="B33" s="137"/>
      <c r="C33" s="130"/>
      <c r="D33" s="126"/>
      <c r="E33" s="126"/>
      <c r="F33" s="126"/>
      <c r="G33" s="195">
        <f>SUM(G23:G32)</f>
        <v>13858597.060000001</v>
      </c>
      <c r="H33" s="196">
        <f>SUM(H23:H32)</f>
        <v>4087278.96</v>
      </c>
      <c r="I33" s="206"/>
    </row>
    <row r="34" spans="1:9" x14ac:dyDescent="0.2">
      <c r="A34" s="291" t="s">
        <v>90</v>
      </c>
      <c r="B34" s="292" t="s">
        <v>96</v>
      </c>
      <c r="C34" s="185">
        <f>+C31*12</f>
        <v>4087278.96</v>
      </c>
      <c r="D34" s="126" t="s">
        <v>100</v>
      </c>
      <c r="E34" s="126"/>
      <c r="F34" s="126"/>
      <c r="G34" s="135"/>
      <c r="H34" s="126"/>
      <c r="I34" s="206"/>
    </row>
    <row r="35" spans="1:9" x14ac:dyDescent="0.2">
      <c r="A35" s="154" t="s">
        <v>91</v>
      </c>
      <c r="B35" s="126" t="s">
        <v>97</v>
      </c>
      <c r="C35" s="130">
        <f>+C34</f>
        <v>4087278.96</v>
      </c>
      <c r="D35" s="126" t="s">
        <v>101</v>
      </c>
      <c r="E35" s="126"/>
      <c r="F35" s="126"/>
      <c r="G35" s="126"/>
      <c r="H35" s="126"/>
      <c r="I35" s="206"/>
    </row>
    <row r="36" spans="1:9" x14ac:dyDescent="0.2">
      <c r="A36" s="154" t="s">
        <v>92</v>
      </c>
      <c r="B36" s="126" t="s">
        <v>98</v>
      </c>
      <c r="C36" s="130">
        <f>+C35</f>
        <v>4087278.96</v>
      </c>
      <c r="D36" s="126" t="s">
        <v>102</v>
      </c>
      <c r="E36" s="126"/>
      <c r="F36" s="126"/>
      <c r="G36" s="126"/>
      <c r="H36" s="126"/>
      <c r="I36" s="206"/>
    </row>
    <row r="37" spans="1:9" x14ac:dyDescent="0.2">
      <c r="A37" s="154" t="s">
        <v>93</v>
      </c>
      <c r="B37" s="126" t="s">
        <v>99</v>
      </c>
      <c r="C37" s="130">
        <f>+D14</f>
        <v>4700372</v>
      </c>
      <c r="D37" s="126" t="s">
        <v>103</v>
      </c>
      <c r="E37" s="126"/>
      <c r="F37" s="126"/>
      <c r="G37" s="126"/>
      <c r="H37" s="126"/>
    </row>
    <row r="38" spans="1:9" ht="13.5" thickBot="1" x14ac:dyDescent="0.25">
      <c r="A38" s="175"/>
      <c r="B38" s="127"/>
      <c r="C38" s="197"/>
      <c r="D38" s="128"/>
      <c r="E38" s="128"/>
      <c r="F38" s="128"/>
      <c r="G38" s="128"/>
      <c r="H38" s="128"/>
    </row>
    <row r="39" spans="1:9" x14ac:dyDescent="0.2">
      <c r="A39" s="154" t="s">
        <v>105</v>
      </c>
      <c r="B39" s="137"/>
      <c r="C39" s="130"/>
      <c r="D39" s="126"/>
      <c r="E39" s="126"/>
      <c r="F39" s="126"/>
      <c r="G39" s="126"/>
      <c r="H39" s="126"/>
    </row>
    <row r="40" spans="1:9" x14ac:dyDescent="0.2">
      <c r="B40" s="143"/>
      <c r="C40" s="142"/>
    </row>
    <row r="41" spans="1:9" x14ac:dyDescent="0.2">
      <c r="B41" s="143"/>
      <c r="C41" s="142"/>
    </row>
    <row r="42" spans="1:9" x14ac:dyDescent="0.2">
      <c r="B42" s="143"/>
      <c r="C42" s="142"/>
    </row>
    <row r="43" spans="1:9" x14ac:dyDescent="0.2">
      <c r="A43" s="144" t="s">
        <v>128</v>
      </c>
      <c r="B43" s="143"/>
    </row>
    <row r="44" spans="1:9" x14ac:dyDescent="0.2">
      <c r="B44" s="214" t="s">
        <v>120</v>
      </c>
      <c r="C44" s="211" t="s">
        <v>114</v>
      </c>
      <c r="D44" s="211" t="s">
        <v>115</v>
      </c>
      <c r="E44" s="211" t="s">
        <v>116</v>
      </c>
      <c r="F44" s="211" t="s">
        <v>117</v>
      </c>
      <c r="G44" s="211" t="s">
        <v>118</v>
      </c>
      <c r="H44" s="211" t="s">
        <v>119</v>
      </c>
      <c r="I44" s="212"/>
    </row>
    <row r="45" spans="1:9" x14ac:dyDescent="0.2">
      <c r="B45" s="143" t="s">
        <v>121</v>
      </c>
      <c r="C45" s="206">
        <v>1780076</v>
      </c>
      <c r="D45" s="208">
        <v>58684</v>
      </c>
      <c r="E45" s="208">
        <v>67487</v>
      </c>
      <c r="F45" s="206">
        <v>73290</v>
      </c>
      <c r="G45" s="206">
        <v>84359</v>
      </c>
      <c r="H45" s="206">
        <v>91594</v>
      </c>
      <c r="I45" s="209">
        <f t="shared" ref="I45:I56" si="0">SUM(C45:H45)</f>
        <v>2155490</v>
      </c>
    </row>
    <row r="46" spans="1:9" x14ac:dyDescent="0.2">
      <c r="B46" s="143" t="s">
        <v>122</v>
      </c>
      <c r="C46" s="206">
        <v>2965364</v>
      </c>
      <c r="D46" s="208">
        <v>97760</v>
      </c>
      <c r="E46" s="208">
        <v>112424</v>
      </c>
      <c r="F46" s="206">
        <v>127088</v>
      </c>
      <c r="G46" s="206">
        <v>140530</v>
      </c>
      <c r="H46" s="206">
        <v>152750</v>
      </c>
      <c r="I46" s="209">
        <f t="shared" si="0"/>
        <v>3595916</v>
      </c>
    </row>
    <row r="47" spans="1:9" x14ac:dyDescent="0.2">
      <c r="B47" s="143" t="s">
        <v>123</v>
      </c>
      <c r="C47" s="206">
        <v>1376048</v>
      </c>
      <c r="D47" s="208">
        <v>45365</v>
      </c>
      <c r="E47" s="208">
        <v>52169</v>
      </c>
      <c r="F47" s="206">
        <v>58974</v>
      </c>
      <c r="G47" s="206">
        <v>65212</v>
      </c>
      <c r="H47" s="206">
        <v>70882</v>
      </c>
      <c r="I47" s="209">
        <f t="shared" si="0"/>
        <v>1668650</v>
      </c>
    </row>
    <row r="48" spans="1:9" x14ac:dyDescent="0.2">
      <c r="B48" s="143" t="s">
        <v>124</v>
      </c>
      <c r="C48" s="206">
        <v>1378513</v>
      </c>
      <c r="D48" s="208">
        <v>45446</v>
      </c>
      <c r="E48" s="208">
        <v>52263</v>
      </c>
      <c r="F48" s="206">
        <v>59080</v>
      </c>
      <c r="G48" s="206">
        <v>65328</v>
      </c>
      <c r="H48" s="206">
        <v>71009</v>
      </c>
      <c r="I48" s="209">
        <f t="shared" si="0"/>
        <v>1671639</v>
      </c>
    </row>
    <row r="49" spans="2:9" x14ac:dyDescent="0.2">
      <c r="B49" s="141" t="s">
        <v>125</v>
      </c>
      <c r="C49" s="206">
        <v>932405</v>
      </c>
      <c r="D49" s="208">
        <v>40691</v>
      </c>
      <c r="E49" s="208">
        <v>46795</v>
      </c>
      <c r="F49" s="206">
        <v>52899</v>
      </c>
      <c r="G49" s="206">
        <v>58494</v>
      </c>
      <c r="H49" s="206">
        <v>63580</v>
      </c>
      <c r="I49" s="209">
        <f t="shared" si="0"/>
        <v>1194864</v>
      </c>
    </row>
    <row r="50" spans="2:9" x14ac:dyDescent="0.2">
      <c r="C50" s="206">
        <v>731806</v>
      </c>
      <c r="D50" s="208">
        <v>31937</v>
      </c>
      <c r="E50" s="208">
        <v>36728</v>
      </c>
      <c r="F50" s="206">
        <v>41518</v>
      </c>
      <c r="G50" s="206">
        <v>45910</v>
      </c>
      <c r="H50" s="206">
        <v>49902</v>
      </c>
      <c r="I50" s="209">
        <f t="shared" si="0"/>
        <v>937801</v>
      </c>
    </row>
    <row r="51" spans="2:9" x14ac:dyDescent="0.2">
      <c r="D51" s="208">
        <v>2951</v>
      </c>
      <c r="E51" s="208">
        <v>4615</v>
      </c>
      <c r="F51" s="206">
        <v>7699</v>
      </c>
      <c r="G51" s="206">
        <v>22974</v>
      </c>
      <c r="H51" s="206">
        <v>28060</v>
      </c>
      <c r="I51" s="209">
        <f t="shared" si="0"/>
        <v>66299</v>
      </c>
    </row>
    <row r="52" spans="2:9" x14ac:dyDescent="0.2">
      <c r="B52" s="141" t="s">
        <v>126</v>
      </c>
      <c r="C52" s="206">
        <v>932405</v>
      </c>
      <c r="D52" s="208">
        <v>40691</v>
      </c>
      <c r="E52" s="208">
        <v>46795</v>
      </c>
      <c r="F52" s="206">
        <v>52899</v>
      </c>
      <c r="G52" s="206">
        <v>58494</v>
      </c>
      <c r="H52" s="206">
        <v>63580</v>
      </c>
      <c r="I52" s="209">
        <f t="shared" si="0"/>
        <v>1194864</v>
      </c>
    </row>
    <row r="53" spans="2:9" x14ac:dyDescent="0.2">
      <c r="C53" s="206">
        <v>731806</v>
      </c>
      <c r="D53" s="208">
        <v>31937</v>
      </c>
      <c r="E53" s="208">
        <v>36728</v>
      </c>
      <c r="F53" s="206">
        <v>41518</v>
      </c>
      <c r="G53" s="206">
        <v>45910</v>
      </c>
      <c r="H53" s="206">
        <v>49902</v>
      </c>
      <c r="I53" s="209">
        <f t="shared" si="0"/>
        <v>937801</v>
      </c>
    </row>
    <row r="54" spans="2:9" x14ac:dyDescent="0.2">
      <c r="D54" s="208">
        <v>2951</v>
      </c>
      <c r="E54" s="208">
        <v>4615</v>
      </c>
      <c r="F54" s="206">
        <v>7699</v>
      </c>
      <c r="G54" s="206">
        <v>22974</v>
      </c>
      <c r="H54" s="206">
        <v>28060</v>
      </c>
      <c r="I54" s="209">
        <f t="shared" si="0"/>
        <v>66299</v>
      </c>
    </row>
    <row r="55" spans="2:9" x14ac:dyDescent="0.2">
      <c r="B55" s="141" t="s">
        <v>127</v>
      </c>
      <c r="C55" s="215">
        <v>1635190</v>
      </c>
      <c r="D55" s="208">
        <v>71362</v>
      </c>
      <c r="E55" s="208">
        <v>82066</v>
      </c>
      <c r="F55" s="206">
        <v>92771</v>
      </c>
      <c r="G55" s="206">
        <v>102583</v>
      </c>
      <c r="H55" s="206">
        <v>111503</v>
      </c>
      <c r="I55" s="209">
        <f t="shared" si="0"/>
        <v>2095475</v>
      </c>
    </row>
    <row r="56" spans="2:9" x14ac:dyDescent="0.2">
      <c r="B56" s="213"/>
      <c r="C56" s="210"/>
      <c r="D56" s="211">
        <v>5176</v>
      </c>
      <c r="E56" s="211">
        <v>8093</v>
      </c>
      <c r="F56" s="210">
        <v>13503</v>
      </c>
      <c r="G56" s="210">
        <v>40290</v>
      </c>
      <c r="H56" s="210">
        <v>49210</v>
      </c>
      <c r="I56" s="216">
        <f t="shared" si="0"/>
        <v>116272</v>
      </c>
    </row>
    <row r="57" spans="2:9" x14ac:dyDescent="0.2">
      <c r="B57" s="141" t="s">
        <v>24</v>
      </c>
      <c r="C57" s="208">
        <f t="shared" ref="C57:I57" si="1">SUM(C45:C56)</f>
        <v>12463613</v>
      </c>
      <c r="D57" s="208">
        <f t="shared" si="1"/>
        <v>474951</v>
      </c>
      <c r="E57" s="208">
        <f t="shared" si="1"/>
        <v>550778</v>
      </c>
      <c r="F57" s="208">
        <f t="shared" si="1"/>
        <v>628938</v>
      </c>
      <c r="G57" s="208">
        <f t="shared" si="1"/>
        <v>753058</v>
      </c>
      <c r="H57" s="208">
        <f t="shared" si="1"/>
        <v>830032</v>
      </c>
      <c r="I57" s="208">
        <f t="shared" si="1"/>
        <v>15701370</v>
      </c>
    </row>
    <row r="58" spans="2:9" x14ac:dyDescent="0.2">
      <c r="C58" s="209"/>
      <c r="D58" s="206"/>
      <c r="E58" s="206"/>
      <c r="F58" s="206"/>
      <c r="G58" s="206"/>
      <c r="H58" s="206"/>
      <c r="I58" s="209"/>
    </row>
  </sheetData>
  <pageMargins left="0.7" right="0.7" top="0.5" bottom="0.5" header="0.3" footer="0.3"/>
  <pageSetup orientation="landscape" horizontalDpi="1200" verticalDpi="1200" r:id="rId1"/>
  <headerFooter>
    <oddFooter>&amp;L&amp;Z&amp;F&amp;R&amp;D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L36"/>
  <sheetViews>
    <sheetView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F34" sqref="F34"/>
    </sheetView>
  </sheetViews>
  <sheetFormatPr defaultRowHeight="15" customHeight="1" x14ac:dyDescent="0.25"/>
  <cols>
    <col min="1" max="1" width="46.140625" customWidth="1"/>
    <col min="2" max="2" width="12.42578125" customWidth="1"/>
    <col min="3" max="3" width="13.7109375" customWidth="1"/>
    <col min="4" max="4" width="12.5703125" bestFit="1" customWidth="1"/>
    <col min="5" max="5" width="12.42578125" bestFit="1" customWidth="1"/>
    <col min="6" max="11" width="11" bestFit="1" customWidth="1"/>
    <col min="12" max="12" width="13.5703125" bestFit="1" customWidth="1"/>
  </cols>
  <sheetData>
    <row r="1" spans="1:12" ht="15" customHeight="1" x14ac:dyDescent="0.25">
      <c r="A1" s="220" t="s">
        <v>135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12" ht="15" customHeight="1" x14ac:dyDescent="0.25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ht="15" customHeight="1" x14ac:dyDescent="0.25">
      <c r="A3" s="219"/>
      <c r="B3" s="258" t="s">
        <v>136</v>
      </c>
      <c r="C3" s="258" t="s">
        <v>137</v>
      </c>
      <c r="D3" s="258" t="s">
        <v>138</v>
      </c>
      <c r="E3" s="258" t="s">
        <v>139</v>
      </c>
      <c r="F3" s="222" t="s">
        <v>140</v>
      </c>
      <c r="G3" s="222" t="s">
        <v>141</v>
      </c>
      <c r="H3" s="222" t="s">
        <v>142</v>
      </c>
      <c r="I3" s="222" t="s">
        <v>143</v>
      </c>
      <c r="J3" s="222" t="s">
        <v>144</v>
      </c>
      <c r="K3" s="222" t="s">
        <v>145</v>
      </c>
      <c r="L3" s="222" t="s">
        <v>24</v>
      </c>
    </row>
    <row r="4" spans="1:12" ht="15" customHeight="1" x14ac:dyDescent="0.25">
      <c r="A4" s="219"/>
      <c r="B4" s="258" t="s">
        <v>112</v>
      </c>
      <c r="C4" s="258" t="s">
        <v>113</v>
      </c>
      <c r="D4" s="258" t="s">
        <v>163</v>
      </c>
      <c r="E4" s="258" t="s">
        <v>164</v>
      </c>
      <c r="F4" s="222" t="s">
        <v>165</v>
      </c>
      <c r="G4" s="222" t="s">
        <v>166</v>
      </c>
      <c r="H4" s="222" t="s">
        <v>167</v>
      </c>
      <c r="I4" s="223" t="s">
        <v>168</v>
      </c>
      <c r="J4" s="222" t="s">
        <v>169</v>
      </c>
      <c r="K4" s="222" t="s">
        <v>170</v>
      </c>
      <c r="L4" s="222" t="s">
        <v>146</v>
      </c>
    </row>
    <row r="5" spans="1:12" ht="15" customHeight="1" thickBot="1" x14ac:dyDescent="0.3">
      <c r="A5" s="269"/>
      <c r="B5" s="270" t="s">
        <v>178</v>
      </c>
      <c r="C5" s="270" t="s">
        <v>178</v>
      </c>
      <c r="D5" s="270" t="s">
        <v>178</v>
      </c>
      <c r="E5" s="270" t="s">
        <v>178</v>
      </c>
      <c r="F5" s="269"/>
      <c r="G5" s="269"/>
      <c r="H5" s="269"/>
      <c r="I5" s="271"/>
      <c r="J5" s="269"/>
      <c r="K5" s="269"/>
      <c r="L5" s="269"/>
    </row>
    <row r="6" spans="1:12" ht="15" customHeight="1" thickTop="1" x14ac:dyDescent="0.25">
      <c r="A6" s="219"/>
      <c r="B6" s="259"/>
      <c r="C6" s="259"/>
      <c r="D6" s="259"/>
      <c r="E6" s="259"/>
      <c r="F6" s="219"/>
      <c r="G6" s="219"/>
      <c r="H6" s="219"/>
      <c r="I6" s="224"/>
      <c r="J6" s="219"/>
      <c r="K6" s="219"/>
      <c r="L6" s="219"/>
    </row>
    <row r="7" spans="1:12" ht="15" customHeight="1" x14ac:dyDescent="0.25">
      <c r="A7" s="220" t="s">
        <v>147</v>
      </c>
      <c r="B7" s="259"/>
      <c r="C7" s="259"/>
      <c r="D7" s="259"/>
      <c r="E7" s="259"/>
      <c r="F7" s="219"/>
      <c r="G7" s="219"/>
      <c r="H7" s="219"/>
      <c r="I7" s="219"/>
      <c r="J7" s="219"/>
      <c r="K7" s="219"/>
      <c r="L7" s="219"/>
    </row>
    <row r="8" spans="1:12" ht="15" customHeight="1" x14ac:dyDescent="0.25">
      <c r="A8" s="263" t="s">
        <v>148</v>
      </c>
      <c r="B8" s="260">
        <f>+'2008-09'!O17+'2008-09'!O18</f>
        <v>10021790.670000002</v>
      </c>
      <c r="C8" s="259">
        <f>+'2009-10'!N17</f>
        <v>0</v>
      </c>
      <c r="D8" s="268">
        <v>0</v>
      </c>
      <c r="E8" s="268">
        <v>0</v>
      </c>
      <c r="F8" s="264">
        <v>0</v>
      </c>
      <c r="G8" s="264">
        <v>0</v>
      </c>
      <c r="H8" s="264">
        <v>0</v>
      </c>
      <c r="I8" s="264">
        <v>0</v>
      </c>
      <c r="J8" s="264">
        <v>0</v>
      </c>
      <c r="K8" s="264">
        <v>0</v>
      </c>
      <c r="L8" s="272">
        <f>SUM(B8:K8)</f>
        <v>10021790.670000002</v>
      </c>
    </row>
    <row r="9" spans="1:12" ht="15" customHeight="1" x14ac:dyDescent="0.25">
      <c r="A9" s="263" t="s">
        <v>149</v>
      </c>
      <c r="B9" s="273">
        <f>+'2008-09'!O19+'2008-09'!O20</f>
        <v>3805020.9</v>
      </c>
      <c r="C9" s="273">
        <f>+'2009-10'!O20-'2009-10'!L19+'2009-10'!L19</f>
        <v>8412685.3499999996</v>
      </c>
      <c r="D9" s="279">
        <v>4087279</v>
      </c>
      <c r="E9" s="279"/>
      <c r="F9" s="274">
        <v>4087279</v>
      </c>
      <c r="G9" s="274">
        <v>4700372</v>
      </c>
      <c r="H9" s="274">
        <v>4700372</v>
      </c>
      <c r="I9" s="274">
        <v>4700372</v>
      </c>
      <c r="J9" s="274">
        <v>4700372</v>
      </c>
      <c r="K9" s="274">
        <v>4700372</v>
      </c>
      <c r="L9" s="275">
        <f>SUM(B9:K9)</f>
        <v>43894124.25</v>
      </c>
    </row>
    <row r="10" spans="1:12" ht="15" customHeight="1" x14ac:dyDescent="0.25">
      <c r="A10" s="220" t="s">
        <v>24</v>
      </c>
      <c r="B10" s="261">
        <f>SUM(B8:B9)</f>
        <v>13826811.570000002</v>
      </c>
      <c r="C10" s="261">
        <f>SUM(C8:C9)</f>
        <v>8412685.3499999996</v>
      </c>
      <c r="D10" s="261">
        <f>SUM(D8:D9)</f>
        <v>4087279</v>
      </c>
      <c r="E10" s="261">
        <f t="shared" ref="E10:L10" si="0">SUM(E8:E9)</f>
        <v>0</v>
      </c>
      <c r="F10" s="276">
        <f t="shared" si="0"/>
        <v>4087279</v>
      </c>
      <c r="G10" s="276">
        <f t="shared" si="0"/>
        <v>4700372</v>
      </c>
      <c r="H10" s="276">
        <f t="shared" si="0"/>
        <v>4700372</v>
      </c>
      <c r="I10" s="276">
        <f t="shared" si="0"/>
        <v>4700372</v>
      </c>
      <c r="J10" s="276">
        <f t="shared" si="0"/>
        <v>4700372</v>
      </c>
      <c r="K10" s="276">
        <f t="shared" si="0"/>
        <v>4700372</v>
      </c>
      <c r="L10" s="276">
        <f t="shared" si="0"/>
        <v>53915914.920000002</v>
      </c>
    </row>
    <row r="11" spans="1:12" ht="15" customHeight="1" x14ac:dyDescent="0.25">
      <c r="A11" s="219"/>
      <c r="B11" s="260"/>
      <c r="C11" s="259"/>
      <c r="D11" s="268"/>
      <c r="E11" s="268"/>
      <c r="F11" s="264"/>
      <c r="G11" s="264"/>
      <c r="H11" s="264"/>
      <c r="I11" s="264"/>
      <c r="J11" s="264"/>
      <c r="K11" s="264"/>
      <c r="L11" s="264"/>
    </row>
    <row r="12" spans="1:12" ht="15" customHeight="1" x14ac:dyDescent="0.25">
      <c r="A12" s="219"/>
      <c r="B12" s="260"/>
      <c r="C12" s="259"/>
      <c r="D12" s="268"/>
      <c r="E12" s="268"/>
      <c r="F12" s="264"/>
      <c r="G12" s="264"/>
      <c r="H12" s="264"/>
      <c r="I12" s="264"/>
      <c r="J12" s="264"/>
      <c r="K12" s="264"/>
      <c r="L12" s="264"/>
    </row>
    <row r="13" spans="1:12" ht="15" customHeight="1" x14ac:dyDescent="0.25">
      <c r="A13" s="220" t="s">
        <v>150</v>
      </c>
      <c r="B13" s="260"/>
      <c r="C13" s="259"/>
      <c r="D13" s="268"/>
      <c r="E13" s="268"/>
      <c r="F13" s="264"/>
      <c r="G13" s="264"/>
      <c r="H13" s="264"/>
      <c r="I13" s="264"/>
      <c r="J13" s="264"/>
      <c r="K13" s="264"/>
      <c r="L13" s="264"/>
    </row>
    <row r="14" spans="1:12" ht="15" customHeight="1" x14ac:dyDescent="0.25">
      <c r="A14" s="225" t="s">
        <v>151</v>
      </c>
      <c r="B14" s="260">
        <f>+'2008-09'!O34</f>
        <v>3157148</v>
      </c>
      <c r="C14" s="260">
        <v>0</v>
      </c>
      <c r="D14" s="268"/>
      <c r="E14" s="268"/>
      <c r="F14" s="264"/>
      <c r="G14" s="264"/>
      <c r="H14" s="264"/>
      <c r="I14" s="264"/>
      <c r="J14" s="264"/>
      <c r="K14" s="264"/>
      <c r="L14" s="272">
        <f t="shared" ref="L14:L19" si="1">SUM(B14:K14)</f>
        <v>3157148</v>
      </c>
    </row>
    <row r="15" spans="1:12" ht="15" customHeight="1" x14ac:dyDescent="0.25">
      <c r="A15" s="219" t="s">
        <v>9</v>
      </c>
      <c r="B15" s="260">
        <f>+'2008-09'!O37</f>
        <v>400000</v>
      </c>
      <c r="C15" s="260">
        <f>+'2009-10'!N37</f>
        <v>500000</v>
      </c>
      <c r="D15" s="268">
        <v>500000</v>
      </c>
      <c r="E15" s="268">
        <v>500000</v>
      </c>
      <c r="F15" s="264">
        <v>500000</v>
      </c>
      <c r="G15" s="264">
        <v>500000</v>
      </c>
      <c r="H15" s="264">
        <v>500000</v>
      </c>
      <c r="I15" s="264">
        <v>500000</v>
      </c>
      <c r="J15" s="264">
        <v>500000</v>
      </c>
      <c r="K15" s="264">
        <v>500000</v>
      </c>
      <c r="L15" s="272">
        <f t="shared" si="1"/>
        <v>4900000</v>
      </c>
    </row>
    <row r="16" spans="1:12" ht="15" customHeight="1" x14ac:dyDescent="0.25">
      <c r="A16" s="225" t="s">
        <v>152</v>
      </c>
      <c r="B16" s="260">
        <f>+'2008-09'!O35+'2008-09'!O69</f>
        <v>2600000</v>
      </c>
      <c r="C16" s="260">
        <f>+'2009-10'!N35</f>
        <v>2400000</v>
      </c>
      <c r="D16" s="268">
        <v>2400000</v>
      </c>
      <c r="E16" s="268">
        <v>2400000</v>
      </c>
      <c r="F16" s="264">
        <v>2000000</v>
      </c>
      <c r="G16" s="264">
        <v>2000000</v>
      </c>
      <c r="H16" s="264">
        <v>2000000</v>
      </c>
      <c r="I16" s="264">
        <v>2000000</v>
      </c>
      <c r="J16" s="264">
        <v>2000000</v>
      </c>
      <c r="K16" s="264">
        <v>2000000</v>
      </c>
      <c r="L16" s="272">
        <f t="shared" si="1"/>
        <v>21800000</v>
      </c>
    </row>
    <row r="17" spans="1:12" ht="15" customHeight="1" x14ac:dyDescent="0.25">
      <c r="A17" s="219" t="s">
        <v>153</v>
      </c>
      <c r="B17" s="260">
        <f>+'2008-09'!O36</f>
        <v>3500000</v>
      </c>
      <c r="C17" s="260">
        <f>+'2009-10'!N36</f>
        <v>1200000</v>
      </c>
      <c r="D17" s="268">
        <v>1100000</v>
      </c>
      <c r="E17" s="268">
        <v>1000000</v>
      </c>
      <c r="F17" s="264">
        <v>800000</v>
      </c>
      <c r="G17" s="264">
        <v>500000</v>
      </c>
      <c r="H17" s="264"/>
      <c r="I17" s="264">
        <v>0</v>
      </c>
      <c r="J17" s="264">
        <v>0</v>
      </c>
      <c r="K17" s="264">
        <v>0</v>
      </c>
      <c r="L17" s="272">
        <f t="shared" si="1"/>
        <v>8100000</v>
      </c>
    </row>
    <row r="18" spans="1:12" ht="15" customHeight="1" x14ac:dyDescent="0.25">
      <c r="A18" s="219" t="s">
        <v>154</v>
      </c>
      <c r="B18" s="260">
        <f>+'2008-09'!O38</f>
        <v>500000</v>
      </c>
      <c r="C18" s="260">
        <f>+'2009-10'!N38</f>
        <v>1000000</v>
      </c>
      <c r="D18" s="268"/>
      <c r="E18" s="268">
        <v>433376</v>
      </c>
      <c r="F18" s="264">
        <v>500000</v>
      </c>
      <c r="G18" s="264">
        <v>500000</v>
      </c>
      <c r="H18" s="264">
        <v>600000</v>
      </c>
      <c r="I18" s="264">
        <v>600000</v>
      </c>
      <c r="J18" s="264">
        <v>600000</v>
      </c>
      <c r="K18" s="264">
        <v>600000</v>
      </c>
      <c r="L18" s="272">
        <f t="shared" si="1"/>
        <v>5333376</v>
      </c>
    </row>
    <row r="19" spans="1:12" ht="15" customHeight="1" x14ac:dyDescent="0.25">
      <c r="A19" s="219" t="s">
        <v>179</v>
      </c>
      <c r="B19" s="273"/>
      <c r="C19" s="273">
        <f>+'2009-10'!N39</f>
        <v>22899.31</v>
      </c>
      <c r="D19" s="279"/>
      <c r="E19" s="279"/>
      <c r="F19" s="274"/>
      <c r="G19" s="274"/>
      <c r="H19" s="274"/>
      <c r="I19" s="274"/>
      <c r="J19" s="274"/>
      <c r="K19" s="274"/>
      <c r="L19" s="275">
        <f t="shared" si="1"/>
        <v>22899.31</v>
      </c>
    </row>
    <row r="20" spans="1:12" ht="15" customHeight="1" x14ac:dyDescent="0.25">
      <c r="A20" s="220" t="s">
        <v>155</v>
      </c>
      <c r="B20" s="261">
        <f t="shared" ref="B20:L20" si="2">SUM(B14:B19)</f>
        <v>10157148</v>
      </c>
      <c r="C20" s="261">
        <f t="shared" si="2"/>
        <v>5122899.3099999996</v>
      </c>
      <c r="D20" s="261">
        <f t="shared" si="2"/>
        <v>4000000</v>
      </c>
      <c r="E20" s="261">
        <f t="shared" si="2"/>
        <v>4333376</v>
      </c>
      <c r="F20" s="276">
        <f t="shared" si="2"/>
        <v>3800000</v>
      </c>
      <c r="G20" s="276">
        <f t="shared" si="2"/>
        <v>3500000</v>
      </c>
      <c r="H20" s="276">
        <f t="shared" si="2"/>
        <v>3100000</v>
      </c>
      <c r="I20" s="276">
        <f t="shared" si="2"/>
        <v>3100000</v>
      </c>
      <c r="J20" s="276">
        <f t="shared" si="2"/>
        <v>3100000</v>
      </c>
      <c r="K20" s="276">
        <f t="shared" si="2"/>
        <v>3100000</v>
      </c>
      <c r="L20" s="276">
        <f t="shared" si="2"/>
        <v>43313423.310000002</v>
      </c>
    </row>
    <row r="21" spans="1:12" ht="15" customHeight="1" x14ac:dyDescent="0.25">
      <c r="A21" s="220"/>
      <c r="B21" s="261"/>
      <c r="C21" s="261"/>
      <c r="D21" s="371"/>
      <c r="E21" s="371"/>
      <c r="F21" s="272"/>
      <c r="G21" s="272"/>
      <c r="H21" s="272"/>
      <c r="I21" s="272"/>
      <c r="J21" s="272"/>
      <c r="K21" s="272"/>
      <c r="L21" s="272"/>
    </row>
    <row r="22" spans="1:12" ht="15" customHeight="1" x14ac:dyDescent="0.25">
      <c r="A22" s="220" t="s">
        <v>156</v>
      </c>
      <c r="B22" s="261">
        <f>+B10-B20</f>
        <v>3669663.5700000022</v>
      </c>
      <c r="C22" s="261">
        <f>+C10-C20</f>
        <v>3289786.04</v>
      </c>
      <c r="D22" s="371">
        <v>0</v>
      </c>
      <c r="E22" s="371"/>
      <c r="F22" s="272">
        <v>287279</v>
      </c>
      <c r="G22" s="272">
        <v>1200372</v>
      </c>
      <c r="H22" s="272">
        <v>1600372</v>
      </c>
      <c r="I22" s="272">
        <v>1600372</v>
      </c>
      <c r="J22" s="272">
        <v>1600372</v>
      </c>
      <c r="K22" s="272">
        <v>1600372</v>
      </c>
      <c r="L22" s="272"/>
    </row>
    <row r="23" spans="1:12" ht="15" customHeight="1" x14ac:dyDescent="0.25">
      <c r="A23" s="219"/>
      <c r="B23" s="260"/>
      <c r="C23" s="259"/>
      <c r="D23" s="268"/>
      <c r="E23" s="268"/>
      <c r="F23" s="264"/>
      <c r="G23" s="264"/>
      <c r="H23" s="264"/>
      <c r="I23" s="264"/>
      <c r="J23" s="264"/>
      <c r="K23" s="264"/>
      <c r="L23" s="264"/>
    </row>
    <row r="24" spans="1:12" ht="15" customHeight="1" x14ac:dyDescent="0.25">
      <c r="A24" s="220" t="s">
        <v>157</v>
      </c>
      <c r="B24" s="260">
        <v>200000</v>
      </c>
      <c r="C24" s="260">
        <v>500000</v>
      </c>
      <c r="D24" s="268">
        <v>0</v>
      </c>
      <c r="E24" s="268"/>
      <c r="F24" s="264">
        <v>700000</v>
      </c>
      <c r="G24" s="264">
        <v>1200000</v>
      </c>
      <c r="H24" s="264">
        <v>1200000</v>
      </c>
      <c r="I24" s="264">
        <v>1500000</v>
      </c>
      <c r="J24" s="264">
        <v>1800000</v>
      </c>
      <c r="K24" s="264">
        <v>1900000</v>
      </c>
      <c r="L24" s="272">
        <f>SUM(B24:K24)</f>
        <v>9000000</v>
      </c>
    </row>
    <row r="25" spans="1:12" ht="15" customHeight="1" x14ac:dyDescent="0.25">
      <c r="A25" s="219"/>
      <c r="B25" s="260"/>
      <c r="C25" s="259"/>
      <c r="D25" s="268"/>
      <c r="E25" s="268"/>
      <c r="F25" s="264"/>
      <c r="G25" s="264"/>
      <c r="H25" s="264"/>
      <c r="I25" s="264"/>
      <c r="J25" s="264"/>
      <c r="K25" s="264"/>
      <c r="L25" s="264"/>
    </row>
    <row r="26" spans="1:12" ht="15" customHeight="1" x14ac:dyDescent="0.25">
      <c r="A26" s="220" t="s">
        <v>158</v>
      </c>
      <c r="B26" s="260">
        <f>+B24</f>
        <v>200000</v>
      </c>
      <c r="C26" s="260">
        <v>710000</v>
      </c>
      <c r="D26" s="268">
        <v>0</v>
      </c>
      <c r="E26" s="268"/>
      <c r="F26" s="264">
        <v>3028664</v>
      </c>
      <c r="G26" s="264">
        <v>4380097</v>
      </c>
      <c r="H26" s="264">
        <v>5799102</v>
      </c>
      <c r="I26" s="264">
        <v>7589057</v>
      </c>
      <c r="J26" s="264">
        <v>9768510</v>
      </c>
      <c r="K26" s="264">
        <v>12156935</v>
      </c>
      <c r="L26" s="264"/>
    </row>
    <row r="27" spans="1:12" ht="15" customHeight="1" x14ac:dyDescent="0.25">
      <c r="A27" s="219"/>
      <c r="B27" s="259"/>
      <c r="C27" s="259"/>
      <c r="D27" s="372"/>
      <c r="E27" s="375"/>
      <c r="F27" s="278"/>
      <c r="G27" s="219"/>
      <c r="H27" s="219"/>
      <c r="I27" s="219"/>
      <c r="J27" s="219"/>
      <c r="K27" s="219"/>
      <c r="L27" s="226"/>
    </row>
    <row r="28" spans="1:12" ht="15" customHeight="1" x14ac:dyDescent="0.25">
      <c r="A28" s="220" t="s">
        <v>159</v>
      </c>
      <c r="B28" s="262">
        <f>+B10-B20-B24</f>
        <v>3469663.5700000022</v>
      </c>
      <c r="C28" s="262">
        <f t="shared" ref="C28:K28" si="3">+C10-C20-C24+B30</f>
        <v>6435625.2700000023</v>
      </c>
      <c r="D28" s="262">
        <f t="shared" si="3"/>
        <v>6632003.9600000028</v>
      </c>
      <c r="E28" s="262">
        <f t="shared" si="3"/>
        <v>2380904.1900000032</v>
      </c>
      <c r="F28" s="277">
        <f t="shared" si="3"/>
        <v>1968183.1900000032</v>
      </c>
      <c r="G28" s="277">
        <f t="shared" si="3"/>
        <v>1968555.1900000032</v>
      </c>
      <c r="H28" s="277">
        <f t="shared" si="3"/>
        <v>2368927.1900000032</v>
      </c>
      <c r="I28" s="277">
        <f t="shared" si="3"/>
        <v>2469299.1900000032</v>
      </c>
      <c r="J28" s="277">
        <f t="shared" si="3"/>
        <v>2269671.1900000032</v>
      </c>
      <c r="K28" s="277">
        <f t="shared" si="3"/>
        <v>1970043.1900000032</v>
      </c>
      <c r="L28" s="226"/>
    </row>
    <row r="29" spans="1:12" ht="15" customHeight="1" x14ac:dyDescent="0.25">
      <c r="A29" s="219" t="s">
        <v>180</v>
      </c>
      <c r="B29" s="268">
        <f>+'2008-09'!O21</f>
        <v>176175.66</v>
      </c>
      <c r="C29" s="268">
        <f>+'2009-10'!N21</f>
        <v>109099.69</v>
      </c>
      <c r="D29" s="259">
        <f>+'2010-11'!N21</f>
        <v>82276.23000000001</v>
      </c>
      <c r="E29" s="259"/>
      <c r="F29" s="219"/>
      <c r="G29" s="219"/>
      <c r="H29" s="219"/>
      <c r="I29" s="219"/>
      <c r="J29" s="219"/>
      <c r="K29" s="219"/>
      <c r="L29" s="219"/>
    </row>
    <row r="30" spans="1:12" ht="15" customHeight="1" x14ac:dyDescent="0.25">
      <c r="A30" s="265" t="s">
        <v>181</v>
      </c>
      <c r="B30" s="266">
        <f>+B29+B28</f>
        <v>3645839.2300000023</v>
      </c>
      <c r="C30" s="266">
        <f t="shared" ref="C30:K30" si="4">+C29+C28</f>
        <v>6544724.9600000028</v>
      </c>
      <c r="D30" s="287">
        <f>+D29+D28</f>
        <v>6714280.1900000032</v>
      </c>
      <c r="E30" s="266">
        <f>+E29+E28</f>
        <v>2380904.1900000032</v>
      </c>
      <c r="F30" s="266">
        <f t="shared" si="4"/>
        <v>1968183.1900000032</v>
      </c>
      <c r="G30" s="266">
        <f t="shared" si="4"/>
        <v>1968555.1900000032</v>
      </c>
      <c r="H30" s="266">
        <f t="shared" si="4"/>
        <v>2368927.1900000032</v>
      </c>
      <c r="I30" s="266">
        <f t="shared" si="4"/>
        <v>2469299.1900000032</v>
      </c>
      <c r="J30" s="266">
        <f t="shared" si="4"/>
        <v>2269671.1900000032</v>
      </c>
      <c r="K30" s="266">
        <f t="shared" si="4"/>
        <v>1970043.1900000032</v>
      </c>
    </row>
    <row r="31" spans="1:12" ht="15" customHeight="1" x14ac:dyDescent="0.25">
      <c r="A31" s="219" t="s">
        <v>218</v>
      </c>
      <c r="B31" s="226"/>
      <c r="C31" s="264"/>
      <c r="D31" s="264">
        <v>-2298628</v>
      </c>
      <c r="E31" s="264"/>
      <c r="F31" s="264"/>
      <c r="G31" s="264"/>
      <c r="H31" s="264"/>
      <c r="I31" s="264"/>
      <c r="J31" s="264"/>
      <c r="K31" s="264"/>
      <c r="L31" s="219"/>
    </row>
    <row r="32" spans="1:12" ht="15" customHeight="1" x14ac:dyDescent="0.25">
      <c r="A32" s="373" t="s">
        <v>219</v>
      </c>
      <c r="B32" s="374">
        <f>+B10-B20-B24+B29</f>
        <v>3645839.2300000023</v>
      </c>
      <c r="C32" s="374">
        <f>+B32+C10-C20-C24+C29</f>
        <v>6544724.9600000028</v>
      </c>
      <c r="D32" s="374">
        <f>+D31+D30</f>
        <v>4415652.1900000032</v>
      </c>
      <c r="E32" s="374">
        <f>+D32+E10-E20-E24+E29</f>
        <v>82276.190000003204</v>
      </c>
      <c r="F32" s="267"/>
      <c r="G32" s="267"/>
      <c r="H32" s="267"/>
      <c r="I32" s="267"/>
      <c r="J32" s="267"/>
      <c r="K32" s="267"/>
      <c r="L32" s="226"/>
    </row>
    <row r="33" spans="1:12" ht="15" customHeight="1" x14ac:dyDescent="0.25">
      <c r="A33" s="227" t="s">
        <v>160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26"/>
    </row>
    <row r="34" spans="1:12" ht="15" customHeight="1" x14ac:dyDescent="0.25">
      <c r="A34" s="219" t="s">
        <v>161</v>
      </c>
      <c r="B34" s="219"/>
      <c r="C34" s="219"/>
      <c r="D34" s="267"/>
      <c r="E34" s="219"/>
      <c r="F34" s="219"/>
      <c r="G34" s="219"/>
      <c r="H34" s="219"/>
      <c r="I34" s="219"/>
      <c r="J34" s="219"/>
      <c r="K34" s="219"/>
      <c r="L34" s="219"/>
    </row>
    <row r="35" spans="1:12" ht="15" customHeight="1" x14ac:dyDescent="0.25">
      <c r="A35" s="219" t="s">
        <v>162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</row>
    <row r="36" spans="1:12" ht="15" customHeight="1" x14ac:dyDescent="0.25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</row>
  </sheetData>
  <pageMargins left="0" right="0" top="0.75" bottom="0.75" header="0.3" footer="0.3"/>
  <pageSetup scale="76" orientation="landscape" horizontalDpi="1200" verticalDpi="1200" r:id="rId1"/>
  <headerFooter>
    <oddFooter>&amp;L&amp;Z&amp;F&amp;R&amp;D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72"/>
  <sheetViews>
    <sheetView zoomScaleNormal="100" workbookViewId="0">
      <pane xSplit="2" ySplit="6" topLeftCell="G55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" x14ac:dyDescent="0.2"/>
  <cols>
    <col min="1" max="1" width="35.42578125" style="1" customWidth="1"/>
    <col min="2" max="2" width="10.5703125" style="1" customWidth="1"/>
    <col min="3" max="3" width="9.140625" style="1" customWidth="1"/>
    <col min="4" max="4" width="9.85546875" style="1" customWidth="1"/>
    <col min="5" max="5" width="8.85546875" style="1" customWidth="1"/>
    <col min="6" max="6" width="9.140625" style="1" customWidth="1"/>
    <col min="7" max="7" width="8.85546875" style="1" customWidth="1"/>
    <col min="8" max="8" width="9.42578125" style="1" customWidth="1"/>
    <col min="9" max="10" width="9.140625" style="1" customWidth="1"/>
    <col min="11" max="12" width="8.5703125" style="1" customWidth="1"/>
    <col min="13" max="14" width="9.140625" style="1" customWidth="1"/>
    <col min="15" max="15" width="9.85546875" style="5" bestFit="1" customWidth="1"/>
    <col min="16" max="16" width="3.42578125" style="1" customWidth="1"/>
    <col min="17" max="17" width="13.42578125" style="1" customWidth="1"/>
    <col min="18" max="18" width="10.42578125" style="1" bestFit="1" customWidth="1"/>
    <col min="19" max="19" width="11.140625" style="1" customWidth="1"/>
    <col min="20" max="16384" width="9.140625" style="1"/>
  </cols>
  <sheetData>
    <row r="1" spans="1:18" ht="15.75" x14ac:dyDescent="0.25">
      <c r="A1" s="378" t="s">
        <v>173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83"/>
      <c r="Q1" s="13"/>
      <c r="R1" s="13"/>
    </row>
    <row r="2" spans="1:18" x14ac:dyDescent="0.2">
      <c r="A2" s="1" t="s">
        <v>0</v>
      </c>
    </row>
    <row r="3" spans="1:18" x14ac:dyDescent="0.2">
      <c r="A3" s="1" t="s">
        <v>1</v>
      </c>
    </row>
    <row r="4" spans="1:18" x14ac:dyDescent="0.2">
      <c r="O4" s="85"/>
      <c r="P4" s="11"/>
      <c r="Q4" s="11"/>
      <c r="R4" s="11"/>
    </row>
    <row r="5" spans="1:18" x14ac:dyDescent="0.2">
      <c r="A5" s="229"/>
      <c r="B5" s="230">
        <v>1</v>
      </c>
      <c r="C5" s="230">
        <v>2</v>
      </c>
      <c r="D5" s="230">
        <v>3</v>
      </c>
      <c r="E5" s="230">
        <v>4</v>
      </c>
      <c r="F5" s="230">
        <v>5</v>
      </c>
      <c r="G5" s="230">
        <v>6</v>
      </c>
      <c r="H5" s="230">
        <v>7</v>
      </c>
      <c r="I5" s="230">
        <v>8</v>
      </c>
      <c r="J5" s="230">
        <v>9</v>
      </c>
      <c r="K5" s="230">
        <v>10</v>
      </c>
      <c r="L5" s="230">
        <v>11</v>
      </c>
      <c r="M5" s="230">
        <v>12</v>
      </c>
      <c r="N5" s="230">
        <v>13</v>
      </c>
      <c r="O5" s="376" t="s">
        <v>24</v>
      </c>
      <c r="P5" s="12"/>
      <c r="Q5" s="12"/>
      <c r="R5" s="12"/>
    </row>
    <row r="6" spans="1:18" ht="12.75" thickBot="1" x14ac:dyDescent="0.25">
      <c r="A6" s="231"/>
      <c r="B6" s="232">
        <v>39600</v>
      </c>
      <c r="C6" s="233">
        <v>39630</v>
      </c>
      <c r="D6" s="233">
        <v>39661</v>
      </c>
      <c r="E6" s="233">
        <v>39692</v>
      </c>
      <c r="F6" s="233">
        <v>39722</v>
      </c>
      <c r="G6" s="233">
        <v>39753</v>
      </c>
      <c r="H6" s="233">
        <v>39783</v>
      </c>
      <c r="I6" s="233">
        <v>39814</v>
      </c>
      <c r="J6" s="233">
        <v>39845</v>
      </c>
      <c r="K6" s="233">
        <v>39873</v>
      </c>
      <c r="L6" s="233">
        <v>39904</v>
      </c>
      <c r="M6" s="233">
        <v>39934</v>
      </c>
      <c r="N6" s="233">
        <v>39965</v>
      </c>
      <c r="O6" s="377"/>
      <c r="P6" s="12"/>
      <c r="Q6" s="12"/>
      <c r="R6" s="12"/>
    </row>
    <row r="7" spans="1:18" x14ac:dyDescent="0.2">
      <c r="A7" s="32" t="s">
        <v>53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217"/>
      <c r="P7" s="12"/>
      <c r="Q7" s="12"/>
      <c r="R7" s="12"/>
    </row>
    <row r="8" spans="1:18" x14ac:dyDescent="0.2">
      <c r="A8" s="1" t="s">
        <v>6</v>
      </c>
      <c r="B8" s="42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86"/>
    </row>
    <row r="9" spans="1:18" x14ac:dyDescent="0.2">
      <c r="A9" s="1" t="s">
        <v>3</v>
      </c>
      <c r="B9" s="43">
        <v>8597710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87">
        <f>SUM(B9:N9)</f>
        <v>8597710</v>
      </c>
      <c r="P9" s="3"/>
      <c r="Q9" s="3" t="s">
        <v>48</v>
      </c>
    </row>
    <row r="10" spans="1:18" x14ac:dyDescent="0.2">
      <c r="A10" s="1" t="s">
        <v>2</v>
      </c>
      <c r="B10" s="43"/>
      <c r="C10" s="44"/>
      <c r="D10" s="44"/>
      <c r="E10" s="44"/>
      <c r="F10" s="44"/>
      <c r="G10" s="44"/>
      <c r="H10" s="44">
        <v>1378513</v>
      </c>
      <c r="I10" s="44"/>
      <c r="J10" s="44"/>
      <c r="K10" s="44"/>
      <c r="L10" s="44"/>
      <c r="M10" s="44"/>
      <c r="N10" s="44"/>
      <c r="O10" s="87">
        <f>SUM(B10:N10)</f>
        <v>1378513</v>
      </c>
      <c r="P10" s="3"/>
      <c r="Q10" s="3" t="s">
        <v>48</v>
      </c>
    </row>
    <row r="11" spans="1:18" x14ac:dyDescent="0.2">
      <c r="A11" s="1" t="s">
        <v>4</v>
      </c>
      <c r="B11" s="43">
        <v>31904</v>
      </c>
      <c r="C11" s="44">
        <v>295161</v>
      </c>
      <c r="D11" s="44">
        <v>295161</v>
      </c>
      <c r="E11" s="44">
        <v>295161</v>
      </c>
      <c r="F11" s="44">
        <v>285579</v>
      </c>
      <c r="G11" s="44">
        <v>295161</v>
      </c>
      <c r="H11" s="44"/>
      <c r="I11" s="44"/>
      <c r="J11" s="44"/>
      <c r="K11" s="44"/>
      <c r="L11" s="44"/>
      <c r="M11" s="44"/>
      <c r="N11" s="44"/>
      <c r="O11" s="87">
        <f>SUM(B11:N11)</f>
        <v>1498127</v>
      </c>
      <c r="P11" s="3"/>
      <c r="Q11" s="3" t="s">
        <v>48</v>
      </c>
    </row>
    <row r="12" spans="1:18" ht="14.25" x14ac:dyDescent="0.35">
      <c r="A12" s="1" t="s">
        <v>5</v>
      </c>
      <c r="B12" s="45"/>
      <c r="C12" s="46"/>
      <c r="D12" s="46"/>
      <c r="E12" s="46"/>
      <c r="F12" s="46"/>
      <c r="G12" s="46"/>
      <c r="H12" s="148">
        <v>340606</v>
      </c>
      <c r="I12" s="44">
        <v>340606</v>
      </c>
      <c r="J12" s="44">
        <v>340606</v>
      </c>
      <c r="K12" s="44">
        <v>340606</v>
      </c>
      <c r="L12" s="44">
        <v>340606</v>
      </c>
      <c r="M12" s="44">
        <v>340606</v>
      </c>
      <c r="N12" s="44">
        <v>340606</v>
      </c>
      <c r="O12" s="87">
        <f>SUM(B12:N12)</f>
        <v>2384242</v>
      </c>
      <c r="P12" s="3"/>
      <c r="Q12" s="3" t="s">
        <v>48</v>
      </c>
    </row>
    <row r="13" spans="1:18" x14ac:dyDescent="0.2">
      <c r="A13" s="4"/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88"/>
      <c r="P13" s="7"/>
      <c r="Q13" s="98" t="s">
        <v>48</v>
      </c>
    </row>
    <row r="14" spans="1:18" x14ac:dyDescent="0.2">
      <c r="A14" s="26" t="s">
        <v>24</v>
      </c>
      <c r="B14" s="43">
        <f>SUM(B9:B12)</f>
        <v>8629614</v>
      </c>
      <c r="C14" s="44">
        <f t="shared" ref="C14:N14" si="0">SUM(C9:C12)</f>
        <v>295161</v>
      </c>
      <c r="D14" s="44">
        <f t="shared" si="0"/>
        <v>295161</v>
      </c>
      <c r="E14" s="44">
        <f t="shared" si="0"/>
        <v>295161</v>
      </c>
      <c r="F14" s="44">
        <f t="shared" si="0"/>
        <v>285579</v>
      </c>
      <c r="G14" s="44">
        <f t="shared" si="0"/>
        <v>295161</v>
      </c>
      <c r="H14" s="44">
        <f t="shared" si="0"/>
        <v>1719119</v>
      </c>
      <c r="I14" s="44">
        <f t="shared" si="0"/>
        <v>340606</v>
      </c>
      <c r="J14" s="44">
        <f t="shared" si="0"/>
        <v>340606</v>
      </c>
      <c r="K14" s="44">
        <f t="shared" si="0"/>
        <v>340606</v>
      </c>
      <c r="L14" s="44">
        <f t="shared" si="0"/>
        <v>340606</v>
      </c>
      <c r="M14" s="44">
        <f t="shared" si="0"/>
        <v>340606</v>
      </c>
      <c r="N14" s="44">
        <f t="shared" si="0"/>
        <v>340606</v>
      </c>
      <c r="O14" s="87">
        <f>SUM(O9:O13)</f>
        <v>13858592</v>
      </c>
      <c r="P14" s="3"/>
      <c r="Q14" s="3">
        <f>+O14</f>
        <v>13858592</v>
      </c>
    </row>
    <row r="15" spans="1:18" x14ac:dyDescent="0.2">
      <c r="A15" s="32" t="s">
        <v>54</v>
      </c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86"/>
    </row>
    <row r="16" spans="1:18" x14ac:dyDescent="0.2">
      <c r="A16" s="1" t="s">
        <v>6</v>
      </c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87">
        <f t="shared" ref="O16:O21" si="1">SUM(B16:N16)</f>
        <v>0</v>
      </c>
      <c r="P16" s="3"/>
      <c r="Q16" s="3"/>
    </row>
    <row r="17" spans="1:18" x14ac:dyDescent="0.2">
      <c r="A17" s="1" t="s">
        <v>3</v>
      </c>
      <c r="B17" s="43">
        <f>1097709+7531904.87</f>
        <v>8629613.870000001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87">
        <f t="shared" si="1"/>
        <v>8629613.870000001</v>
      </c>
      <c r="P17" s="3"/>
      <c r="Q17" s="3"/>
    </row>
    <row r="18" spans="1:18" x14ac:dyDescent="0.2">
      <c r="A18" s="1" t="s">
        <v>2</v>
      </c>
      <c r="B18" s="43"/>
      <c r="C18" s="44"/>
      <c r="D18" s="44"/>
      <c r="E18" s="44"/>
      <c r="F18" s="44"/>
      <c r="G18" s="44"/>
      <c r="H18" s="50">
        <f>1392176.8-G20</f>
        <v>1392176.8</v>
      </c>
      <c r="I18" s="44"/>
      <c r="J18" s="44"/>
      <c r="K18" s="44"/>
      <c r="L18" s="44"/>
      <c r="M18" s="44"/>
      <c r="N18" s="44"/>
      <c r="O18" s="87">
        <f t="shared" si="1"/>
        <v>1392176.8</v>
      </c>
      <c r="P18" s="3"/>
      <c r="Q18" s="3"/>
    </row>
    <row r="19" spans="1:18" x14ac:dyDescent="0.2">
      <c r="A19" s="1" t="s">
        <v>4</v>
      </c>
      <c r="B19" s="49">
        <v>0</v>
      </c>
      <c r="C19" s="50">
        <v>285579.40000000002</v>
      </c>
      <c r="D19" s="50">
        <v>295160.5</v>
      </c>
      <c r="E19" s="50">
        <v>295160.5</v>
      </c>
      <c r="F19" s="50">
        <v>295160.5</v>
      </c>
      <c r="G19" s="50">
        <v>295160.5</v>
      </c>
      <c r="H19" s="148">
        <f>295160.5</f>
        <v>295160.5</v>
      </c>
      <c r="O19" s="87">
        <f t="shared" si="1"/>
        <v>1761381.9</v>
      </c>
      <c r="P19" s="3"/>
      <c r="Q19" s="3"/>
      <c r="R19" s="3" t="s">
        <v>48</v>
      </c>
    </row>
    <row r="20" spans="1:18" x14ac:dyDescent="0.2">
      <c r="A20" s="1" t="s">
        <v>5</v>
      </c>
      <c r="B20" s="49"/>
      <c r="C20" s="50"/>
      <c r="D20" s="50"/>
      <c r="E20" s="50"/>
      <c r="F20" s="50"/>
      <c r="G20" s="50"/>
      <c r="I20" s="50">
        <v>340606.5</v>
      </c>
      <c r="J20" s="50">
        <v>340606.5</v>
      </c>
      <c r="K20" s="50">
        <v>340606.5</v>
      </c>
      <c r="L20" s="50">
        <v>340606.5</v>
      </c>
      <c r="M20" s="50">
        <v>340606.5</v>
      </c>
      <c r="N20" s="50">
        <v>340606.5</v>
      </c>
      <c r="O20" s="87">
        <f>SUM(B20:N20)</f>
        <v>2043639</v>
      </c>
      <c r="P20" s="3"/>
      <c r="Q20" s="3">
        <f>SUM(O17:O20)</f>
        <v>13826811.570000002</v>
      </c>
      <c r="R20" s="3" t="s">
        <v>48</v>
      </c>
    </row>
    <row r="21" spans="1:18" x14ac:dyDescent="0.2">
      <c r="A21" s="30" t="s">
        <v>50</v>
      </c>
      <c r="B21" s="51">
        <f>12814.56+726.29</f>
        <v>13540.849999999999</v>
      </c>
      <c r="C21" s="52">
        <f>806.19+26464.15</f>
        <v>27270.34</v>
      </c>
      <c r="D21" s="52">
        <f>794.51+29197.26</f>
        <v>29991.769999999997</v>
      </c>
      <c r="E21" s="52">
        <f>308.75+12740.99</f>
        <v>13049.74</v>
      </c>
      <c r="F21" s="52">
        <v>10929.37</v>
      </c>
      <c r="G21" s="52">
        <v>13971.82</v>
      </c>
      <c r="H21" s="52">
        <v>12495.18</v>
      </c>
      <c r="I21" s="52">
        <v>17546.41</v>
      </c>
      <c r="J21" s="52">
        <v>3618.79</v>
      </c>
      <c r="K21" s="52">
        <v>8529.11</v>
      </c>
      <c r="L21" s="52">
        <v>8073.4</v>
      </c>
      <c r="M21" s="52">
        <v>8905.7900000000009</v>
      </c>
      <c r="N21" s="52">
        <v>8253.09</v>
      </c>
      <c r="O21" s="89">
        <f t="shared" si="1"/>
        <v>176175.66</v>
      </c>
      <c r="P21" s="16"/>
      <c r="R21" s="1" t="s">
        <v>48</v>
      </c>
    </row>
    <row r="22" spans="1:18" x14ac:dyDescent="0.2">
      <c r="A22" s="26" t="s">
        <v>24</v>
      </c>
      <c r="B22" s="43">
        <f>SUM(B16:B20)</f>
        <v>8629613.870000001</v>
      </c>
      <c r="C22" s="44">
        <f t="shared" ref="C22:G22" si="2">SUM(C16:C20)</f>
        <v>285579.40000000002</v>
      </c>
      <c r="D22" s="44">
        <f t="shared" si="2"/>
        <v>295160.5</v>
      </c>
      <c r="E22" s="44">
        <f t="shared" si="2"/>
        <v>295160.5</v>
      </c>
      <c r="F22" s="44">
        <f t="shared" si="2"/>
        <v>295160.5</v>
      </c>
      <c r="G22" s="44">
        <f t="shared" si="2"/>
        <v>295160.5</v>
      </c>
      <c r="H22" s="44">
        <f>SUM(H16:H19)</f>
        <v>1687337.3</v>
      </c>
      <c r="I22" s="44">
        <f t="shared" ref="I22:N22" si="3">SUM(I16:I20)</f>
        <v>340606.5</v>
      </c>
      <c r="J22" s="44">
        <f t="shared" si="3"/>
        <v>340606.5</v>
      </c>
      <c r="K22" s="44">
        <f t="shared" si="3"/>
        <v>340606.5</v>
      </c>
      <c r="L22" s="44">
        <f t="shared" si="3"/>
        <v>340606.5</v>
      </c>
      <c r="M22" s="44">
        <f t="shared" si="3"/>
        <v>340606.5</v>
      </c>
      <c r="N22" s="44">
        <f t="shared" si="3"/>
        <v>340606.5</v>
      </c>
      <c r="O22" s="53">
        <f>SUM(O16:O21)</f>
        <v>14002987.230000002</v>
      </c>
      <c r="P22" s="18" t="s">
        <v>18</v>
      </c>
      <c r="Q22" s="3">
        <f>+Q20-Q14</f>
        <v>-31780.429999997839</v>
      </c>
      <c r="R22" s="3" t="s">
        <v>48</v>
      </c>
    </row>
    <row r="23" spans="1:18" ht="4.5" customHeight="1" x14ac:dyDescent="0.2">
      <c r="A23" s="31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90"/>
      <c r="P23" s="9"/>
      <c r="Q23" s="2"/>
      <c r="R23" s="3"/>
    </row>
    <row r="24" spans="1:18" x14ac:dyDescent="0.2">
      <c r="B24" s="37">
        <v>1</v>
      </c>
      <c r="C24" s="38">
        <v>2</v>
      </c>
      <c r="D24" s="38">
        <v>3</v>
      </c>
      <c r="E24" s="38">
        <v>4</v>
      </c>
      <c r="F24" s="38">
        <v>5</v>
      </c>
      <c r="G24" s="38">
        <v>6</v>
      </c>
      <c r="H24" s="38">
        <v>7</v>
      </c>
      <c r="I24" s="38">
        <v>8</v>
      </c>
      <c r="J24" s="38">
        <v>9</v>
      </c>
      <c r="K24" s="38">
        <v>10</v>
      </c>
      <c r="L24" s="38">
        <v>11</v>
      </c>
      <c r="M24" s="38">
        <v>12</v>
      </c>
      <c r="N24" s="38">
        <v>13</v>
      </c>
      <c r="O24" s="86"/>
      <c r="P24" s="9"/>
    </row>
    <row r="25" spans="1:18" x14ac:dyDescent="0.2">
      <c r="A25" s="32" t="s">
        <v>55</v>
      </c>
      <c r="B25" s="40">
        <v>39600</v>
      </c>
      <c r="C25" s="41">
        <v>39630</v>
      </c>
      <c r="D25" s="41">
        <v>39661</v>
      </c>
      <c r="E25" s="41">
        <v>39692</v>
      </c>
      <c r="F25" s="41">
        <v>39722</v>
      </c>
      <c r="G25" s="41">
        <v>39753</v>
      </c>
      <c r="H25" s="41">
        <v>39783</v>
      </c>
      <c r="I25" s="41">
        <v>39814</v>
      </c>
      <c r="J25" s="41">
        <v>39845</v>
      </c>
      <c r="K25" s="41">
        <v>39873</v>
      </c>
      <c r="L25" s="41">
        <v>39904</v>
      </c>
      <c r="M25" s="41">
        <v>39934</v>
      </c>
      <c r="N25" s="41">
        <v>39965</v>
      </c>
      <c r="O25" s="86"/>
      <c r="P25" s="9"/>
      <c r="Q25" s="3"/>
    </row>
    <row r="26" spans="1:18" x14ac:dyDescent="0.2">
      <c r="A26" s="9" t="s">
        <v>8</v>
      </c>
      <c r="B26" s="56">
        <v>3079895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91">
        <f t="shared" ref="O26:O31" si="4">SUM(B26:N26)</f>
        <v>3079895</v>
      </c>
      <c r="P26" s="10"/>
      <c r="Q26" s="6"/>
    </row>
    <row r="27" spans="1:18" x14ac:dyDescent="0.2">
      <c r="A27" s="9" t="s">
        <v>12</v>
      </c>
      <c r="B27" s="56">
        <v>2600000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91">
        <f t="shared" si="4"/>
        <v>2600000</v>
      </c>
      <c r="P27" s="10"/>
      <c r="Q27" s="6"/>
    </row>
    <row r="28" spans="1:18" x14ac:dyDescent="0.2">
      <c r="A28" s="9" t="s">
        <v>10</v>
      </c>
      <c r="B28" s="56">
        <v>3500000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91">
        <f t="shared" si="4"/>
        <v>3500000</v>
      </c>
      <c r="P28" s="10"/>
      <c r="Q28" s="6"/>
    </row>
    <row r="29" spans="1:18" x14ac:dyDescent="0.2">
      <c r="A29" s="9" t="s">
        <v>9</v>
      </c>
      <c r="B29" s="56">
        <v>400000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91">
        <f t="shared" si="4"/>
        <v>400000</v>
      </c>
      <c r="P29" s="10"/>
      <c r="Q29" s="6"/>
    </row>
    <row r="30" spans="1:18" x14ac:dyDescent="0.2">
      <c r="A30" s="30" t="s">
        <v>11</v>
      </c>
      <c r="B30" s="56">
        <v>500000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91">
        <f t="shared" si="4"/>
        <v>500000</v>
      </c>
      <c r="P30" s="17"/>
      <c r="Q30" s="8"/>
    </row>
    <row r="31" spans="1:18" x14ac:dyDescent="0.2">
      <c r="A31" s="26" t="s">
        <v>24</v>
      </c>
      <c r="B31" s="58">
        <f t="shared" ref="B31:N31" si="5">SUM(B26:B30)</f>
        <v>10079895</v>
      </c>
      <c r="C31" s="59">
        <f t="shared" si="5"/>
        <v>0</v>
      </c>
      <c r="D31" s="59">
        <f t="shared" si="5"/>
        <v>0</v>
      </c>
      <c r="E31" s="59">
        <f t="shared" si="5"/>
        <v>0</v>
      </c>
      <c r="F31" s="59">
        <f t="shared" si="5"/>
        <v>0</v>
      </c>
      <c r="G31" s="59">
        <f t="shared" si="5"/>
        <v>0</v>
      </c>
      <c r="H31" s="59">
        <f t="shared" si="5"/>
        <v>0</v>
      </c>
      <c r="I31" s="59">
        <f t="shared" si="5"/>
        <v>0</v>
      </c>
      <c r="J31" s="59">
        <f t="shared" si="5"/>
        <v>0</v>
      </c>
      <c r="K31" s="59">
        <f t="shared" si="5"/>
        <v>0</v>
      </c>
      <c r="L31" s="59">
        <f t="shared" si="5"/>
        <v>0</v>
      </c>
      <c r="M31" s="59">
        <f t="shared" si="5"/>
        <v>0</v>
      </c>
      <c r="N31" s="59">
        <f t="shared" si="5"/>
        <v>0</v>
      </c>
      <c r="O31" s="60">
        <f t="shared" si="4"/>
        <v>10079895</v>
      </c>
      <c r="P31" s="10"/>
      <c r="Q31" s="6"/>
    </row>
    <row r="32" spans="1:18" x14ac:dyDescent="0.2">
      <c r="B32" s="42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86"/>
    </row>
    <row r="33" spans="1:17" x14ac:dyDescent="0.2">
      <c r="A33" s="33" t="s">
        <v>111</v>
      </c>
      <c r="B33" s="61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91"/>
      <c r="P33" s="10"/>
    </row>
    <row r="34" spans="1:17" x14ac:dyDescent="0.2">
      <c r="A34" s="24" t="s">
        <v>16</v>
      </c>
      <c r="B34" s="56"/>
      <c r="C34" s="62"/>
      <c r="D34" s="62"/>
      <c r="E34" s="62"/>
      <c r="F34" s="62"/>
      <c r="G34" s="62"/>
      <c r="H34" s="63">
        <v>1851739</v>
      </c>
      <c r="I34" s="99"/>
      <c r="J34" s="57"/>
      <c r="K34" s="57"/>
      <c r="L34" s="57"/>
      <c r="M34" s="63">
        <v>26293</v>
      </c>
      <c r="N34" s="63">
        <v>1279116</v>
      </c>
      <c r="O34" s="101">
        <f t="shared" ref="O34:O39" si="6">SUM(B34:N34)</f>
        <v>3157148</v>
      </c>
      <c r="P34" s="10"/>
    </row>
    <row r="35" spans="1:17" x14ac:dyDescent="0.2">
      <c r="A35" s="23" t="s">
        <v>14</v>
      </c>
      <c r="B35" s="56"/>
      <c r="C35" s="62"/>
      <c r="D35" s="62"/>
      <c r="E35" s="62"/>
      <c r="F35" s="62"/>
      <c r="G35" s="64">
        <v>874000</v>
      </c>
      <c r="H35" s="62"/>
      <c r="I35" s="62"/>
      <c r="J35" s="64">
        <v>900000</v>
      </c>
      <c r="K35" s="64">
        <v>800000</v>
      </c>
      <c r="L35" s="57"/>
      <c r="M35" s="57"/>
      <c r="N35" s="57"/>
      <c r="O35" s="92">
        <f t="shared" si="6"/>
        <v>2574000</v>
      </c>
      <c r="P35" s="10"/>
    </row>
    <row r="36" spans="1:17" x14ac:dyDescent="0.2">
      <c r="A36" s="149" t="s">
        <v>15</v>
      </c>
      <c r="B36" s="56"/>
      <c r="C36" s="62"/>
      <c r="D36" s="62"/>
      <c r="E36" s="62"/>
      <c r="F36" s="65">
        <v>3500000</v>
      </c>
      <c r="G36" s="62"/>
      <c r="H36" s="62"/>
      <c r="I36" s="62"/>
      <c r="J36" s="57"/>
      <c r="K36" s="57"/>
      <c r="L36" s="57"/>
      <c r="M36" s="57"/>
      <c r="N36" s="57"/>
      <c r="O36" s="91">
        <f t="shared" si="6"/>
        <v>3500000</v>
      </c>
      <c r="P36" s="10"/>
    </row>
    <row r="37" spans="1:17" x14ac:dyDescent="0.2">
      <c r="A37" s="25" t="s">
        <v>22</v>
      </c>
      <c r="B37" s="56"/>
      <c r="C37" s="62"/>
      <c r="D37" s="62"/>
      <c r="E37" s="62"/>
      <c r="F37" s="62"/>
      <c r="G37" s="62"/>
      <c r="H37" s="62"/>
      <c r="I37" s="66">
        <v>400000</v>
      </c>
      <c r="J37" s="57"/>
      <c r="K37" s="57"/>
      <c r="L37" s="57"/>
      <c r="M37" s="57"/>
      <c r="N37" s="57"/>
      <c r="O37" s="91">
        <f t="shared" si="6"/>
        <v>400000</v>
      </c>
      <c r="P37" s="10"/>
    </row>
    <row r="38" spans="1:17" x14ac:dyDescent="0.2">
      <c r="A38" s="25" t="s">
        <v>23</v>
      </c>
      <c r="B38" s="56"/>
      <c r="C38" s="62"/>
      <c r="D38" s="62"/>
      <c r="E38" s="62"/>
      <c r="F38" s="62"/>
      <c r="G38" s="62"/>
      <c r="H38" s="62"/>
      <c r="I38" s="66">
        <v>500000</v>
      </c>
      <c r="J38" s="57"/>
      <c r="K38" s="57"/>
      <c r="L38" s="57"/>
      <c r="M38" s="57"/>
      <c r="N38" s="57"/>
      <c r="O38" s="91">
        <f t="shared" si="6"/>
        <v>500000</v>
      </c>
      <c r="P38" s="10"/>
    </row>
    <row r="39" spans="1:17" x14ac:dyDescent="0.2">
      <c r="A39" s="27" t="s">
        <v>24</v>
      </c>
      <c r="B39" s="58">
        <f t="shared" ref="B39:N39" si="7">SUM(B34:B38)</f>
        <v>0</v>
      </c>
      <c r="C39" s="67">
        <f t="shared" si="7"/>
        <v>0</v>
      </c>
      <c r="D39" s="67">
        <f t="shared" si="7"/>
        <v>0</v>
      </c>
      <c r="E39" s="67">
        <f t="shared" si="7"/>
        <v>0</v>
      </c>
      <c r="F39" s="67">
        <f t="shared" si="7"/>
        <v>3500000</v>
      </c>
      <c r="G39" s="67">
        <f t="shared" si="7"/>
        <v>874000</v>
      </c>
      <c r="H39" s="67">
        <f t="shared" si="7"/>
        <v>1851739</v>
      </c>
      <c r="I39" s="67">
        <f t="shared" si="7"/>
        <v>900000</v>
      </c>
      <c r="J39" s="67">
        <f t="shared" si="7"/>
        <v>900000</v>
      </c>
      <c r="K39" s="67">
        <f t="shared" si="7"/>
        <v>800000</v>
      </c>
      <c r="L39" s="67">
        <f t="shared" si="7"/>
        <v>0</v>
      </c>
      <c r="M39" s="67">
        <f t="shared" si="7"/>
        <v>26293</v>
      </c>
      <c r="N39" s="67">
        <f t="shared" si="7"/>
        <v>1279116</v>
      </c>
      <c r="O39" s="68">
        <f t="shared" si="6"/>
        <v>10131148</v>
      </c>
      <c r="P39" s="19" t="s">
        <v>19</v>
      </c>
      <c r="Q39" s="6"/>
    </row>
    <row r="40" spans="1:17" ht="6" customHeight="1" x14ac:dyDescent="0.2">
      <c r="A40" s="118"/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1"/>
      <c r="P40" s="10"/>
      <c r="Q40" s="6"/>
    </row>
    <row r="41" spans="1:17" x14ac:dyDescent="0.2">
      <c r="A41" s="34" t="s">
        <v>56</v>
      </c>
      <c r="B41" s="61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91"/>
      <c r="P41" s="10"/>
      <c r="Q41" s="6"/>
    </row>
    <row r="42" spans="1:17" x14ac:dyDescent="0.2">
      <c r="A42" s="35" t="s">
        <v>16</v>
      </c>
      <c r="B42" s="69"/>
      <c r="C42" s="70"/>
      <c r="D42" s="70"/>
      <c r="E42" s="70"/>
      <c r="F42" s="70"/>
      <c r="G42" s="70"/>
      <c r="H42" s="71">
        <v>1851739</v>
      </c>
      <c r="I42" s="72"/>
      <c r="J42" s="72"/>
      <c r="K42" s="72"/>
      <c r="L42" s="72"/>
      <c r="M42" s="72">
        <v>26293</v>
      </c>
      <c r="N42" s="72">
        <v>1279116</v>
      </c>
      <c r="O42" s="93">
        <f t="shared" ref="O42:O69" si="8">SUM(B42:N42)</f>
        <v>3157148</v>
      </c>
      <c r="P42" s="10"/>
      <c r="Q42" s="6"/>
    </row>
    <row r="43" spans="1:17" x14ac:dyDescent="0.2">
      <c r="A43" s="36" t="s">
        <v>14</v>
      </c>
      <c r="B43" s="73"/>
      <c r="C43" s="74"/>
      <c r="D43" s="74"/>
      <c r="E43" s="74"/>
      <c r="F43" s="74"/>
      <c r="G43" s="75">
        <v>16698</v>
      </c>
      <c r="H43" s="75">
        <v>133804</v>
      </c>
      <c r="I43" s="75">
        <v>639138</v>
      </c>
      <c r="J43" s="75">
        <v>23493</v>
      </c>
      <c r="K43" s="75">
        <v>0</v>
      </c>
      <c r="L43" s="75">
        <v>162568</v>
      </c>
      <c r="M43" s="76">
        <v>299618</v>
      </c>
      <c r="N43" s="76">
        <v>576319</v>
      </c>
      <c r="O43" s="94">
        <f t="shared" si="8"/>
        <v>1851638</v>
      </c>
      <c r="P43" s="10"/>
      <c r="Q43" s="6"/>
    </row>
    <row r="44" spans="1:17" x14ac:dyDescent="0.2">
      <c r="A44" s="234" t="s">
        <v>45</v>
      </c>
      <c r="B44" s="73"/>
      <c r="C44" s="74"/>
      <c r="D44" s="74"/>
      <c r="E44" s="74"/>
      <c r="F44" s="74"/>
      <c r="G44" s="74"/>
      <c r="H44" s="74"/>
      <c r="I44" s="76"/>
      <c r="J44" s="76"/>
      <c r="K44" s="76"/>
      <c r="L44" s="76"/>
      <c r="M44" s="76"/>
      <c r="N44" s="76"/>
      <c r="O44" s="94">
        <f t="shared" si="8"/>
        <v>0</v>
      </c>
      <c r="P44" s="10"/>
      <c r="Q44" s="6"/>
    </row>
    <row r="45" spans="1:17" x14ac:dyDescent="0.2">
      <c r="A45" s="235" t="s">
        <v>25</v>
      </c>
      <c r="B45" s="95">
        <v>100599</v>
      </c>
      <c r="C45" s="77"/>
      <c r="D45" s="84"/>
      <c r="E45" s="84"/>
      <c r="F45" s="237">
        <f>1000000+110495</f>
        <v>1110495</v>
      </c>
      <c r="G45" s="84"/>
      <c r="H45" s="77"/>
      <c r="I45" s="76"/>
      <c r="J45" s="76"/>
      <c r="K45" s="76"/>
      <c r="L45" s="76"/>
      <c r="M45" s="76"/>
      <c r="N45" s="76"/>
      <c r="O45" s="94">
        <f t="shared" si="8"/>
        <v>1211094</v>
      </c>
      <c r="P45" s="10"/>
      <c r="Q45" s="6"/>
    </row>
    <row r="46" spans="1:17" x14ac:dyDescent="0.2">
      <c r="A46" s="235" t="s">
        <v>26</v>
      </c>
      <c r="B46" s="95">
        <v>960000</v>
      </c>
      <c r="C46" s="77"/>
      <c r="D46" s="84"/>
      <c r="E46" s="84"/>
      <c r="F46" s="237">
        <v>1400000</v>
      </c>
      <c r="G46" s="84"/>
      <c r="H46" s="77"/>
      <c r="I46" s="76"/>
      <c r="J46" s="76"/>
      <c r="K46" s="76"/>
      <c r="L46" s="76"/>
      <c r="M46" s="76"/>
      <c r="N46" s="76"/>
      <c r="O46" s="94">
        <f t="shared" si="8"/>
        <v>2360000</v>
      </c>
      <c r="P46" s="10"/>
      <c r="Q46" s="6"/>
    </row>
    <row r="47" spans="1:17" x14ac:dyDescent="0.2">
      <c r="A47" s="235" t="s">
        <v>27</v>
      </c>
      <c r="B47" s="95">
        <v>961001</v>
      </c>
      <c r="C47" s="77"/>
      <c r="D47" s="84"/>
      <c r="E47" s="84"/>
      <c r="F47" s="237">
        <v>400000</v>
      </c>
      <c r="G47" s="84"/>
      <c r="H47" s="77"/>
      <c r="I47" s="76"/>
      <c r="J47" s="76"/>
      <c r="K47" s="76"/>
      <c r="L47" s="76"/>
      <c r="M47" s="76"/>
      <c r="N47" s="76"/>
      <c r="O47" s="94">
        <f t="shared" si="8"/>
        <v>1361001</v>
      </c>
      <c r="P47" s="10"/>
      <c r="Q47" s="6"/>
    </row>
    <row r="48" spans="1:17" x14ac:dyDescent="0.2">
      <c r="A48" s="235" t="s">
        <v>28</v>
      </c>
      <c r="B48" s="95">
        <v>961002</v>
      </c>
      <c r="C48" s="77"/>
      <c r="D48" s="84"/>
      <c r="E48" s="84"/>
      <c r="F48" s="237">
        <v>50000</v>
      </c>
      <c r="G48" s="84"/>
      <c r="H48" s="77"/>
      <c r="I48" s="76"/>
      <c r="J48" s="76"/>
      <c r="K48" s="76"/>
      <c r="L48" s="76"/>
      <c r="M48" s="76"/>
      <c r="N48" s="76"/>
      <c r="O48" s="94">
        <f t="shared" si="8"/>
        <v>1011002</v>
      </c>
      <c r="P48" s="10"/>
      <c r="Q48" s="6"/>
    </row>
    <row r="49" spans="1:18" x14ac:dyDescent="0.2">
      <c r="A49" s="235" t="s">
        <v>29</v>
      </c>
      <c r="B49" s="95">
        <v>961003</v>
      </c>
      <c r="C49" s="77"/>
      <c r="D49" s="84"/>
      <c r="E49" s="84"/>
      <c r="F49" s="237">
        <v>225000</v>
      </c>
      <c r="G49" s="84"/>
      <c r="H49" s="77"/>
      <c r="I49" s="76"/>
      <c r="J49" s="76"/>
      <c r="K49" s="76"/>
      <c r="L49" s="76"/>
      <c r="M49" s="76"/>
      <c r="N49" s="76"/>
      <c r="O49" s="94">
        <f t="shared" si="8"/>
        <v>1186003</v>
      </c>
      <c r="P49" s="10"/>
      <c r="Q49" s="6"/>
    </row>
    <row r="50" spans="1:18" x14ac:dyDescent="0.2">
      <c r="A50" s="235" t="s">
        <v>30</v>
      </c>
      <c r="B50" s="95">
        <v>961004</v>
      </c>
      <c r="C50" s="77"/>
      <c r="D50" s="84"/>
      <c r="E50" s="84"/>
      <c r="F50" s="237">
        <v>50000</v>
      </c>
      <c r="G50" s="84"/>
      <c r="H50" s="77"/>
      <c r="I50" s="76"/>
      <c r="J50" s="76"/>
      <c r="K50" s="76"/>
      <c r="L50" s="76"/>
      <c r="M50" s="76"/>
      <c r="N50" s="76"/>
      <c r="O50" s="94">
        <f t="shared" si="8"/>
        <v>1011004</v>
      </c>
      <c r="P50" s="10"/>
      <c r="Q50" s="6"/>
    </row>
    <row r="51" spans="1:18" x14ac:dyDescent="0.2">
      <c r="A51" s="235" t="s">
        <v>32</v>
      </c>
      <c r="B51" s="95" t="s">
        <v>31</v>
      </c>
      <c r="C51" s="77"/>
      <c r="D51" s="84"/>
      <c r="E51" s="84"/>
      <c r="F51" s="237">
        <v>25000</v>
      </c>
      <c r="G51" s="84"/>
      <c r="H51" s="77"/>
      <c r="I51" s="76"/>
      <c r="J51" s="76"/>
      <c r="K51" s="76"/>
      <c r="L51" s="76"/>
      <c r="M51" s="76"/>
      <c r="N51" s="76"/>
      <c r="O51" s="94">
        <f t="shared" si="8"/>
        <v>25000</v>
      </c>
      <c r="P51" s="10"/>
      <c r="Q51" s="6"/>
    </row>
    <row r="52" spans="1:18" x14ac:dyDescent="0.2">
      <c r="A52" s="235" t="s">
        <v>33</v>
      </c>
      <c r="B52" s="95">
        <v>300599</v>
      </c>
      <c r="C52" s="77"/>
      <c r="D52" s="84"/>
      <c r="E52" s="84"/>
      <c r="F52" s="237">
        <v>1260</v>
      </c>
      <c r="G52" s="84"/>
      <c r="H52" s="77"/>
      <c r="I52" s="76"/>
      <c r="J52" s="76"/>
      <c r="K52" s="76"/>
      <c r="L52" s="76"/>
      <c r="M52" s="76"/>
      <c r="N52" s="76"/>
      <c r="O52" s="94">
        <f t="shared" si="8"/>
        <v>301859</v>
      </c>
      <c r="P52" s="10"/>
      <c r="Q52" s="6"/>
    </row>
    <row r="53" spans="1:18" x14ac:dyDescent="0.2">
      <c r="A53" s="235" t="s">
        <v>34</v>
      </c>
      <c r="B53" s="95">
        <v>180599</v>
      </c>
      <c r="C53" s="77"/>
      <c r="D53" s="84"/>
      <c r="E53" s="84"/>
      <c r="F53" s="237">
        <v>43680</v>
      </c>
      <c r="G53" s="84"/>
      <c r="H53" s="77"/>
      <c r="I53" s="76"/>
      <c r="J53" s="76"/>
      <c r="K53" s="76"/>
      <c r="L53" s="76"/>
      <c r="M53" s="76"/>
      <c r="N53" s="76"/>
      <c r="O53" s="94">
        <f t="shared" si="8"/>
        <v>224279</v>
      </c>
      <c r="P53" s="10"/>
      <c r="Q53" s="6"/>
    </row>
    <row r="54" spans="1:18" x14ac:dyDescent="0.2">
      <c r="A54" s="235" t="s">
        <v>35</v>
      </c>
      <c r="B54" s="95">
        <v>400599</v>
      </c>
      <c r="C54" s="77"/>
      <c r="D54" s="84"/>
      <c r="E54" s="84"/>
      <c r="F54" s="237">
        <v>19075</v>
      </c>
      <c r="G54" s="84"/>
      <c r="H54" s="77"/>
      <c r="I54" s="76"/>
      <c r="J54" s="76"/>
      <c r="K54" s="76"/>
      <c r="L54" s="76"/>
      <c r="M54" s="76"/>
      <c r="N54" s="76"/>
      <c r="O54" s="94">
        <f t="shared" si="8"/>
        <v>419674</v>
      </c>
      <c r="P54" s="10"/>
      <c r="Q54" s="6"/>
    </row>
    <row r="55" spans="1:18" x14ac:dyDescent="0.2">
      <c r="A55" s="235" t="s">
        <v>36</v>
      </c>
      <c r="B55" s="95">
        <v>810599</v>
      </c>
      <c r="C55" s="77"/>
      <c r="D55" s="84"/>
      <c r="E55" s="84"/>
      <c r="F55" s="237">
        <v>10465</v>
      </c>
      <c r="G55" s="84"/>
      <c r="H55" s="77"/>
      <c r="I55" s="76"/>
      <c r="J55" s="76"/>
      <c r="K55" s="76"/>
      <c r="L55" s="76"/>
      <c r="M55" s="76"/>
      <c r="N55" s="76"/>
      <c r="O55" s="94">
        <f t="shared" si="8"/>
        <v>821064</v>
      </c>
      <c r="P55" s="10"/>
      <c r="Q55" s="6"/>
    </row>
    <row r="56" spans="1:18" x14ac:dyDescent="0.2">
      <c r="A56" s="235" t="s">
        <v>37</v>
      </c>
      <c r="B56" s="95">
        <v>20599</v>
      </c>
      <c r="C56" s="77"/>
      <c r="D56" s="84"/>
      <c r="E56" s="84"/>
      <c r="F56" s="237">
        <v>8190</v>
      </c>
      <c r="G56" s="84"/>
      <c r="H56" s="77"/>
      <c r="I56" s="76"/>
      <c r="J56" s="76"/>
      <c r="K56" s="76"/>
      <c r="L56" s="76"/>
      <c r="M56" s="76"/>
      <c r="N56" s="76"/>
      <c r="O56" s="94">
        <f t="shared" si="8"/>
        <v>28789</v>
      </c>
      <c r="P56" s="10"/>
      <c r="Q56" s="6"/>
    </row>
    <row r="57" spans="1:18" x14ac:dyDescent="0.2">
      <c r="A57" s="235" t="s">
        <v>38</v>
      </c>
      <c r="B57" s="95">
        <v>500599</v>
      </c>
      <c r="C57" s="77"/>
      <c r="D57" s="84"/>
      <c r="E57" s="84"/>
      <c r="F57" s="237">
        <v>10010</v>
      </c>
      <c r="G57" s="84"/>
      <c r="H57" s="77"/>
      <c r="I57" s="76"/>
      <c r="J57" s="76"/>
      <c r="K57" s="76"/>
      <c r="L57" s="76"/>
      <c r="M57" s="76"/>
      <c r="N57" s="76"/>
      <c r="O57" s="94">
        <f t="shared" si="8"/>
        <v>510609</v>
      </c>
      <c r="P57" s="10"/>
      <c r="Q57" s="6"/>
    </row>
    <row r="58" spans="1:18" x14ac:dyDescent="0.2">
      <c r="A58" s="235" t="s">
        <v>39</v>
      </c>
      <c r="B58" s="95">
        <v>600598</v>
      </c>
      <c r="C58" s="77"/>
      <c r="D58" s="84"/>
      <c r="E58" s="84"/>
      <c r="F58" s="237">
        <v>109760</v>
      </c>
      <c r="G58" s="84"/>
      <c r="H58" s="77"/>
      <c r="I58" s="76"/>
      <c r="J58" s="76"/>
      <c r="K58" s="76"/>
      <c r="L58" s="76"/>
      <c r="M58" s="76"/>
      <c r="N58" s="76"/>
      <c r="O58" s="94">
        <f t="shared" si="8"/>
        <v>710358</v>
      </c>
      <c r="P58" s="10"/>
      <c r="Q58" s="6"/>
    </row>
    <row r="59" spans="1:18" x14ac:dyDescent="0.2">
      <c r="A59" s="235" t="s">
        <v>40</v>
      </c>
      <c r="B59" s="95">
        <v>830599</v>
      </c>
      <c r="C59" s="77"/>
      <c r="D59" s="84"/>
      <c r="E59" s="84"/>
      <c r="F59" s="237">
        <v>1155</v>
      </c>
      <c r="G59" s="84"/>
      <c r="H59" s="77"/>
      <c r="I59" s="76"/>
      <c r="J59" s="76"/>
      <c r="K59" s="76"/>
      <c r="L59" s="76"/>
      <c r="M59" s="76"/>
      <c r="N59" s="76"/>
      <c r="O59" s="94">
        <f t="shared" si="8"/>
        <v>831754</v>
      </c>
      <c r="P59" s="10"/>
      <c r="Q59" s="20" t="s">
        <v>21</v>
      </c>
      <c r="R59" s="102"/>
    </row>
    <row r="60" spans="1:18" x14ac:dyDescent="0.2">
      <c r="A60" s="235" t="s">
        <v>41</v>
      </c>
      <c r="B60" s="95">
        <v>25599</v>
      </c>
      <c r="C60" s="77"/>
      <c r="D60" s="84"/>
      <c r="E60" s="84"/>
      <c r="F60" s="237">
        <v>5320</v>
      </c>
      <c r="G60" s="84"/>
      <c r="H60" s="77"/>
      <c r="I60" s="76"/>
      <c r="J60" s="76"/>
      <c r="K60" s="76"/>
      <c r="L60" s="76"/>
      <c r="M60" s="76"/>
      <c r="N60" s="76"/>
      <c r="O60" s="94">
        <f t="shared" si="8"/>
        <v>30919</v>
      </c>
      <c r="P60" s="10"/>
      <c r="Q60" s="22" t="s">
        <v>49</v>
      </c>
      <c r="R60" s="103"/>
    </row>
    <row r="61" spans="1:18" x14ac:dyDescent="0.2">
      <c r="A61" s="235" t="s">
        <v>42</v>
      </c>
      <c r="B61" s="95">
        <v>700599</v>
      </c>
      <c r="C61" s="77"/>
      <c r="D61" s="84"/>
      <c r="E61" s="84"/>
      <c r="F61" s="237">
        <v>15400</v>
      </c>
      <c r="G61" s="84"/>
      <c r="H61" s="77"/>
      <c r="I61" s="76"/>
      <c r="J61" s="76"/>
      <c r="K61" s="76"/>
      <c r="L61" s="76"/>
      <c r="M61" s="76"/>
      <c r="N61" s="76"/>
      <c r="O61" s="94">
        <f t="shared" si="8"/>
        <v>715999</v>
      </c>
      <c r="P61" s="10"/>
      <c r="Q61" s="244" t="s">
        <v>212</v>
      </c>
      <c r="R61" s="104">
        <f>+O22</f>
        <v>14002987.230000002</v>
      </c>
    </row>
    <row r="62" spans="1:18" x14ac:dyDescent="0.2">
      <c r="A62" s="235" t="s">
        <v>43</v>
      </c>
      <c r="B62" s="95">
        <v>800599</v>
      </c>
      <c r="C62" s="77"/>
      <c r="D62" s="84"/>
      <c r="E62" s="84"/>
      <c r="F62" s="237">
        <v>15015</v>
      </c>
      <c r="G62" s="84"/>
      <c r="H62" s="77"/>
      <c r="I62" s="76"/>
      <c r="J62" s="76"/>
      <c r="K62" s="76"/>
      <c r="L62" s="76"/>
      <c r="M62" s="76"/>
      <c r="N62" s="76"/>
      <c r="O62" s="94">
        <f t="shared" si="8"/>
        <v>815614</v>
      </c>
      <c r="P62" s="10"/>
      <c r="Q62" s="244" t="s">
        <v>213</v>
      </c>
      <c r="R62" s="104">
        <f>-O39</f>
        <v>-10131148</v>
      </c>
    </row>
    <row r="63" spans="1:18" x14ac:dyDescent="0.2">
      <c r="A63" s="235" t="s">
        <v>44</v>
      </c>
      <c r="B63" s="95">
        <v>200599</v>
      </c>
      <c r="C63" s="77"/>
      <c r="D63" s="84"/>
      <c r="E63" s="84"/>
      <c r="F63" s="237">
        <v>175</v>
      </c>
      <c r="G63" s="84"/>
      <c r="H63" s="77"/>
      <c r="I63" s="76"/>
      <c r="J63" s="76"/>
      <c r="K63" s="76"/>
      <c r="L63" s="76"/>
      <c r="M63" s="76"/>
      <c r="N63" s="76"/>
      <c r="O63" s="94">
        <f t="shared" si="8"/>
        <v>200774</v>
      </c>
      <c r="P63" s="10"/>
      <c r="Q63" s="244" t="s">
        <v>214</v>
      </c>
      <c r="R63" s="105">
        <f>-O68</f>
        <v>-200000</v>
      </c>
    </row>
    <row r="64" spans="1:18" x14ac:dyDescent="0.2">
      <c r="A64" s="236"/>
      <c r="B64" s="73"/>
      <c r="C64" s="74"/>
      <c r="D64" s="74"/>
      <c r="E64" s="74"/>
      <c r="F64" s="74"/>
      <c r="G64" s="74"/>
      <c r="H64" s="74"/>
      <c r="I64" s="76"/>
      <c r="J64" s="76"/>
      <c r="K64" s="76"/>
      <c r="L64" s="76"/>
      <c r="M64" s="76"/>
      <c r="N64" s="76"/>
      <c r="O64" s="94">
        <f t="shared" si="8"/>
        <v>0</v>
      </c>
      <c r="P64" s="10"/>
      <c r="Q64" s="21" t="s">
        <v>215</v>
      </c>
      <c r="R64" s="104">
        <f>-G69</f>
        <v>-26000</v>
      </c>
    </row>
    <row r="65" spans="1:18" ht="11.25" customHeight="1" x14ac:dyDescent="0.2">
      <c r="A65" s="96" t="s">
        <v>22</v>
      </c>
      <c r="B65" s="73"/>
      <c r="C65" s="74"/>
      <c r="D65" s="74"/>
      <c r="E65" s="74"/>
      <c r="F65" s="74">
        <v>0</v>
      </c>
      <c r="G65" s="74"/>
      <c r="H65" s="74"/>
      <c r="I65" s="76"/>
      <c r="J65" s="78">
        <v>9</v>
      </c>
      <c r="K65" s="76"/>
      <c r="L65" s="76">
        <v>100</v>
      </c>
      <c r="M65" s="76"/>
      <c r="N65" s="76">
        <v>6654.68</v>
      </c>
      <c r="O65" s="94">
        <f t="shared" si="8"/>
        <v>6763.68</v>
      </c>
      <c r="P65" s="10"/>
      <c r="Q65" s="21"/>
      <c r="R65" s="104">
        <f>+I34</f>
        <v>0</v>
      </c>
    </row>
    <row r="66" spans="1:18" ht="11.25" customHeight="1" x14ac:dyDescent="0.2">
      <c r="A66" s="97" t="s">
        <v>23</v>
      </c>
      <c r="B66" s="79"/>
      <c r="C66" s="80"/>
      <c r="D66" s="80"/>
      <c r="E66" s="80"/>
      <c r="F66" s="80"/>
      <c r="G66" s="80"/>
      <c r="H66" s="80"/>
      <c r="I66" s="81"/>
      <c r="J66" s="81"/>
      <c r="K66" s="81"/>
      <c r="L66" s="81">
        <v>57909</v>
      </c>
      <c r="M66" s="81">
        <v>196000</v>
      </c>
      <c r="N66" s="81">
        <f>421357.95-253909</f>
        <v>167448.95000000001</v>
      </c>
      <c r="O66" s="94">
        <f t="shared" si="8"/>
        <v>421357.95</v>
      </c>
      <c r="P66" s="17"/>
      <c r="Q66" s="22"/>
      <c r="R66" s="103"/>
    </row>
    <row r="67" spans="1:18" ht="11.25" customHeight="1" x14ac:dyDescent="0.2">
      <c r="A67" s="27" t="s">
        <v>24</v>
      </c>
      <c r="B67" s="58">
        <f t="shared" ref="B67:N67" si="9">SUM(B42:B66)</f>
        <v>10276796</v>
      </c>
      <c r="C67" s="67">
        <f t="shared" si="9"/>
        <v>0</v>
      </c>
      <c r="D67" s="67">
        <f t="shared" si="9"/>
        <v>0</v>
      </c>
      <c r="E67" s="67">
        <f t="shared" si="9"/>
        <v>0</v>
      </c>
      <c r="F67" s="67">
        <f t="shared" si="9"/>
        <v>3500000</v>
      </c>
      <c r="G67" s="67">
        <f t="shared" si="9"/>
        <v>16698</v>
      </c>
      <c r="H67" s="67">
        <f t="shared" si="9"/>
        <v>1985543</v>
      </c>
      <c r="I67" s="67">
        <f t="shared" si="9"/>
        <v>639138</v>
      </c>
      <c r="J67" s="67">
        <f t="shared" si="9"/>
        <v>23502</v>
      </c>
      <c r="K67" s="67">
        <f t="shared" si="9"/>
        <v>0</v>
      </c>
      <c r="L67" s="67">
        <f t="shared" si="9"/>
        <v>220577</v>
      </c>
      <c r="M67" s="67">
        <f t="shared" si="9"/>
        <v>521911</v>
      </c>
      <c r="N67" s="67">
        <f t="shared" si="9"/>
        <v>2029538.63</v>
      </c>
      <c r="O67" s="82">
        <f t="shared" si="8"/>
        <v>19213703.629999999</v>
      </c>
      <c r="P67" s="10"/>
      <c r="Q67" s="22" t="s">
        <v>46</v>
      </c>
      <c r="R67" s="14">
        <f>SUM(R61:R66)</f>
        <v>3645839.2300000023</v>
      </c>
    </row>
    <row r="68" spans="1:18" ht="11.25" customHeight="1" x14ac:dyDescent="0.2">
      <c r="A68" s="5" t="s">
        <v>17</v>
      </c>
      <c r="B68" s="15"/>
      <c r="C68" s="15"/>
      <c r="D68" s="15"/>
      <c r="E68" s="15"/>
      <c r="F68" s="29">
        <v>200000</v>
      </c>
      <c r="G68" s="15"/>
      <c r="H68" s="15"/>
      <c r="I68" s="15"/>
      <c r="J68" s="15"/>
      <c r="K68" s="15"/>
      <c r="L68" s="15"/>
      <c r="M68" s="15"/>
      <c r="N68" s="15"/>
      <c r="O68" s="29">
        <f t="shared" si="8"/>
        <v>200000</v>
      </c>
      <c r="P68" s="19" t="s">
        <v>20</v>
      </c>
      <c r="Q68" s="6" t="s">
        <v>171</v>
      </c>
      <c r="R68" s="228">
        <v>3645839.21</v>
      </c>
    </row>
    <row r="69" spans="1:18" ht="11.25" customHeight="1" x14ac:dyDescent="0.2">
      <c r="A69" s="28" t="s">
        <v>7</v>
      </c>
      <c r="B69" s="10"/>
      <c r="C69" s="10"/>
      <c r="D69" s="10"/>
      <c r="E69" s="10"/>
      <c r="F69" s="10"/>
      <c r="G69" s="29">
        <v>26000</v>
      </c>
      <c r="H69" s="6"/>
      <c r="I69" s="6"/>
      <c r="J69" s="6"/>
      <c r="K69" s="6"/>
      <c r="L69" s="6"/>
      <c r="M69" s="6"/>
      <c r="N69" s="6"/>
      <c r="O69" s="29">
        <f t="shared" si="8"/>
        <v>26000</v>
      </c>
      <c r="P69" s="19" t="s">
        <v>47</v>
      </c>
      <c r="Q69" s="6" t="s">
        <v>52</v>
      </c>
      <c r="R69" s="3">
        <f>+R68-R67</f>
        <v>-2.0000002346932888E-2</v>
      </c>
    </row>
    <row r="70" spans="1:18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5"/>
      <c r="P70" s="6"/>
      <c r="Q70" s="6"/>
    </row>
    <row r="71" spans="1:18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5"/>
      <c r="P71" s="6"/>
      <c r="Q71" s="6"/>
    </row>
    <row r="72" spans="1:18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5"/>
      <c r="P72" s="6"/>
      <c r="Q72" s="6"/>
    </row>
  </sheetData>
  <mergeCells count="2">
    <mergeCell ref="O5:O6"/>
    <mergeCell ref="A1:O1"/>
  </mergeCells>
  <phoneticPr fontId="5" type="noConversion"/>
  <printOptions gridLines="1"/>
  <pageMargins left="0" right="0" top="0" bottom="0.75" header="0.5" footer="0.5"/>
  <pageSetup scale="69" orientation="landscape" r:id="rId1"/>
  <headerFooter>
    <oddFooter>&amp;L
&amp;Z&amp;F&amp;R&amp;D  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76"/>
  <sheetViews>
    <sheetView workbookViewId="0">
      <pane xSplit="1" ySplit="6" topLeftCell="J50" activePane="bottomRight" state="frozen"/>
      <selection pane="topRight" activeCell="B1" sqref="B1"/>
      <selection pane="bottomLeft" activeCell="A7" sqref="A7"/>
      <selection pane="bottomRight" activeCell="O61" sqref="O61"/>
    </sheetView>
  </sheetViews>
  <sheetFormatPr defaultRowHeight="12" x14ac:dyDescent="0.2"/>
  <cols>
    <col min="1" max="1" width="44.42578125" style="1" customWidth="1"/>
    <col min="2" max="2" width="11.5703125" style="1" customWidth="1"/>
    <col min="3" max="3" width="10.140625" style="1" customWidth="1"/>
    <col min="4" max="4" width="10.5703125" style="1" customWidth="1"/>
    <col min="5" max="6" width="10.28515625" style="1" customWidth="1"/>
    <col min="7" max="7" width="10.140625" style="1" customWidth="1"/>
    <col min="8" max="9" width="9.85546875" style="1" bestFit="1" customWidth="1"/>
    <col min="10" max="10" width="9.42578125" style="1" customWidth="1"/>
    <col min="11" max="12" width="9.7109375" style="1" customWidth="1"/>
    <col min="13" max="13" width="10.140625" style="1" customWidth="1"/>
    <col min="14" max="14" width="10.85546875" style="1" customWidth="1"/>
    <col min="15" max="15" width="11.28515625" style="1" customWidth="1"/>
    <col min="16" max="16" width="9.42578125" style="1" customWidth="1"/>
    <col min="17" max="17" width="2.5703125" style="1" customWidth="1"/>
    <col min="18" max="18" width="12.5703125" style="1" bestFit="1" customWidth="1"/>
    <col min="19" max="19" width="10.5703125" style="1" customWidth="1"/>
    <col min="20" max="20" width="12.5703125" style="1" bestFit="1" customWidth="1"/>
    <col min="21" max="21" width="9.5703125" style="1" bestFit="1" customWidth="1"/>
    <col min="22" max="22" width="11.140625" style="1" customWidth="1"/>
    <col min="23" max="16384" width="9.140625" style="1"/>
  </cols>
  <sheetData>
    <row r="1" spans="1:16" ht="15.75" x14ac:dyDescent="0.25">
      <c r="A1" s="218" t="s">
        <v>172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x14ac:dyDescent="0.2">
      <c r="A2" s="1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6" x14ac:dyDescent="0.2">
      <c r="A3" s="1" t="s">
        <v>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6" x14ac:dyDescent="0.2">
      <c r="B4" s="106"/>
      <c r="C4" s="106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6" x14ac:dyDescent="0.2">
      <c r="B5" s="107">
        <v>14</v>
      </c>
      <c r="C5" s="107">
        <v>15</v>
      </c>
      <c r="D5" s="107">
        <v>16</v>
      </c>
      <c r="E5" s="107">
        <v>17</v>
      </c>
      <c r="F5" s="107">
        <v>18</v>
      </c>
      <c r="G5" s="107">
        <v>19</v>
      </c>
      <c r="H5" s="107">
        <v>20</v>
      </c>
      <c r="I5" s="107">
        <v>21</v>
      </c>
      <c r="J5" s="256">
        <v>22</v>
      </c>
      <c r="K5" s="107">
        <v>23</v>
      </c>
      <c r="L5" s="107">
        <v>24</v>
      </c>
      <c r="M5" s="107">
        <v>25</v>
      </c>
      <c r="N5" s="376" t="s">
        <v>24</v>
      </c>
    </row>
    <row r="6" spans="1:16" ht="12.75" thickBot="1" x14ac:dyDescent="0.25">
      <c r="A6" s="239"/>
      <c r="B6" s="124">
        <v>39995</v>
      </c>
      <c r="C6" s="124">
        <v>40026</v>
      </c>
      <c r="D6" s="124">
        <v>40057</v>
      </c>
      <c r="E6" s="124">
        <v>40087</v>
      </c>
      <c r="F6" s="124">
        <v>40118</v>
      </c>
      <c r="G6" s="124">
        <v>40148</v>
      </c>
      <c r="H6" s="124">
        <v>40179</v>
      </c>
      <c r="I6" s="124">
        <v>40210</v>
      </c>
      <c r="J6" s="257">
        <v>40238</v>
      </c>
      <c r="K6" s="124">
        <v>40269</v>
      </c>
      <c r="L6" s="124">
        <v>40299</v>
      </c>
      <c r="M6" s="124">
        <v>40330</v>
      </c>
      <c r="N6" s="377"/>
    </row>
    <row r="7" spans="1:16" x14ac:dyDescent="0.2">
      <c r="A7" s="32" t="s">
        <v>53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238"/>
    </row>
    <row r="8" spans="1:16" x14ac:dyDescent="0.2">
      <c r="A8" s="1" t="s">
        <v>6</v>
      </c>
      <c r="B8" s="123">
        <f>+'2008-09'!R67</f>
        <v>3645839.2300000023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>
        <f>SUM(B8:M8)</f>
        <v>3645839.2300000023</v>
      </c>
      <c r="O8" s="2"/>
    </row>
    <row r="9" spans="1:16" x14ac:dyDescent="0.2">
      <c r="A9" s="1" t="s">
        <v>3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2"/>
    </row>
    <row r="10" spans="1:16" x14ac:dyDescent="0.2">
      <c r="A10" s="1" t="s">
        <v>2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2"/>
    </row>
    <row r="11" spans="1:16" x14ac:dyDescent="0.2">
      <c r="A11" s="1" t="s">
        <v>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2"/>
    </row>
    <row r="12" spans="1:16" x14ac:dyDescent="0.2">
      <c r="A12" s="1" t="s">
        <v>5</v>
      </c>
      <c r="B12" s="116">
        <v>340606</v>
      </c>
      <c r="C12" s="116">
        <v>340606</v>
      </c>
      <c r="D12" s="116">
        <v>340606</v>
      </c>
      <c r="E12" s="116">
        <v>340606</v>
      </c>
      <c r="F12" s="116">
        <v>340606</v>
      </c>
      <c r="G12" s="151">
        <f>340606*7</f>
        <v>2384242</v>
      </c>
      <c r="H12" s="116"/>
      <c r="I12" s="116"/>
      <c r="J12" s="116"/>
      <c r="K12" s="116"/>
      <c r="L12" s="116"/>
      <c r="M12" s="116">
        <f>+H12</f>
        <v>0</v>
      </c>
      <c r="N12" s="116">
        <f>SUM(B12:M12)</f>
        <v>4087272</v>
      </c>
      <c r="O12" s="2"/>
    </row>
    <row r="13" spans="1:16" x14ac:dyDescent="0.2">
      <c r="A13" s="4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2"/>
    </row>
    <row r="14" spans="1:16" x14ac:dyDescent="0.2">
      <c r="A14" s="26" t="s">
        <v>24</v>
      </c>
      <c r="B14" s="150">
        <f>SUM(B8:B12)</f>
        <v>3986445.2300000023</v>
      </c>
      <c r="C14" s="150">
        <f t="shared" ref="C14:M14" si="0">SUM(C9:C12)</f>
        <v>340606</v>
      </c>
      <c r="D14" s="150">
        <f t="shared" si="0"/>
        <v>340606</v>
      </c>
      <c r="E14" s="150">
        <f t="shared" si="0"/>
        <v>340606</v>
      </c>
      <c r="F14" s="150">
        <f t="shared" si="0"/>
        <v>340606</v>
      </c>
      <c r="G14" s="150">
        <f t="shared" si="0"/>
        <v>2384242</v>
      </c>
      <c r="H14" s="150">
        <f t="shared" si="0"/>
        <v>0</v>
      </c>
      <c r="I14" s="150">
        <f t="shared" si="0"/>
        <v>0</v>
      </c>
      <c r="J14" s="150">
        <f t="shared" si="0"/>
        <v>0</v>
      </c>
      <c r="K14" s="150">
        <f t="shared" si="0"/>
        <v>0</v>
      </c>
      <c r="L14" s="150">
        <f t="shared" si="0"/>
        <v>0</v>
      </c>
      <c r="M14" s="150">
        <f t="shared" si="0"/>
        <v>0</v>
      </c>
      <c r="N14" s="150">
        <f>SUM(B14:M14)</f>
        <v>7733111.2300000023</v>
      </c>
      <c r="O14" s="2"/>
    </row>
    <row r="15" spans="1:16" x14ac:dyDescent="0.2">
      <c r="A15" s="32" t="s">
        <v>54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2"/>
    </row>
    <row r="16" spans="1:16" x14ac:dyDescent="0.2">
      <c r="A16" s="1" t="s">
        <v>6</v>
      </c>
      <c r="B16" s="116">
        <f>+B8</f>
        <v>3645839.2300000023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>
        <f t="shared" ref="N16:N21" si="1">SUM(B16:M16)</f>
        <v>3645839.2300000023</v>
      </c>
      <c r="O16" s="2"/>
    </row>
    <row r="17" spans="1:17" x14ac:dyDescent="0.2">
      <c r="A17" s="1" t="s">
        <v>3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>
        <f t="shared" si="1"/>
        <v>0</v>
      </c>
      <c r="O17" s="2"/>
    </row>
    <row r="18" spans="1:17" x14ac:dyDescent="0.2">
      <c r="A18" s="1" t="s">
        <v>2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>
        <f t="shared" si="1"/>
        <v>0</v>
      </c>
      <c r="O18" s="2"/>
    </row>
    <row r="19" spans="1:17" x14ac:dyDescent="0.2">
      <c r="A19" s="1" t="s">
        <v>4</v>
      </c>
      <c r="B19" s="116"/>
      <c r="C19" s="116"/>
      <c r="D19" s="116"/>
      <c r="E19" s="116"/>
      <c r="F19" s="116"/>
      <c r="G19" s="151">
        <f>586560+352104+143716.5+143716.5+272676+272676+272190</f>
        <v>2043639</v>
      </c>
      <c r="H19" s="116">
        <v>272190</v>
      </c>
      <c r="I19" s="116">
        <v>0</v>
      </c>
      <c r="J19" s="116">
        <v>0</v>
      </c>
      <c r="K19" s="116"/>
      <c r="L19" s="250">
        <v>4087278</v>
      </c>
      <c r="M19" s="116"/>
      <c r="N19" s="116">
        <f t="shared" si="1"/>
        <v>6403107</v>
      </c>
      <c r="O19" s="18" t="s">
        <v>18</v>
      </c>
    </row>
    <row r="20" spans="1:17" x14ac:dyDescent="0.2">
      <c r="A20" s="1" t="s">
        <v>5</v>
      </c>
      <c r="B20" s="116">
        <v>340606.5</v>
      </c>
      <c r="C20" s="116">
        <f>340606.5</f>
        <v>340606.5</v>
      </c>
      <c r="D20" s="116">
        <v>340606.5</v>
      </c>
      <c r="E20" s="116">
        <v>340606.5</v>
      </c>
      <c r="F20" s="116">
        <v>340606.5</v>
      </c>
      <c r="G20" s="116">
        <f>340606.5/30*27</f>
        <v>306545.84999999998</v>
      </c>
      <c r="H20" s="116">
        <v>0</v>
      </c>
      <c r="I20" s="116">
        <v>0</v>
      </c>
      <c r="J20" s="116">
        <v>0</v>
      </c>
      <c r="K20" s="116"/>
      <c r="L20" s="116"/>
      <c r="M20" s="116"/>
      <c r="N20" s="116">
        <f t="shared" si="1"/>
        <v>2009578.35</v>
      </c>
      <c r="O20" s="2">
        <f>+N20+N19</f>
        <v>8412685.3499999996</v>
      </c>
    </row>
    <row r="21" spans="1:17" x14ac:dyDescent="0.2">
      <c r="A21" s="30" t="s">
        <v>50</v>
      </c>
      <c r="B21" s="116"/>
      <c r="C21" s="116">
        <v>7741.26</v>
      </c>
      <c r="D21" s="116">
        <v>7750.17</v>
      </c>
      <c r="E21" s="116">
        <v>8645.01</v>
      </c>
      <c r="F21" s="116">
        <v>6802.78</v>
      </c>
      <c r="G21" s="116">
        <v>8673.52</v>
      </c>
      <c r="H21" s="116">
        <v>6627.24</v>
      </c>
      <c r="I21" s="116">
        <v>8875.17</v>
      </c>
      <c r="J21" s="116">
        <v>5735</v>
      </c>
      <c r="K21" s="116">
        <v>11095.04</v>
      </c>
      <c r="L21" s="116">
        <v>5711.63</v>
      </c>
      <c r="M21" s="116">
        <f>15085.52+16357.35</f>
        <v>31442.870000000003</v>
      </c>
      <c r="N21" s="116">
        <f t="shared" si="1"/>
        <v>109099.69</v>
      </c>
      <c r="O21" s="18" t="s">
        <v>19</v>
      </c>
    </row>
    <row r="22" spans="1:17" x14ac:dyDescent="0.2">
      <c r="A22" s="26" t="s">
        <v>24</v>
      </c>
      <c r="B22" s="150">
        <f>SUM(B16:B21)</f>
        <v>3986445.7300000023</v>
      </c>
      <c r="C22" s="150">
        <f t="shared" ref="C22:N22" si="2">SUM(C16:C21)</f>
        <v>348347.76</v>
      </c>
      <c r="D22" s="150">
        <f t="shared" si="2"/>
        <v>348356.67</v>
      </c>
      <c r="E22" s="150">
        <f t="shared" si="2"/>
        <v>349251.51</v>
      </c>
      <c r="F22" s="150">
        <f t="shared" si="2"/>
        <v>347409.28</v>
      </c>
      <c r="G22" s="150">
        <f t="shared" si="2"/>
        <v>2358858.37</v>
      </c>
      <c r="H22" s="150">
        <f t="shared" si="2"/>
        <v>278817.24</v>
      </c>
      <c r="I22" s="150">
        <f t="shared" si="2"/>
        <v>8875.17</v>
      </c>
      <c r="J22" s="150">
        <f t="shared" si="2"/>
        <v>5735</v>
      </c>
      <c r="K22" s="150">
        <f t="shared" si="2"/>
        <v>11095.04</v>
      </c>
      <c r="L22" s="150">
        <f t="shared" si="2"/>
        <v>4092989.63</v>
      </c>
      <c r="M22" s="150">
        <f t="shared" si="2"/>
        <v>31442.870000000003</v>
      </c>
      <c r="N22" s="150">
        <f t="shared" si="2"/>
        <v>12167624.270000001</v>
      </c>
      <c r="O22" s="18"/>
    </row>
    <row r="23" spans="1:17" ht="5.25" customHeight="1" x14ac:dyDescent="0.2">
      <c r="A23" s="31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2"/>
      <c r="Q23" s="2"/>
    </row>
    <row r="24" spans="1:17" x14ac:dyDescent="0.2"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2"/>
      <c r="Q24" s="2"/>
    </row>
    <row r="25" spans="1:17" x14ac:dyDescent="0.2">
      <c r="A25" s="32" t="s">
        <v>55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>
        <f>SUM(B25:M25)</f>
        <v>0</v>
      </c>
      <c r="O25" s="2"/>
      <c r="P25" s="3"/>
      <c r="Q25" s="207"/>
    </row>
    <row r="26" spans="1:17" x14ac:dyDescent="0.2">
      <c r="A26" s="9" t="s">
        <v>8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>
        <f>SUM(B26:M26)</f>
        <v>0</v>
      </c>
      <c r="O26" s="2"/>
      <c r="P26" s="3"/>
      <c r="Q26" s="207"/>
    </row>
    <row r="27" spans="1:17" x14ac:dyDescent="0.2">
      <c r="A27" s="9" t="s">
        <v>12</v>
      </c>
      <c r="B27" s="116"/>
      <c r="C27" s="116"/>
      <c r="D27" s="116">
        <v>800000</v>
      </c>
      <c r="E27" s="116"/>
      <c r="F27" s="116"/>
      <c r="G27" s="116">
        <v>800000</v>
      </c>
      <c r="H27" s="116"/>
      <c r="I27" s="116"/>
      <c r="J27" s="116">
        <v>800000</v>
      </c>
      <c r="K27" s="116"/>
      <c r="L27" s="116"/>
      <c r="M27" s="116"/>
      <c r="N27" s="116">
        <f>SUM(C27:M27)</f>
        <v>2400000</v>
      </c>
      <c r="O27" s="2"/>
      <c r="P27" s="3"/>
      <c r="Q27" s="207"/>
    </row>
    <row r="28" spans="1:17" x14ac:dyDescent="0.2">
      <c r="A28" s="9" t="s">
        <v>10</v>
      </c>
      <c r="B28" s="116"/>
      <c r="C28" s="116"/>
      <c r="D28" s="116">
        <v>600000</v>
      </c>
      <c r="E28" s="116"/>
      <c r="F28" s="116"/>
      <c r="G28" s="116"/>
      <c r="H28" s="116">
        <v>600000</v>
      </c>
      <c r="I28" s="116"/>
      <c r="J28" s="116"/>
      <c r="K28" s="116"/>
      <c r="L28" s="116"/>
      <c r="M28" s="116"/>
      <c r="N28" s="116">
        <f>SUM(C28:M28)</f>
        <v>1200000</v>
      </c>
      <c r="O28" s="2"/>
    </row>
    <row r="29" spans="1:17" x14ac:dyDescent="0.2">
      <c r="A29" s="9" t="s">
        <v>9</v>
      </c>
      <c r="B29" s="116"/>
      <c r="C29" s="116"/>
      <c r="D29" s="116"/>
      <c r="E29" s="116">
        <v>250000</v>
      </c>
      <c r="F29" s="116"/>
      <c r="G29" s="116"/>
      <c r="H29" s="116"/>
      <c r="I29" s="116">
        <v>250000</v>
      </c>
      <c r="J29" s="116"/>
      <c r="K29" s="116"/>
      <c r="L29" s="116"/>
      <c r="M29" s="116"/>
      <c r="N29" s="116">
        <f>SUM(C29:M29)</f>
        <v>500000</v>
      </c>
      <c r="O29" s="2"/>
    </row>
    <row r="30" spans="1:17" x14ac:dyDescent="0.2">
      <c r="A30" s="30" t="s">
        <v>11</v>
      </c>
      <c r="B30" s="117"/>
      <c r="C30" s="117"/>
      <c r="D30" s="117">
        <v>500000</v>
      </c>
      <c r="E30" s="117"/>
      <c r="F30" s="117"/>
      <c r="G30" s="117"/>
      <c r="H30" s="117"/>
      <c r="I30" s="117"/>
      <c r="J30" s="117"/>
      <c r="K30" s="117"/>
      <c r="L30" s="117"/>
      <c r="M30" s="117"/>
      <c r="N30" s="117">
        <f>SUM(C30:M30)</f>
        <v>500000</v>
      </c>
      <c r="O30" s="2"/>
    </row>
    <row r="31" spans="1:17" x14ac:dyDescent="0.2">
      <c r="A31" s="26" t="s">
        <v>24</v>
      </c>
      <c r="B31" s="110">
        <f>SUM(B26:B30)</f>
        <v>0</v>
      </c>
      <c r="C31" s="110">
        <f t="shared" ref="C31:M31" si="3">SUM(C26:C30)</f>
        <v>0</v>
      </c>
      <c r="D31" s="110">
        <f t="shared" si="3"/>
        <v>1900000</v>
      </c>
      <c r="E31" s="110">
        <f t="shared" si="3"/>
        <v>250000</v>
      </c>
      <c r="F31" s="110">
        <f t="shared" si="3"/>
        <v>0</v>
      </c>
      <c r="G31" s="110">
        <f t="shared" si="3"/>
        <v>800000</v>
      </c>
      <c r="H31" s="110">
        <f t="shared" si="3"/>
        <v>600000</v>
      </c>
      <c r="I31" s="110">
        <f t="shared" si="3"/>
        <v>250000</v>
      </c>
      <c r="J31" s="110">
        <f t="shared" si="3"/>
        <v>800000</v>
      </c>
      <c r="K31" s="110">
        <f t="shared" si="3"/>
        <v>0</v>
      </c>
      <c r="L31" s="110">
        <f t="shared" si="3"/>
        <v>0</v>
      </c>
      <c r="M31" s="110">
        <f t="shared" si="3"/>
        <v>0</v>
      </c>
      <c r="N31" s="110">
        <f>SUM(N25:N30)</f>
        <v>4600000</v>
      </c>
      <c r="O31" s="2"/>
    </row>
    <row r="32" spans="1:17" x14ac:dyDescent="0.2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2"/>
    </row>
    <row r="33" spans="1:17" x14ac:dyDescent="0.2">
      <c r="A33" s="33" t="s">
        <v>111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2"/>
    </row>
    <row r="34" spans="1:17" x14ac:dyDescent="0.2">
      <c r="A34" s="251" t="s">
        <v>16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>
        <f t="shared" ref="N34:N39" si="4">SUM(B34:M34)</f>
        <v>0</v>
      </c>
      <c r="O34" s="2"/>
    </row>
    <row r="35" spans="1:17" x14ac:dyDescent="0.2">
      <c r="A35" s="23" t="s">
        <v>14</v>
      </c>
      <c r="B35" s="108"/>
      <c r="C35" s="108"/>
      <c r="D35" s="151">
        <v>800000</v>
      </c>
      <c r="E35" s="108"/>
      <c r="F35" s="108"/>
      <c r="G35" s="108"/>
      <c r="H35" s="151">
        <v>800000</v>
      </c>
      <c r="I35" s="108"/>
      <c r="J35" s="151">
        <v>800000</v>
      </c>
      <c r="K35" s="108"/>
      <c r="L35" s="108"/>
      <c r="M35" s="108"/>
      <c r="N35" s="108">
        <f t="shared" si="4"/>
        <v>2400000</v>
      </c>
      <c r="O35" s="2"/>
    </row>
    <row r="36" spans="1:17" x14ac:dyDescent="0.2">
      <c r="A36" s="149" t="s">
        <v>15</v>
      </c>
      <c r="B36" s="108"/>
      <c r="C36" s="108"/>
      <c r="D36" s="252">
        <v>600000</v>
      </c>
      <c r="E36" s="108"/>
      <c r="F36" s="108"/>
      <c r="G36" s="108"/>
      <c r="H36" s="252">
        <v>600000</v>
      </c>
      <c r="I36" s="108"/>
      <c r="J36" s="108"/>
      <c r="K36" s="108"/>
      <c r="L36" s="108"/>
      <c r="M36" s="108"/>
      <c r="N36" s="108">
        <f t="shared" si="4"/>
        <v>1200000</v>
      </c>
      <c r="Q36" s="2" t="s">
        <v>176</v>
      </c>
    </row>
    <row r="37" spans="1:17" x14ac:dyDescent="0.2">
      <c r="A37" s="254" t="s">
        <v>22</v>
      </c>
      <c r="B37" s="108"/>
      <c r="C37" s="108"/>
      <c r="D37" s="253">
        <v>250000</v>
      </c>
      <c r="E37" s="108"/>
      <c r="F37" s="108"/>
      <c r="G37" s="108"/>
      <c r="H37" s="253">
        <v>250000</v>
      </c>
      <c r="I37" s="108"/>
      <c r="J37" s="108"/>
      <c r="K37" s="108"/>
      <c r="L37" s="108"/>
      <c r="M37" s="108"/>
      <c r="N37" s="108">
        <f t="shared" si="4"/>
        <v>500000</v>
      </c>
      <c r="O37" s="2"/>
    </row>
    <row r="38" spans="1:17" x14ac:dyDescent="0.2">
      <c r="A38" s="254" t="s">
        <v>23</v>
      </c>
      <c r="B38" s="108"/>
      <c r="C38" s="108"/>
      <c r="D38" s="253">
        <v>500000</v>
      </c>
      <c r="E38" s="108"/>
      <c r="F38" s="108"/>
      <c r="G38" s="108"/>
      <c r="H38" s="108"/>
      <c r="I38" s="108"/>
      <c r="J38" s="108"/>
      <c r="K38" s="108"/>
      <c r="L38" s="108"/>
      <c r="M38" s="253">
        <v>500000</v>
      </c>
      <c r="N38" s="108">
        <f t="shared" si="4"/>
        <v>1000000</v>
      </c>
      <c r="O38" s="2">
        <f>SUM(N35:N38)</f>
        <v>5100000</v>
      </c>
    </row>
    <row r="39" spans="1:17" x14ac:dyDescent="0.2">
      <c r="A39" s="7" t="s">
        <v>175</v>
      </c>
      <c r="B39" s="108"/>
      <c r="C39" s="108">
        <v>22899.31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>
        <v>0</v>
      </c>
      <c r="N39" s="108">
        <f t="shared" si="4"/>
        <v>22899.31</v>
      </c>
      <c r="O39" s="2"/>
    </row>
    <row r="40" spans="1:17" x14ac:dyDescent="0.2">
      <c r="A40" s="27" t="s">
        <v>24</v>
      </c>
      <c r="B40" s="67">
        <f t="shared" ref="B40:M40" si="5">SUM(B34:B39)</f>
        <v>0</v>
      </c>
      <c r="C40" s="67">
        <f t="shared" si="5"/>
        <v>22899.31</v>
      </c>
      <c r="D40" s="67">
        <f t="shared" si="5"/>
        <v>2150000</v>
      </c>
      <c r="E40" s="67">
        <f t="shared" si="5"/>
        <v>0</v>
      </c>
      <c r="F40" s="67">
        <f t="shared" si="5"/>
        <v>0</v>
      </c>
      <c r="G40" s="67">
        <f t="shared" si="5"/>
        <v>0</v>
      </c>
      <c r="H40" s="67">
        <f t="shared" si="5"/>
        <v>1650000</v>
      </c>
      <c r="I40" s="67">
        <f t="shared" si="5"/>
        <v>0</v>
      </c>
      <c r="J40" s="67">
        <f t="shared" si="5"/>
        <v>800000</v>
      </c>
      <c r="K40" s="67">
        <f t="shared" si="5"/>
        <v>0</v>
      </c>
      <c r="L40" s="67">
        <f t="shared" si="5"/>
        <v>0</v>
      </c>
      <c r="M40" s="67">
        <f t="shared" si="5"/>
        <v>500000</v>
      </c>
      <c r="N40" s="112">
        <f>SUM(N34:N39)</f>
        <v>5122899.3099999996</v>
      </c>
      <c r="O40" s="19" t="s">
        <v>20</v>
      </c>
    </row>
    <row r="41" spans="1:17" ht="6" customHeight="1" x14ac:dyDescent="0.2">
      <c r="A41" s="118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2"/>
    </row>
    <row r="42" spans="1:17" x14ac:dyDescent="0.2">
      <c r="A42" s="34" t="s">
        <v>56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2"/>
    </row>
    <row r="43" spans="1:17" x14ac:dyDescent="0.2">
      <c r="A43" s="35" t="s">
        <v>16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>
        <f t="shared" ref="N43:N67" si="6">SUM(B43:M43)</f>
        <v>0</v>
      </c>
      <c r="O43" s="2"/>
    </row>
    <row r="44" spans="1:17" x14ac:dyDescent="0.2">
      <c r="A44" s="36" t="s">
        <v>14</v>
      </c>
      <c r="B44" s="108"/>
      <c r="C44" s="108">
        <v>423894.65</v>
      </c>
      <c r="D44" s="108">
        <v>145990.54</v>
      </c>
      <c r="E44" s="108"/>
      <c r="F44" s="108">
        <v>595.04</v>
      </c>
      <c r="G44" s="108">
        <f>1574+22.83</f>
        <v>1596.83</v>
      </c>
      <c r="H44" s="108">
        <f>44953.95+20568.28</f>
        <v>65522.229999999996</v>
      </c>
      <c r="I44" s="108">
        <f>695247-SUM(C44:H44)</f>
        <v>57647.709999999963</v>
      </c>
      <c r="J44" s="108">
        <f>831309.06-SUM(C44:I44)</f>
        <v>136062.06000000006</v>
      </c>
      <c r="K44" s="108">
        <f>943780.54-SUM(C44:J44)</f>
        <v>112471.47999999998</v>
      </c>
      <c r="L44" s="108">
        <f>1262256.15-SUM(B44:K44)</f>
        <v>318475.60999999987</v>
      </c>
      <c r="M44" s="108">
        <f>1469997.36-SUM(B44:L44)</f>
        <v>207741.2100000002</v>
      </c>
      <c r="N44" s="108">
        <f t="shared" si="6"/>
        <v>1469997.36</v>
      </c>
      <c r="O44" s="2"/>
    </row>
    <row r="45" spans="1:17" x14ac:dyDescent="0.2">
      <c r="A45" s="234" t="s">
        <v>182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>
        <f t="shared" si="6"/>
        <v>0</v>
      </c>
      <c r="O45" s="2"/>
    </row>
    <row r="46" spans="1:17" x14ac:dyDescent="0.2">
      <c r="A46" s="235" t="s">
        <v>25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>
        <f t="shared" si="6"/>
        <v>0</v>
      </c>
      <c r="O46" s="2"/>
    </row>
    <row r="47" spans="1:17" x14ac:dyDescent="0.2">
      <c r="A47" s="235" t="s">
        <v>26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>
        <f t="shared" si="6"/>
        <v>0</v>
      </c>
      <c r="O47" s="2"/>
    </row>
    <row r="48" spans="1:17" x14ac:dyDescent="0.2">
      <c r="A48" s="235" t="s">
        <v>27</v>
      </c>
      <c r="B48" s="108"/>
      <c r="C48" s="108"/>
      <c r="D48" s="108"/>
      <c r="E48" s="108">
        <v>200000</v>
      </c>
      <c r="F48" s="108"/>
      <c r="G48" s="108"/>
      <c r="H48" s="108"/>
      <c r="I48" s="108"/>
      <c r="J48" s="108"/>
      <c r="K48" s="108"/>
      <c r="L48" s="108"/>
      <c r="M48" s="108"/>
      <c r="N48" s="108">
        <f t="shared" si="6"/>
        <v>200000</v>
      </c>
      <c r="O48" s="2"/>
    </row>
    <row r="49" spans="1:17" x14ac:dyDescent="0.2">
      <c r="A49" s="235" t="s">
        <v>28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>
        <f t="shared" si="6"/>
        <v>0</v>
      </c>
      <c r="O49" s="2"/>
    </row>
    <row r="50" spans="1:17" x14ac:dyDescent="0.2">
      <c r="A50" s="235" t="s">
        <v>29</v>
      </c>
      <c r="B50" s="108"/>
      <c r="C50" s="108"/>
      <c r="D50" s="108"/>
      <c r="E50" s="108">
        <v>400000</v>
      </c>
      <c r="F50" s="108"/>
      <c r="G50" s="108"/>
      <c r="H50" s="108"/>
      <c r="I50" s="108"/>
      <c r="J50" s="108"/>
      <c r="K50" s="108"/>
      <c r="L50" s="108"/>
      <c r="M50" s="108"/>
      <c r="N50" s="108">
        <f t="shared" si="6"/>
        <v>400000</v>
      </c>
      <c r="O50" s="2"/>
    </row>
    <row r="51" spans="1:17" x14ac:dyDescent="0.2">
      <c r="A51" s="235" t="s">
        <v>30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>
        <f t="shared" si="6"/>
        <v>0</v>
      </c>
      <c r="O51" s="2"/>
    </row>
    <row r="52" spans="1:17" x14ac:dyDescent="0.2">
      <c r="A52" s="235" t="s">
        <v>32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>
        <f t="shared" si="6"/>
        <v>0</v>
      </c>
      <c r="O52" s="2"/>
    </row>
    <row r="53" spans="1:17" x14ac:dyDescent="0.2">
      <c r="A53" s="235" t="s">
        <v>33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>
        <f t="shared" si="6"/>
        <v>0</v>
      </c>
      <c r="O53" s="2"/>
    </row>
    <row r="54" spans="1:17" x14ac:dyDescent="0.2">
      <c r="A54" s="235" t="s">
        <v>34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>
        <f t="shared" si="6"/>
        <v>0</v>
      </c>
      <c r="O54" s="2"/>
    </row>
    <row r="55" spans="1:17" x14ac:dyDescent="0.2">
      <c r="A55" s="235" t="s">
        <v>35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>
        <f t="shared" si="6"/>
        <v>0</v>
      </c>
      <c r="O55" s="2"/>
    </row>
    <row r="56" spans="1:17" x14ac:dyDescent="0.2">
      <c r="A56" s="235" t="s">
        <v>36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>
        <f t="shared" si="6"/>
        <v>0</v>
      </c>
      <c r="O56" s="2"/>
    </row>
    <row r="57" spans="1:17" x14ac:dyDescent="0.2">
      <c r="A57" s="235" t="s">
        <v>37</v>
      </c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>
        <f t="shared" si="6"/>
        <v>0</v>
      </c>
      <c r="O57" s="2"/>
    </row>
    <row r="58" spans="1:17" x14ac:dyDescent="0.2">
      <c r="A58" s="235" t="s">
        <v>38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>
        <f t="shared" si="6"/>
        <v>0</v>
      </c>
      <c r="O58" s="2"/>
    </row>
    <row r="59" spans="1:17" x14ac:dyDescent="0.2">
      <c r="A59" s="235" t="s">
        <v>39</v>
      </c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>
        <f t="shared" si="6"/>
        <v>0</v>
      </c>
      <c r="O59" s="240" t="s">
        <v>21</v>
      </c>
      <c r="P59" s="241"/>
    </row>
    <row r="60" spans="1:17" x14ac:dyDescent="0.2">
      <c r="A60" s="235" t="s">
        <v>40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>
        <f t="shared" si="6"/>
        <v>0</v>
      </c>
      <c r="O60" s="242" t="s">
        <v>216</v>
      </c>
      <c r="P60" s="243"/>
    </row>
    <row r="61" spans="1:17" x14ac:dyDescent="0.2">
      <c r="A61" s="235" t="s">
        <v>41</v>
      </c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>
        <f t="shared" si="6"/>
        <v>0</v>
      </c>
      <c r="O61" s="244" t="s">
        <v>212</v>
      </c>
      <c r="P61" s="245">
        <f>+N8</f>
        <v>3645839.2300000023</v>
      </c>
      <c r="Q61" s="1" t="s">
        <v>13</v>
      </c>
    </row>
    <row r="62" spans="1:17" x14ac:dyDescent="0.2">
      <c r="A62" s="235" t="s">
        <v>42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>
        <f t="shared" si="6"/>
        <v>0</v>
      </c>
      <c r="O62" s="244" t="s">
        <v>213</v>
      </c>
      <c r="P62" s="245">
        <f>SUM(N19:N21)</f>
        <v>8521785.0399999991</v>
      </c>
      <c r="Q62" s="1" t="s">
        <v>13</v>
      </c>
    </row>
    <row r="63" spans="1:17" x14ac:dyDescent="0.2">
      <c r="A63" s="235" t="s">
        <v>43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>
        <f t="shared" si="6"/>
        <v>0</v>
      </c>
      <c r="O63" s="244" t="s">
        <v>214</v>
      </c>
      <c r="P63" s="245">
        <f>+-N40</f>
        <v>-5122899.3099999996</v>
      </c>
      <c r="Q63" s="1" t="s">
        <v>13</v>
      </c>
    </row>
    <row r="64" spans="1:17" x14ac:dyDescent="0.2">
      <c r="A64" s="235" t="s">
        <v>44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>
        <f t="shared" si="6"/>
        <v>0</v>
      </c>
      <c r="O64" s="244" t="s">
        <v>174</v>
      </c>
      <c r="P64" s="255">
        <f>-M69</f>
        <v>-500000</v>
      </c>
      <c r="Q64" s="1" t="s">
        <v>13</v>
      </c>
    </row>
    <row r="65" spans="1:16" x14ac:dyDescent="0.2">
      <c r="A65" s="236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>
        <f t="shared" si="6"/>
        <v>0</v>
      </c>
      <c r="O65" s="244"/>
      <c r="P65" s="245"/>
    </row>
    <row r="66" spans="1:16" x14ac:dyDescent="0.2">
      <c r="A66" s="96" t="s">
        <v>22</v>
      </c>
      <c r="B66" s="108">
        <v>18440.96</v>
      </c>
      <c r="C66" s="108">
        <v>19446.509999999998</v>
      </c>
      <c r="D66" s="108">
        <v>24590.34</v>
      </c>
      <c r="E66" s="108">
        <v>18451.73</v>
      </c>
      <c r="F66" s="108">
        <v>20738.349999999999</v>
      </c>
      <c r="G66" s="108">
        <v>50053.42</v>
      </c>
      <c r="H66" s="108">
        <f>15170.28+22725.66</f>
        <v>37895.94</v>
      </c>
      <c r="I66" s="108">
        <f>295136.87+119646-SUM(B66:H66)</f>
        <v>225165.62</v>
      </c>
      <c r="J66" s="108">
        <f>328602.97+119646-SUM(B66:I66)</f>
        <v>33466.099999999977</v>
      </c>
      <c r="K66" s="108">
        <f>363292.52+119646-SUM(B66:J66)</f>
        <v>34689.550000000047</v>
      </c>
      <c r="L66" s="108">
        <f>438616.9+125646-SUM(B66:K66)</f>
        <v>81324.38</v>
      </c>
      <c r="M66" s="108">
        <f>483978.46+125646-SUM(B66:L66)</f>
        <v>45361.559999999939</v>
      </c>
      <c r="N66" s="108">
        <f t="shared" si="6"/>
        <v>609624.46</v>
      </c>
      <c r="O66" s="244"/>
      <c r="P66" s="245"/>
    </row>
    <row r="67" spans="1:16" x14ac:dyDescent="0.2">
      <c r="A67" s="97" t="s">
        <v>23</v>
      </c>
      <c r="B67" s="111">
        <v>0</v>
      </c>
      <c r="C67" s="111">
        <v>58563</v>
      </c>
      <c r="D67" s="111">
        <v>7500</v>
      </c>
      <c r="E67" s="111">
        <v>26863.200000000001</v>
      </c>
      <c r="F67" s="111">
        <v>155000</v>
      </c>
      <c r="G67" s="111">
        <v>0</v>
      </c>
      <c r="H67" s="111">
        <v>6300</v>
      </c>
      <c r="I67" s="111">
        <f>267474+40663.2-SUM(B67:H67)</f>
        <v>53911</v>
      </c>
      <c r="J67" s="111">
        <f>558137.2-SUM(B67:I67)</f>
        <v>249999.99999999994</v>
      </c>
      <c r="K67" s="111">
        <f>40663.2+517474-SUM(B67:J67)</f>
        <v>0</v>
      </c>
      <c r="L67" s="111">
        <f>53113.2+517474-SUM(B67:K67)</f>
        <v>12450</v>
      </c>
      <c r="M67" s="111">
        <f>53113.2+682992-SUM(B67:L67)</f>
        <v>165518</v>
      </c>
      <c r="N67" s="111">
        <f t="shared" si="6"/>
        <v>736105.2</v>
      </c>
      <c r="O67" s="246"/>
      <c r="P67" s="243"/>
    </row>
    <row r="68" spans="1:16" x14ac:dyDescent="0.2">
      <c r="A68" s="27" t="s">
        <v>24</v>
      </c>
      <c r="B68" s="113">
        <f t="shared" ref="B68:M68" si="7">SUM(B43:B67)</f>
        <v>18440.96</v>
      </c>
      <c r="C68" s="67">
        <f t="shared" si="7"/>
        <v>501904.16000000003</v>
      </c>
      <c r="D68" s="67">
        <f t="shared" si="7"/>
        <v>178080.88</v>
      </c>
      <c r="E68" s="67">
        <f t="shared" si="7"/>
        <v>645314.92999999993</v>
      </c>
      <c r="F68" s="67">
        <f t="shared" si="7"/>
        <v>176333.39</v>
      </c>
      <c r="G68" s="67">
        <f t="shared" si="7"/>
        <v>51650.25</v>
      </c>
      <c r="H68" s="67">
        <f t="shared" si="7"/>
        <v>109718.17</v>
      </c>
      <c r="I68" s="67">
        <f t="shared" si="7"/>
        <v>336724.32999999996</v>
      </c>
      <c r="J68" s="67">
        <f t="shared" si="7"/>
        <v>419528.16</v>
      </c>
      <c r="K68" s="67">
        <f t="shared" si="7"/>
        <v>147161.03000000003</v>
      </c>
      <c r="L68" s="67">
        <f t="shared" si="7"/>
        <v>412249.98999999987</v>
      </c>
      <c r="M68" s="67">
        <f t="shared" si="7"/>
        <v>418620.77000000014</v>
      </c>
      <c r="N68" s="114">
        <f>SUM(N43:N67)</f>
        <v>3415727.0200000005</v>
      </c>
      <c r="O68" s="247" t="s">
        <v>51</v>
      </c>
      <c r="P68" s="248">
        <f>SUM(P61:P67)</f>
        <v>6544724.9600000018</v>
      </c>
    </row>
    <row r="69" spans="1:16" x14ac:dyDescent="0.2">
      <c r="A69" s="5" t="s">
        <v>17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100">
        <v>500000</v>
      </c>
      <c r="N69" s="19" t="s">
        <v>47</v>
      </c>
      <c r="O69" s="249" t="s">
        <v>183</v>
      </c>
      <c r="P69" s="249">
        <v>6544725.7300000004</v>
      </c>
    </row>
    <row r="70" spans="1:16" x14ac:dyDescent="0.2">
      <c r="A70" s="28" t="s">
        <v>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49" t="s">
        <v>52</v>
      </c>
      <c r="P70" s="249">
        <f>+P69-P68</f>
        <v>0.76999999862164259</v>
      </c>
    </row>
    <row r="75" spans="1:16" x14ac:dyDescent="0.2">
      <c r="D75" s="125"/>
    </row>
    <row r="76" spans="1:16" x14ac:dyDescent="0.2">
      <c r="D76" s="125"/>
    </row>
  </sheetData>
  <mergeCells count="1">
    <mergeCell ref="N5:N6"/>
  </mergeCells>
  <printOptions gridLines="1"/>
  <pageMargins left="0" right="0" top="0.25" bottom="0.5" header="0.3" footer="0.3"/>
  <pageSetup scale="69" orientation="landscape" horizontalDpi="1200" verticalDpi="1200" r:id="rId1"/>
  <headerFooter>
    <oddFooter>&amp;L&amp;Z&amp;F&amp;R&amp;D   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81"/>
  <sheetViews>
    <sheetView workbookViewId="0">
      <pane xSplit="1" ySplit="6" topLeftCell="I49" activePane="bottomRight" state="frozen"/>
      <selection pane="topRight" activeCell="B1" sqref="B1"/>
      <selection pane="bottomLeft" activeCell="A7" sqref="A7"/>
      <selection pane="bottomRight" activeCell="O67" sqref="O67"/>
    </sheetView>
  </sheetViews>
  <sheetFormatPr defaultRowHeight="12" x14ac:dyDescent="0.2"/>
  <cols>
    <col min="1" max="1" width="44.42578125" style="1" customWidth="1"/>
    <col min="2" max="2" width="11.5703125" style="1" customWidth="1"/>
    <col min="3" max="3" width="10.140625" style="1" customWidth="1"/>
    <col min="4" max="4" width="10.5703125" style="1" customWidth="1"/>
    <col min="5" max="6" width="10.28515625" style="1" customWidth="1"/>
    <col min="7" max="7" width="10.140625" style="1" customWidth="1"/>
    <col min="8" max="9" width="9.85546875" style="1" bestFit="1" customWidth="1"/>
    <col min="10" max="10" width="9.42578125" style="1" customWidth="1"/>
    <col min="11" max="12" width="9.7109375" style="1" customWidth="1"/>
    <col min="13" max="13" width="10.140625" style="1" customWidth="1"/>
    <col min="14" max="14" width="10.85546875" style="1" customWidth="1"/>
    <col min="15" max="15" width="11.28515625" style="1" customWidth="1"/>
    <col min="16" max="16" width="9.42578125" style="1" customWidth="1"/>
    <col min="17" max="17" width="2.5703125" style="1" customWidth="1"/>
    <col min="18" max="18" width="12.5703125" style="1" bestFit="1" customWidth="1"/>
    <col min="19" max="19" width="10.5703125" style="1" customWidth="1"/>
    <col min="20" max="20" width="12.5703125" style="1" bestFit="1" customWidth="1"/>
    <col min="21" max="21" width="9.5703125" style="1" bestFit="1" customWidth="1"/>
    <col min="22" max="22" width="11.140625" style="1" customWidth="1"/>
    <col min="23" max="16384" width="9.140625" style="1"/>
  </cols>
  <sheetData>
    <row r="1" spans="1:16" ht="15.75" x14ac:dyDescent="0.25">
      <c r="A1" s="218" t="s">
        <v>177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x14ac:dyDescent="0.2">
      <c r="A2" s="1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6" x14ac:dyDescent="0.2">
      <c r="A3" s="1" t="s">
        <v>186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6" x14ac:dyDescent="0.2">
      <c r="B4" s="106"/>
      <c r="C4" s="106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6" x14ac:dyDescent="0.2">
      <c r="B5" s="107">
        <v>26</v>
      </c>
      <c r="C5" s="107">
        <v>27</v>
      </c>
      <c r="D5" s="107">
        <v>28</v>
      </c>
      <c r="E5" s="107">
        <v>29</v>
      </c>
      <c r="F5" s="107">
        <v>30</v>
      </c>
      <c r="G5" s="107">
        <v>31</v>
      </c>
      <c r="H5" s="107">
        <v>32</v>
      </c>
      <c r="I5" s="107">
        <v>33</v>
      </c>
      <c r="J5" s="256">
        <v>34</v>
      </c>
      <c r="K5" s="107">
        <v>35</v>
      </c>
      <c r="L5" s="107">
        <v>36</v>
      </c>
      <c r="M5" s="107">
        <v>37</v>
      </c>
      <c r="N5" s="376" t="s">
        <v>24</v>
      </c>
    </row>
    <row r="6" spans="1:16" ht="12.75" thickBot="1" x14ac:dyDescent="0.25">
      <c r="A6" s="239"/>
      <c r="B6" s="124">
        <v>40360</v>
      </c>
      <c r="C6" s="124">
        <v>40391</v>
      </c>
      <c r="D6" s="124">
        <v>40422</v>
      </c>
      <c r="E6" s="124">
        <v>40452</v>
      </c>
      <c r="F6" s="124">
        <v>40483</v>
      </c>
      <c r="G6" s="124">
        <v>40513</v>
      </c>
      <c r="H6" s="124">
        <v>40544</v>
      </c>
      <c r="I6" s="124">
        <v>40575</v>
      </c>
      <c r="J6" s="257">
        <v>40603</v>
      </c>
      <c r="K6" s="124">
        <v>40634</v>
      </c>
      <c r="L6" s="124">
        <v>40664</v>
      </c>
      <c r="M6" s="124">
        <v>40695</v>
      </c>
      <c r="N6" s="377"/>
    </row>
    <row r="7" spans="1:16" x14ac:dyDescent="0.2">
      <c r="A7" s="32" t="s">
        <v>53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238"/>
    </row>
    <row r="8" spans="1:16" x14ac:dyDescent="0.2">
      <c r="A8" s="1" t="s">
        <v>6</v>
      </c>
      <c r="B8" s="123">
        <f>+'2009-10'!P68</f>
        <v>6544724.9600000018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>
        <f>SUM(B8:M8)</f>
        <v>6544724.9600000018</v>
      </c>
      <c r="O8" s="2"/>
    </row>
    <row r="9" spans="1:16" ht="15" x14ac:dyDescent="0.2">
      <c r="A9" s="1" t="s">
        <v>3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293"/>
      <c r="M9" s="116"/>
      <c r="N9" s="116"/>
      <c r="O9" s="2"/>
    </row>
    <row r="10" spans="1:16" x14ac:dyDescent="0.2">
      <c r="A10" s="1" t="s">
        <v>2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2"/>
    </row>
    <row r="11" spans="1:16" x14ac:dyDescent="0.2">
      <c r="A11" s="1" t="s">
        <v>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2"/>
    </row>
    <row r="12" spans="1:16" x14ac:dyDescent="0.2">
      <c r="A12" s="1" t="s">
        <v>5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>
        <f>+H12</f>
        <v>0</v>
      </c>
      <c r="N12" s="116">
        <f>SUM(B12:M12)</f>
        <v>0</v>
      </c>
      <c r="O12" s="2"/>
    </row>
    <row r="13" spans="1:16" x14ac:dyDescent="0.2">
      <c r="A13" s="4"/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"/>
    </row>
    <row r="14" spans="1:16" x14ac:dyDescent="0.2">
      <c r="A14" s="26" t="s">
        <v>24</v>
      </c>
      <c r="B14" s="281">
        <f>SUM(B8:B12)</f>
        <v>6544724.9600000018</v>
      </c>
      <c r="C14" s="281">
        <f t="shared" ref="C14:M14" si="0">SUM(C9:C12)</f>
        <v>0</v>
      </c>
      <c r="D14" s="281">
        <f t="shared" si="0"/>
        <v>0</v>
      </c>
      <c r="E14" s="281">
        <f t="shared" si="0"/>
        <v>0</v>
      </c>
      <c r="F14" s="281">
        <f t="shared" si="0"/>
        <v>0</v>
      </c>
      <c r="G14" s="281">
        <f t="shared" si="0"/>
        <v>0</v>
      </c>
      <c r="H14" s="281">
        <f t="shared" si="0"/>
        <v>0</v>
      </c>
      <c r="I14" s="281">
        <f t="shared" si="0"/>
        <v>0</v>
      </c>
      <c r="J14" s="281">
        <f t="shared" si="0"/>
        <v>0</v>
      </c>
      <c r="K14" s="281">
        <f t="shared" si="0"/>
        <v>0</v>
      </c>
      <c r="L14" s="281">
        <f t="shared" si="0"/>
        <v>0</v>
      </c>
      <c r="M14" s="281">
        <f t="shared" si="0"/>
        <v>0</v>
      </c>
      <c r="N14" s="281">
        <f>SUM(B14:M14)</f>
        <v>6544724.9600000018</v>
      </c>
      <c r="O14" s="2"/>
    </row>
    <row r="15" spans="1:16" x14ac:dyDescent="0.2">
      <c r="A15" s="32" t="s">
        <v>54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2"/>
    </row>
    <row r="16" spans="1:16" x14ac:dyDescent="0.2">
      <c r="A16" s="1" t="s">
        <v>6</v>
      </c>
      <c r="B16" s="116">
        <f>+B8</f>
        <v>6544724.9600000018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>
        <f t="shared" ref="N16:N21" si="1">SUM(B16:M16)</f>
        <v>6544724.9600000018</v>
      </c>
      <c r="O16" s="2"/>
    </row>
    <row r="17" spans="1:17" x14ac:dyDescent="0.2">
      <c r="A17" s="1" t="s">
        <v>3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>
        <f t="shared" si="1"/>
        <v>0</v>
      </c>
      <c r="O17" s="2"/>
    </row>
    <row r="18" spans="1:17" x14ac:dyDescent="0.2">
      <c r="A18" s="1" t="s">
        <v>2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>
        <f t="shared" si="1"/>
        <v>0</v>
      </c>
      <c r="O18" s="2"/>
    </row>
    <row r="19" spans="1:17" x14ac:dyDescent="0.2">
      <c r="A19" s="1" t="s">
        <v>4</v>
      </c>
      <c r="B19" s="116"/>
      <c r="C19" s="116"/>
      <c r="D19" s="116"/>
      <c r="E19" s="116"/>
      <c r="F19" s="116"/>
      <c r="G19" s="116"/>
      <c r="H19" s="116"/>
      <c r="I19" s="116"/>
      <c r="J19" s="116">
        <v>0</v>
      </c>
      <c r="K19" s="294">
        <v>4087278</v>
      </c>
      <c r="L19" s="116"/>
      <c r="M19" s="116"/>
      <c r="N19" s="116">
        <f t="shared" si="1"/>
        <v>4087278</v>
      </c>
      <c r="O19" s="18" t="s">
        <v>18</v>
      </c>
    </row>
    <row r="20" spans="1:17" x14ac:dyDescent="0.2">
      <c r="A20" s="1" t="s">
        <v>5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>
        <f t="shared" si="1"/>
        <v>0</v>
      </c>
      <c r="O20" s="2">
        <f>+N20+N19</f>
        <v>4087278</v>
      </c>
    </row>
    <row r="21" spans="1:17" x14ac:dyDescent="0.2">
      <c r="A21" s="30" t="s">
        <v>50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>
        <v>61657.62</v>
      </c>
      <c r="L21" s="282">
        <v>583.61</v>
      </c>
      <c r="M21" s="282">
        <v>20035</v>
      </c>
      <c r="N21" s="282">
        <f t="shared" si="1"/>
        <v>82276.23000000001</v>
      </c>
      <c r="O21" s="18" t="s">
        <v>19</v>
      </c>
    </row>
    <row r="22" spans="1:17" x14ac:dyDescent="0.2">
      <c r="A22" s="26" t="s">
        <v>24</v>
      </c>
      <c r="B22" s="281">
        <f>SUM(B16:B21)</f>
        <v>6544724.9600000018</v>
      </c>
      <c r="C22" s="281">
        <f t="shared" ref="C22:N22" si="2">SUM(C16:C21)</f>
        <v>0</v>
      </c>
      <c r="D22" s="281">
        <f t="shared" si="2"/>
        <v>0</v>
      </c>
      <c r="E22" s="281">
        <f t="shared" si="2"/>
        <v>0</v>
      </c>
      <c r="F22" s="281">
        <f t="shared" si="2"/>
        <v>0</v>
      </c>
      <c r="G22" s="281">
        <f t="shared" si="2"/>
        <v>0</v>
      </c>
      <c r="H22" s="281">
        <f t="shared" si="2"/>
        <v>0</v>
      </c>
      <c r="I22" s="281">
        <f t="shared" si="2"/>
        <v>0</v>
      </c>
      <c r="J22" s="281">
        <f t="shared" si="2"/>
        <v>0</v>
      </c>
      <c r="K22" s="281">
        <f t="shared" si="2"/>
        <v>4148935.62</v>
      </c>
      <c r="L22" s="281">
        <f t="shared" si="2"/>
        <v>583.61</v>
      </c>
      <c r="M22" s="281">
        <f t="shared" si="2"/>
        <v>20035</v>
      </c>
      <c r="N22" s="281">
        <f t="shared" si="2"/>
        <v>10714279.190000001</v>
      </c>
      <c r="O22" s="18"/>
    </row>
    <row r="23" spans="1:17" ht="5.25" customHeight="1" x14ac:dyDescent="0.2">
      <c r="A23" s="31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2"/>
      <c r="Q23" s="2"/>
    </row>
    <row r="24" spans="1:17" x14ac:dyDescent="0.2"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2"/>
      <c r="Q24" s="2"/>
    </row>
    <row r="25" spans="1:17" x14ac:dyDescent="0.2">
      <c r="A25" s="32" t="s">
        <v>55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>
        <f>SUM(B25:M25)</f>
        <v>0</v>
      </c>
      <c r="O25" s="2"/>
      <c r="P25" s="3"/>
      <c r="Q25" s="207"/>
    </row>
    <row r="26" spans="1:17" x14ac:dyDescent="0.2">
      <c r="A26" s="9" t="s">
        <v>8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>
        <f>SUM(B26:M26)</f>
        <v>0</v>
      </c>
      <c r="O26" s="2"/>
      <c r="P26" s="3"/>
      <c r="Q26" s="207"/>
    </row>
    <row r="27" spans="1:17" x14ac:dyDescent="0.2">
      <c r="A27" s="283" t="s">
        <v>14</v>
      </c>
      <c r="B27" s="116"/>
      <c r="C27" s="116"/>
      <c r="D27" s="116">
        <v>800000</v>
      </c>
      <c r="E27" s="116"/>
      <c r="F27" s="116"/>
      <c r="G27" s="116">
        <v>800000</v>
      </c>
      <c r="H27" s="116"/>
      <c r="I27" s="116"/>
      <c r="J27" s="116">
        <v>800000</v>
      </c>
      <c r="K27" s="116"/>
      <c r="L27" s="116"/>
      <c r="M27" s="116"/>
      <c r="N27" s="116">
        <f>SUM(C27:M27)</f>
        <v>2400000</v>
      </c>
      <c r="O27" s="2"/>
      <c r="P27" s="3"/>
      <c r="Q27" s="207"/>
    </row>
    <row r="28" spans="1:17" x14ac:dyDescent="0.2">
      <c r="A28" s="284" t="s">
        <v>184</v>
      </c>
      <c r="B28" s="116"/>
      <c r="C28" s="116"/>
      <c r="D28" s="116">
        <v>600000</v>
      </c>
      <c r="E28" s="116"/>
      <c r="F28" s="116"/>
      <c r="G28" s="116"/>
      <c r="H28" s="116">
        <v>500000</v>
      </c>
      <c r="I28" s="116"/>
      <c r="J28" s="116"/>
      <c r="K28" s="116"/>
      <c r="L28" s="116"/>
      <c r="M28" s="116"/>
      <c r="N28" s="116">
        <f>SUM(C28:M28)</f>
        <v>1100000</v>
      </c>
      <c r="O28" s="2"/>
    </row>
    <row r="29" spans="1:17" x14ac:dyDescent="0.2">
      <c r="A29" s="254" t="s">
        <v>185</v>
      </c>
      <c r="B29" s="116"/>
      <c r="C29" s="116"/>
      <c r="D29" s="116"/>
      <c r="E29" s="116">
        <v>250000</v>
      </c>
      <c r="F29" s="116"/>
      <c r="G29" s="116"/>
      <c r="H29" s="116"/>
      <c r="I29" s="116">
        <v>250000</v>
      </c>
      <c r="J29" s="116"/>
      <c r="K29" s="116"/>
      <c r="L29" s="116"/>
      <c r="M29" s="116"/>
      <c r="N29" s="116">
        <f>SUM(C29:M29)</f>
        <v>500000</v>
      </c>
      <c r="O29" s="2"/>
    </row>
    <row r="30" spans="1:17" x14ac:dyDescent="0.2">
      <c r="A30" s="285" t="s">
        <v>23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>
        <f>SUM(C30:M30)</f>
        <v>0</v>
      </c>
      <c r="O30" s="2"/>
    </row>
    <row r="31" spans="1:17" x14ac:dyDescent="0.2">
      <c r="A31" s="26" t="s">
        <v>24</v>
      </c>
      <c r="B31" s="110">
        <f>SUM(B26:B30)</f>
        <v>0</v>
      </c>
      <c r="C31" s="110">
        <f t="shared" ref="C31:M31" si="3">SUM(C26:C30)</f>
        <v>0</v>
      </c>
      <c r="D31" s="110">
        <f t="shared" si="3"/>
        <v>1400000</v>
      </c>
      <c r="E31" s="110">
        <f t="shared" si="3"/>
        <v>250000</v>
      </c>
      <c r="F31" s="110">
        <f t="shared" si="3"/>
        <v>0</v>
      </c>
      <c r="G31" s="110">
        <f t="shared" si="3"/>
        <v>800000</v>
      </c>
      <c r="H31" s="110">
        <f t="shared" si="3"/>
        <v>500000</v>
      </c>
      <c r="I31" s="110">
        <f t="shared" si="3"/>
        <v>250000</v>
      </c>
      <c r="J31" s="110">
        <f t="shared" si="3"/>
        <v>800000</v>
      </c>
      <c r="K31" s="110">
        <f t="shared" si="3"/>
        <v>0</v>
      </c>
      <c r="L31" s="110">
        <f t="shared" si="3"/>
        <v>0</v>
      </c>
      <c r="M31" s="110">
        <f t="shared" si="3"/>
        <v>0</v>
      </c>
      <c r="N31" s="110">
        <f>SUM(N25:N30)</f>
        <v>4000000</v>
      </c>
      <c r="O31" s="2"/>
    </row>
    <row r="32" spans="1:17" x14ac:dyDescent="0.2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2"/>
    </row>
    <row r="33" spans="1:17" x14ac:dyDescent="0.2">
      <c r="A33" s="33" t="s">
        <v>111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2"/>
    </row>
    <row r="34" spans="1:17" x14ac:dyDescent="0.2">
      <c r="A34" s="251" t="s">
        <v>16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>
        <f t="shared" ref="N34:N40" si="4">SUM(B34:M34)</f>
        <v>0</v>
      </c>
      <c r="O34" s="2"/>
    </row>
    <row r="35" spans="1:17" x14ac:dyDescent="0.2">
      <c r="A35" s="23" t="s">
        <v>14</v>
      </c>
      <c r="B35" s="108"/>
      <c r="C35" s="108">
        <v>2400000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>
        <f t="shared" si="4"/>
        <v>2400000</v>
      </c>
      <c r="O35" s="2"/>
    </row>
    <row r="36" spans="1:17" x14ac:dyDescent="0.2">
      <c r="A36" s="149" t="s">
        <v>15</v>
      </c>
      <c r="B36" s="108"/>
      <c r="C36" s="108">
        <v>1100000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>
        <f t="shared" si="4"/>
        <v>1100000</v>
      </c>
      <c r="Q36" s="2" t="s">
        <v>176</v>
      </c>
    </row>
    <row r="37" spans="1:17" x14ac:dyDescent="0.2">
      <c r="A37" s="254" t="s">
        <v>22</v>
      </c>
      <c r="B37" s="108"/>
      <c r="C37" s="108">
        <v>500000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>
        <f t="shared" si="4"/>
        <v>500000</v>
      </c>
      <c r="O37" s="2"/>
    </row>
    <row r="38" spans="1:17" x14ac:dyDescent="0.2">
      <c r="A38" s="254" t="s">
        <v>23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>
        <f t="shared" si="4"/>
        <v>0</v>
      </c>
      <c r="O38" s="2">
        <f>SUM(N35:N38)</f>
        <v>4000000</v>
      </c>
    </row>
    <row r="39" spans="1:17" x14ac:dyDescent="0.2">
      <c r="A39" s="290" t="s">
        <v>192</v>
      </c>
      <c r="B39" s="108"/>
      <c r="C39" s="108"/>
      <c r="D39" s="108"/>
      <c r="E39" s="108"/>
      <c r="F39" s="108"/>
      <c r="G39" s="108"/>
      <c r="H39" s="108"/>
      <c r="I39" s="108">
        <v>2298628</v>
      </c>
      <c r="J39" s="108"/>
      <c r="K39" s="108"/>
      <c r="L39" s="108"/>
      <c r="M39" s="108"/>
      <c r="N39" s="108">
        <f t="shared" si="4"/>
        <v>2298628</v>
      </c>
      <c r="O39" s="2"/>
    </row>
    <row r="40" spans="1:17" x14ac:dyDescent="0.2">
      <c r="A40" s="7" t="s">
        <v>175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>
        <f t="shared" si="4"/>
        <v>0</v>
      </c>
      <c r="O40" s="2"/>
    </row>
    <row r="41" spans="1:17" x14ac:dyDescent="0.2">
      <c r="A41" s="27" t="s">
        <v>24</v>
      </c>
      <c r="B41" s="67">
        <f t="shared" ref="B41:M41" si="5">SUM(B34:B40)</f>
        <v>0</v>
      </c>
      <c r="C41" s="67">
        <f t="shared" si="5"/>
        <v>4000000</v>
      </c>
      <c r="D41" s="67">
        <f t="shared" si="5"/>
        <v>0</v>
      </c>
      <c r="E41" s="67">
        <f t="shared" si="5"/>
        <v>0</v>
      </c>
      <c r="F41" s="67">
        <f t="shared" si="5"/>
        <v>0</v>
      </c>
      <c r="G41" s="67">
        <f t="shared" si="5"/>
        <v>0</v>
      </c>
      <c r="H41" s="67">
        <f t="shared" si="5"/>
        <v>0</v>
      </c>
      <c r="I41" s="67">
        <f t="shared" si="5"/>
        <v>2298628</v>
      </c>
      <c r="J41" s="67">
        <f t="shared" si="5"/>
        <v>0</v>
      </c>
      <c r="K41" s="67">
        <f t="shared" si="5"/>
        <v>0</v>
      </c>
      <c r="L41" s="67">
        <f t="shared" si="5"/>
        <v>0</v>
      </c>
      <c r="M41" s="67">
        <f t="shared" si="5"/>
        <v>0</v>
      </c>
      <c r="N41" s="112">
        <f>SUM(N34:N40)</f>
        <v>6298628</v>
      </c>
      <c r="O41" s="19" t="s">
        <v>20</v>
      </c>
    </row>
    <row r="42" spans="1:17" ht="6" customHeight="1" x14ac:dyDescent="0.2">
      <c r="A42" s="118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2"/>
    </row>
    <row r="43" spans="1:17" x14ac:dyDescent="0.2">
      <c r="A43" s="34" t="s">
        <v>56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2"/>
    </row>
    <row r="44" spans="1:17" x14ac:dyDescent="0.2">
      <c r="A44" s="286" t="s">
        <v>16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>
        <f t="shared" ref="N44:N72" si="6">SUM(B44:M44)</f>
        <v>0</v>
      </c>
      <c r="O44" s="2"/>
    </row>
    <row r="45" spans="1:17" x14ac:dyDescent="0.2">
      <c r="A45" s="36" t="s">
        <v>14</v>
      </c>
      <c r="B45" s="108">
        <v>147061.1</v>
      </c>
      <c r="C45" s="108">
        <f>319907.77-B45</f>
        <v>172846.67</v>
      </c>
      <c r="D45" s="108">
        <f>897258.91-SUM(B45:C45)</f>
        <v>577351.14</v>
      </c>
      <c r="E45" s="108">
        <f>983769.95-SUM(B45:D45)</f>
        <v>86511.039999999921</v>
      </c>
      <c r="F45" s="108">
        <f>1355818.85-SUM(B45:E45)</f>
        <v>372048.90000000014</v>
      </c>
      <c r="G45" s="108">
        <f>1550867.01-SUM(B45:F45)</f>
        <v>195048.15999999992</v>
      </c>
      <c r="H45" s="108">
        <f>1883142.49-SUM(B45:G45)</f>
        <v>332275.48</v>
      </c>
      <c r="I45" s="108">
        <f>2282304.04-SUM(B45:H45)</f>
        <v>399161.55000000005</v>
      </c>
      <c r="J45" s="108">
        <f>2643429.28-SUM(B45:I45)</f>
        <v>361125.23999999976</v>
      </c>
      <c r="K45" s="108">
        <f>2651529.28-SUM(B45:J45)</f>
        <v>8100</v>
      </c>
      <c r="L45" s="108">
        <f>3265943.84-SUM(B45:K45)</f>
        <v>614414.56000000006</v>
      </c>
      <c r="M45" s="108">
        <f>3425252.77-SUM(B45:L45)</f>
        <v>159308.93000000017</v>
      </c>
      <c r="N45" s="108">
        <f t="shared" si="6"/>
        <v>3425252.77</v>
      </c>
      <c r="O45" s="2"/>
    </row>
    <row r="46" spans="1:17" x14ac:dyDescent="0.2">
      <c r="A46" s="234" t="s">
        <v>45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>
        <f t="shared" si="6"/>
        <v>0</v>
      </c>
      <c r="O46" s="2"/>
    </row>
    <row r="47" spans="1:17" x14ac:dyDescent="0.2">
      <c r="A47" s="235" t="s">
        <v>25</v>
      </c>
      <c r="B47" s="108"/>
      <c r="C47" s="108">
        <v>835000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>
        <f t="shared" si="6"/>
        <v>835000</v>
      </c>
      <c r="O47" s="2"/>
    </row>
    <row r="48" spans="1:17" x14ac:dyDescent="0.2">
      <c r="A48" s="235" t="s">
        <v>26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>
        <f t="shared" si="6"/>
        <v>0</v>
      </c>
      <c r="O48" s="2"/>
    </row>
    <row r="49" spans="1:17" x14ac:dyDescent="0.2">
      <c r="A49" s="235" t="s">
        <v>27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>
        <f t="shared" si="6"/>
        <v>0</v>
      </c>
      <c r="O49" s="2"/>
    </row>
    <row r="50" spans="1:17" x14ac:dyDescent="0.2">
      <c r="A50" s="235" t="s">
        <v>28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>
        <f t="shared" si="6"/>
        <v>0</v>
      </c>
      <c r="O50" s="2"/>
    </row>
    <row r="51" spans="1:17" x14ac:dyDescent="0.2">
      <c r="A51" s="235" t="s">
        <v>29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>
        <f t="shared" si="6"/>
        <v>0</v>
      </c>
      <c r="O51" s="2"/>
    </row>
    <row r="52" spans="1:17" x14ac:dyDescent="0.2">
      <c r="A52" s="235" t="s">
        <v>30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>
        <f t="shared" si="6"/>
        <v>0</v>
      </c>
      <c r="O52" s="2"/>
    </row>
    <row r="53" spans="1:17" x14ac:dyDescent="0.2">
      <c r="A53" s="235" t="s">
        <v>32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>
        <f t="shared" si="6"/>
        <v>0</v>
      </c>
      <c r="O53" s="2"/>
    </row>
    <row r="54" spans="1:17" x14ac:dyDescent="0.2">
      <c r="A54" s="235" t="s">
        <v>33</v>
      </c>
      <c r="B54" s="108"/>
      <c r="C54" s="108">
        <v>20500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>
        <f t="shared" si="6"/>
        <v>20500</v>
      </c>
      <c r="O54" s="2"/>
    </row>
    <row r="55" spans="1:17" x14ac:dyDescent="0.2">
      <c r="A55" s="235" t="s">
        <v>34</v>
      </c>
      <c r="B55" s="108"/>
      <c r="C55" s="108">
        <v>1000</v>
      </c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>
        <f t="shared" si="6"/>
        <v>1000</v>
      </c>
      <c r="O55" s="2"/>
    </row>
    <row r="56" spans="1:17" x14ac:dyDescent="0.2">
      <c r="A56" s="235" t="s">
        <v>35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>
        <f t="shared" si="6"/>
        <v>0</v>
      </c>
      <c r="O56" s="2"/>
    </row>
    <row r="57" spans="1:17" x14ac:dyDescent="0.2">
      <c r="A57" s="235" t="s">
        <v>36</v>
      </c>
      <c r="B57" s="108"/>
      <c r="C57" s="108">
        <v>3000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>
        <f t="shared" si="6"/>
        <v>3000</v>
      </c>
      <c r="O57" s="2"/>
    </row>
    <row r="58" spans="1:17" x14ac:dyDescent="0.2">
      <c r="A58" s="235" t="s">
        <v>37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>
        <f t="shared" si="6"/>
        <v>0</v>
      </c>
      <c r="O58" s="2"/>
    </row>
    <row r="59" spans="1:17" x14ac:dyDescent="0.2">
      <c r="A59" s="235" t="s">
        <v>38</v>
      </c>
      <c r="B59" s="108"/>
      <c r="C59" s="108">
        <v>6700</v>
      </c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>
        <f t="shared" si="6"/>
        <v>6700</v>
      </c>
      <c r="O59" s="2"/>
    </row>
    <row r="60" spans="1:17" x14ac:dyDescent="0.2">
      <c r="A60" s="235" t="s">
        <v>39</v>
      </c>
      <c r="B60" s="108"/>
      <c r="C60" s="108">
        <v>35000</v>
      </c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>
        <f t="shared" si="6"/>
        <v>35000</v>
      </c>
    </row>
    <row r="61" spans="1:17" x14ac:dyDescent="0.2">
      <c r="A61" s="235" t="s">
        <v>40</v>
      </c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>
        <f t="shared" si="6"/>
        <v>0</v>
      </c>
    </row>
    <row r="62" spans="1:17" x14ac:dyDescent="0.2">
      <c r="A62" s="235" t="s">
        <v>41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>
        <f t="shared" si="6"/>
        <v>0</v>
      </c>
      <c r="Q62" s="1" t="s">
        <v>13</v>
      </c>
    </row>
    <row r="63" spans="1:17" x14ac:dyDescent="0.2">
      <c r="A63" s="235" t="s">
        <v>42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>
        <f t="shared" si="6"/>
        <v>0</v>
      </c>
    </row>
    <row r="64" spans="1:17" x14ac:dyDescent="0.2">
      <c r="A64" s="235" t="s">
        <v>43</v>
      </c>
      <c r="B64" s="108"/>
      <c r="C64" s="108">
        <v>62000</v>
      </c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>
        <f t="shared" si="6"/>
        <v>62000</v>
      </c>
    </row>
    <row r="65" spans="1:16" x14ac:dyDescent="0.2">
      <c r="A65" s="235" t="s">
        <v>44</v>
      </c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>
        <f t="shared" si="6"/>
        <v>0</v>
      </c>
      <c r="O65" s="240" t="s">
        <v>21</v>
      </c>
      <c r="P65" s="241"/>
    </row>
    <row r="66" spans="1:16" x14ac:dyDescent="0.2">
      <c r="A66" s="289" t="s">
        <v>191</v>
      </c>
      <c r="B66" s="108"/>
      <c r="C66" s="108">
        <v>166667</v>
      </c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>
        <f t="shared" si="6"/>
        <v>166667</v>
      </c>
      <c r="O66" s="242" t="s">
        <v>217</v>
      </c>
      <c r="P66" s="243"/>
    </row>
    <row r="67" spans="1:16" x14ac:dyDescent="0.2">
      <c r="A67" s="289" t="s">
        <v>190</v>
      </c>
      <c r="B67" s="108"/>
      <c r="C67" s="108">
        <v>166667</v>
      </c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>
        <f t="shared" si="6"/>
        <v>166667</v>
      </c>
      <c r="O67" s="244" t="s">
        <v>212</v>
      </c>
      <c r="P67" s="245">
        <f>+N8</f>
        <v>6544724.9600000018</v>
      </c>
    </row>
    <row r="68" spans="1:16" x14ac:dyDescent="0.2">
      <c r="A68" s="289" t="s">
        <v>189</v>
      </c>
      <c r="B68" s="108"/>
      <c r="C68" s="108">
        <v>80000</v>
      </c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>
        <f t="shared" si="6"/>
        <v>80000</v>
      </c>
      <c r="O68" s="244" t="s">
        <v>213</v>
      </c>
      <c r="P68" s="245">
        <f>SUM(N19:N21)</f>
        <v>4169554.23</v>
      </c>
    </row>
    <row r="69" spans="1:16" x14ac:dyDescent="0.2">
      <c r="A69" s="289" t="s">
        <v>188</v>
      </c>
      <c r="B69" s="108"/>
      <c r="C69" s="108">
        <v>86667</v>
      </c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>
        <f t="shared" si="6"/>
        <v>86667</v>
      </c>
      <c r="O69" s="244" t="s">
        <v>214</v>
      </c>
      <c r="P69" s="245">
        <f>+-N41</f>
        <v>-6298628</v>
      </c>
    </row>
    <row r="70" spans="1:16" x14ac:dyDescent="0.2">
      <c r="A70" s="288" t="s">
        <v>187</v>
      </c>
      <c r="B70" s="108"/>
      <c r="C70" s="108">
        <v>1000</v>
      </c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>
        <f t="shared" si="6"/>
        <v>1000</v>
      </c>
      <c r="O70" s="244"/>
      <c r="P70" s="245"/>
    </row>
    <row r="71" spans="1:16" x14ac:dyDescent="0.2">
      <c r="A71" s="96" t="s">
        <v>22</v>
      </c>
      <c r="B71" s="108">
        <v>19509.71</v>
      </c>
      <c r="C71" s="108">
        <f>43563.92+21707-B71</f>
        <v>45761.21</v>
      </c>
      <c r="D71" s="108">
        <f>64385.84+21707-SUM(B71:C71)</f>
        <v>20821.919999999998</v>
      </c>
      <c r="E71" s="108">
        <f>86488.52+21707-SUM(B71:D71)</f>
        <v>22102.680000000008</v>
      </c>
      <c r="F71" s="108">
        <f>116565.81+25295-SUM(B71:E71)</f>
        <v>33665.289999999994</v>
      </c>
      <c r="G71" s="108">
        <f>25295+136534.49-SUM(B71:F71)</f>
        <v>19968.679999999993</v>
      </c>
      <c r="H71" s="108">
        <f>167264.01+25295-SUM(B71:G71)</f>
        <v>30729.520000000019</v>
      </c>
      <c r="I71" s="108">
        <f>25295+244847.55-SUM(B71:H71)</f>
        <v>77583.539999999979</v>
      </c>
      <c r="J71" s="108">
        <f>307846.19+29785.66-SUM(B71:I71)</f>
        <v>67489.299999999988</v>
      </c>
      <c r="K71" s="108">
        <f>310609.31+29785.66-SUM(B71:J71)</f>
        <v>2763.1199999999953</v>
      </c>
      <c r="L71" s="108">
        <f>334032.06+29785.66-SUM(B71:K71)</f>
        <v>23422.75</v>
      </c>
      <c r="M71" s="108">
        <f>428507.38+36807.66-SUM(B71:L71)</f>
        <v>101497.32000000007</v>
      </c>
      <c r="N71" s="108">
        <f t="shared" si="6"/>
        <v>465315.04000000004</v>
      </c>
      <c r="O71" s="244"/>
      <c r="P71" s="245"/>
    </row>
    <row r="72" spans="1:16" x14ac:dyDescent="0.2">
      <c r="A72" s="97" t="s">
        <v>23</v>
      </c>
      <c r="B72" s="111"/>
      <c r="C72" s="111"/>
      <c r="D72" s="111"/>
      <c r="E72" s="111">
        <v>3500</v>
      </c>
      <c r="F72" s="111"/>
      <c r="G72" s="111"/>
      <c r="H72" s="111">
        <f>3350-E72</f>
        <v>-150</v>
      </c>
      <c r="I72" s="111">
        <f>259457.25+84902.79-SUM(B72:H72)</f>
        <v>341010.04</v>
      </c>
      <c r="J72" s="111">
        <f>85880.29+259457.25-SUM(B72:I72)</f>
        <v>977.5</v>
      </c>
      <c r="K72" s="111">
        <f>85880.29+259457.25-SUM(B72:J72)</f>
        <v>0</v>
      </c>
      <c r="L72" s="111">
        <f>96345.52+259457.25-SUM(B72:K72)</f>
        <v>10465.23000000004</v>
      </c>
      <c r="M72" s="111">
        <f>101273.35+259494.19-SUM(B72:L72)</f>
        <v>4964.7700000000186</v>
      </c>
      <c r="N72" s="111">
        <f t="shared" si="6"/>
        <v>360767.54000000004</v>
      </c>
      <c r="O72" s="246"/>
      <c r="P72" s="243"/>
    </row>
    <row r="73" spans="1:16" x14ac:dyDescent="0.2">
      <c r="A73" s="27" t="s">
        <v>24</v>
      </c>
      <c r="B73" s="113">
        <f t="shared" ref="B73:M73" si="7">SUM(B44:B72)</f>
        <v>166570.81</v>
      </c>
      <c r="C73" s="67">
        <f t="shared" si="7"/>
        <v>1682808.88</v>
      </c>
      <c r="D73" s="67">
        <f t="shared" si="7"/>
        <v>598173.06000000006</v>
      </c>
      <c r="E73" s="67">
        <f t="shared" si="7"/>
        <v>112113.71999999993</v>
      </c>
      <c r="F73" s="67">
        <f t="shared" si="7"/>
        <v>405714.19000000012</v>
      </c>
      <c r="G73" s="67">
        <f t="shared" si="7"/>
        <v>215016.83999999991</v>
      </c>
      <c r="H73" s="67">
        <f t="shared" si="7"/>
        <v>362855</v>
      </c>
      <c r="I73" s="67">
        <f t="shared" si="7"/>
        <v>817755.13</v>
      </c>
      <c r="J73" s="67">
        <f t="shared" si="7"/>
        <v>429592.03999999975</v>
      </c>
      <c r="K73" s="67">
        <f t="shared" si="7"/>
        <v>10863.119999999995</v>
      </c>
      <c r="L73" s="67">
        <f t="shared" si="7"/>
        <v>648302.54</v>
      </c>
      <c r="M73" s="67">
        <f t="shared" si="7"/>
        <v>265771.02000000025</v>
      </c>
      <c r="N73" s="114">
        <f>SUM(N44:N72)</f>
        <v>5715536.3499999996</v>
      </c>
      <c r="O73" s="247" t="s">
        <v>51</v>
      </c>
      <c r="P73" s="248">
        <f>SUM(P67:P72)</f>
        <v>4415651.1900000013</v>
      </c>
    </row>
    <row r="74" spans="1:16" x14ac:dyDescent="0.2">
      <c r="A74" s="5" t="s">
        <v>17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N74" s="19"/>
      <c r="O74" s="249" t="s">
        <v>211</v>
      </c>
      <c r="P74" s="249">
        <v>4415652</v>
      </c>
    </row>
    <row r="75" spans="1:16" x14ac:dyDescent="0.2">
      <c r="A75" s="2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49" t="s">
        <v>52</v>
      </c>
      <c r="P75" s="249">
        <f>+P74-P73</f>
        <v>0.80999999865889549</v>
      </c>
    </row>
    <row r="80" spans="1:16" x14ac:dyDescent="0.2">
      <c r="D80" s="125"/>
    </row>
    <row r="81" spans="4:4" x14ac:dyDescent="0.2">
      <c r="D81" s="125"/>
    </row>
  </sheetData>
  <mergeCells count="1">
    <mergeCell ref="N5:N6"/>
  </mergeCells>
  <pageMargins left="0" right="0" top="0.5" bottom="0" header="0.3" footer="0.3"/>
  <pageSetup scale="65" orientation="landscape" horizontalDpi="1200" verticalDpi="1200" r:id="rId1"/>
  <headerFooter>
    <oddFooter>&amp;L&amp;Z&amp;F&amp;R&amp;D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87"/>
  <sheetViews>
    <sheetView tabSelected="1" workbookViewId="0">
      <pane xSplit="2" ySplit="6" topLeftCell="F57" activePane="bottomRight" state="frozen"/>
      <selection pane="topRight" activeCell="C1" sqref="C1"/>
      <selection pane="bottomLeft" activeCell="A7" sqref="A7"/>
      <selection pane="bottomRight" activeCell="H67" sqref="H67"/>
    </sheetView>
  </sheetViews>
  <sheetFormatPr defaultRowHeight="12" x14ac:dyDescent="0.2"/>
  <cols>
    <col min="1" max="1" width="44.42578125" style="1" customWidth="1"/>
    <col min="2" max="2" width="11.5703125" style="1" customWidth="1"/>
    <col min="3" max="3" width="10.140625" style="1" customWidth="1"/>
    <col min="4" max="4" width="10.5703125" style="1" customWidth="1"/>
    <col min="5" max="6" width="10.28515625" style="1" customWidth="1"/>
    <col min="7" max="7" width="10.140625" style="1" customWidth="1"/>
    <col min="8" max="9" width="9.85546875" style="1" bestFit="1" customWidth="1"/>
    <col min="10" max="10" width="9.42578125" style="1" customWidth="1"/>
    <col min="11" max="12" width="9.7109375" style="1" customWidth="1"/>
    <col min="13" max="13" width="10.140625" style="1" customWidth="1"/>
    <col min="14" max="14" width="10.85546875" style="1" customWidth="1"/>
    <col min="15" max="15" width="11.28515625" style="1" customWidth="1"/>
    <col min="16" max="16" width="9.42578125" style="1" customWidth="1"/>
    <col min="17" max="17" width="2.5703125" style="1" customWidth="1"/>
    <col min="18" max="18" width="12.5703125" style="1" bestFit="1" customWidth="1"/>
    <col min="19" max="19" width="10.5703125" style="1" customWidth="1"/>
    <col min="20" max="20" width="12.5703125" style="1" bestFit="1" customWidth="1"/>
    <col min="21" max="21" width="9.5703125" style="1" bestFit="1" customWidth="1"/>
    <col min="22" max="22" width="11.140625" style="1" customWidth="1"/>
    <col min="23" max="16384" width="9.140625" style="1"/>
  </cols>
  <sheetData>
    <row r="1" spans="1:16" ht="15.75" x14ac:dyDescent="0.25">
      <c r="A1" s="295" t="s">
        <v>193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x14ac:dyDescent="0.2">
      <c r="A2" s="1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6" x14ac:dyDescent="0.2">
      <c r="A3" s="1" t="s">
        <v>186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6" x14ac:dyDescent="0.2">
      <c r="A4" s="1" t="s">
        <v>220</v>
      </c>
      <c r="B4" s="106"/>
      <c r="C4" s="106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1:16" x14ac:dyDescent="0.2">
      <c r="B5" s="107">
        <v>38</v>
      </c>
      <c r="C5" s="107">
        <v>39</v>
      </c>
      <c r="D5" s="107">
        <v>40</v>
      </c>
      <c r="E5" s="107">
        <v>41</v>
      </c>
      <c r="F5" s="107">
        <v>42</v>
      </c>
      <c r="G5" s="107">
        <v>43</v>
      </c>
      <c r="H5" s="107">
        <v>44</v>
      </c>
      <c r="I5" s="107">
        <v>45</v>
      </c>
      <c r="J5" s="256">
        <v>46</v>
      </c>
      <c r="K5" s="107">
        <v>47</v>
      </c>
      <c r="L5" s="107">
        <v>48</v>
      </c>
      <c r="M5" s="107">
        <v>49</v>
      </c>
      <c r="N5" s="376" t="s">
        <v>24</v>
      </c>
    </row>
    <row r="6" spans="1:16" ht="12.75" thickBot="1" x14ac:dyDescent="0.25">
      <c r="A6" s="239"/>
      <c r="B6" s="124">
        <v>40725</v>
      </c>
      <c r="C6" s="124">
        <v>40756</v>
      </c>
      <c r="D6" s="124">
        <v>40787</v>
      </c>
      <c r="E6" s="124">
        <v>40817</v>
      </c>
      <c r="F6" s="124">
        <v>40848</v>
      </c>
      <c r="G6" s="124">
        <v>40878</v>
      </c>
      <c r="H6" s="124">
        <v>40909</v>
      </c>
      <c r="I6" s="124">
        <v>40940</v>
      </c>
      <c r="J6" s="257">
        <v>40969</v>
      </c>
      <c r="K6" s="124">
        <v>41000</v>
      </c>
      <c r="L6" s="124">
        <v>41030</v>
      </c>
      <c r="M6" s="124">
        <v>41061</v>
      </c>
      <c r="N6" s="377"/>
    </row>
    <row r="7" spans="1:16" x14ac:dyDescent="0.2">
      <c r="A7" s="32" t="s">
        <v>53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238"/>
    </row>
    <row r="8" spans="1:16" x14ac:dyDescent="0.2">
      <c r="A8" s="1" t="s">
        <v>6</v>
      </c>
      <c r="B8" s="123">
        <v>0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>
        <f>SUM(B8:M8)</f>
        <v>0</v>
      </c>
      <c r="O8" s="2"/>
    </row>
    <row r="9" spans="1:16" ht="15" x14ac:dyDescent="0.2">
      <c r="A9" s="1" t="s">
        <v>3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293"/>
      <c r="M9" s="116"/>
      <c r="N9" s="116"/>
      <c r="O9" s="2"/>
    </row>
    <row r="10" spans="1:16" x14ac:dyDescent="0.2">
      <c r="A10" s="1" t="s">
        <v>2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2"/>
    </row>
    <row r="11" spans="1:16" x14ac:dyDescent="0.2">
      <c r="A11" s="1" t="s">
        <v>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2"/>
    </row>
    <row r="12" spans="1:16" x14ac:dyDescent="0.2">
      <c r="A12" s="1" t="s">
        <v>5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>
        <f>+H12</f>
        <v>0</v>
      </c>
      <c r="N12" s="116">
        <f>SUM(B12:M12)</f>
        <v>0</v>
      </c>
      <c r="O12" s="2"/>
    </row>
    <row r="13" spans="1:16" x14ac:dyDescent="0.2">
      <c r="A13" s="4"/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"/>
    </row>
    <row r="14" spans="1:16" x14ac:dyDescent="0.2">
      <c r="A14" s="26" t="s">
        <v>24</v>
      </c>
      <c r="B14" s="281">
        <f>SUM(B8:B12)</f>
        <v>0</v>
      </c>
      <c r="C14" s="281">
        <f t="shared" ref="C14:M14" si="0">SUM(C9:C12)</f>
        <v>0</v>
      </c>
      <c r="D14" s="281">
        <f t="shared" si="0"/>
        <v>0</v>
      </c>
      <c r="E14" s="281">
        <f t="shared" si="0"/>
        <v>0</v>
      </c>
      <c r="F14" s="281">
        <f t="shared" si="0"/>
        <v>0</v>
      </c>
      <c r="G14" s="281">
        <f t="shared" si="0"/>
        <v>0</v>
      </c>
      <c r="H14" s="281">
        <f t="shared" si="0"/>
        <v>0</v>
      </c>
      <c r="I14" s="281">
        <f t="shared" si="0"/>
        <v>0</v>
      </c>
      <c r="J14" s="281">
        <f t="shared" si="0"/>
        <v>0</v>
      </c>
      <c r="K14" s="281">
        <f t="shared" si="0"/>
        <v>0</v>
      </c>
      <c r="L14" s="281">
        <f t="shared" si="0"/>
        <v>0</v>
      </c>
      <c r="M14" s="281">
        <f t="shared" si="0"/>
        <v>0</v>
      </c>
      <c r="N14" s="281">
        <f>SUM(B14:M14)</f>
        <v>0</v>
      </c>
      <c r="O14" s="2"/>
    </row>
    <row r="15" spans="1:16" x14ac:dyDescent="0.2">
      <c r="A15" s="32" t="s">
        <v>54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2"/>
    </row>
    <row r="16" spans="1:16" x14ac:dyDescent="0.2">
      <c r="A16" s="1" t="s">
        <v>6</v>
      </c>
      <c r="B16" s="116">
        <f>+B8</f>
        <v>0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>
        <f t="shared" ref="N16:N21" si="1">SUM(B16:M16)</f>
        <v>0</v>
      </c>
      <c r="O16" s="2"/>
    </row>
    <row r="17" spans="1:17" x14ac:dyDescent="0.2">
      <c r="A17" s="1" t="s">
        <v>3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>
        <f t="shared" si="1"/>
        <v>0</v>
      </c>
      <c r="O17" s="2"/>
    </row>
    <row r="18" spans="1:17" x14ac:dyDescent="0.2">
      <c r="A18" s="1" t="s">
        <v>2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>
        <f t="shared" si="1"/>
        <v>0</v>
      </c>
      <c r="O18" s="2"/>
    </row>
    <row r="19" spans="1:17" x14ac:dyDescent="0.2">
      <c r="A19" s="1" t="s">
        <v>4</v>
      </c>
      <c r="B19" s="116"/>
      <c r="C19" s="116"/>
      <c r="D19" s="116"/>
      <c r="E19" s="116"/>
      <c r="F19" s="116"/>
      <c r="G19" s="116"/>
      <c r="H19" s="116"/>
      <c r="I19" s="116"/>
      <c r="J19" s="116">
        <v>0</v>
      </c>
      <c r="K19" s="294">
        <v>0</v>
      </c>
      <c r="L19" s="116"/>
      <c r="M19" s="116"/>
      <c r="N19" s="116">
        <f t="shared" si="1"/>
        <v>0</v>
      </c>
      <c r="O19" s="18" t="s">
        <v>18</v>
      </c>
    </row>
    <row r="20" spans="1:17" x14ac:dyDescent="0.2">
      <c r="A20" s="1" t="s">
        <v>5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>
        <f t="shared" si="1"/>
        <v>0</v>
      </c>
      <c r="O20" s="2">
        <f>+N20+N19</f>
        <v>0</v>
      </c>
    </row>
    <row r="21" spans="1:17" x14ac:dyDescent="0.2">
      <c r="A21" s="30" t="s">
        <v>50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>
        <v>0</v>
      </c>
      <c r="L21" s="282">
        <v>0</v>
      </c>
      <c r="M21" s="282"/>
      <c r="N21" s="282">
        <f t="shared" si="1"/>
        <v>0</v>
      </c>
      <c r="O21" s="18" t="s">
        <v>19</v>
      </c>
    </row>
    <row r="22" spans="1:17" x14ac:dyDescent="0.2">
      <c r="A22" s="26" t="s">
        <v>24</v>
      </c>
      <c r="B22" s="281">
        <f>SUM(B16:B21)</f>
        <v>0</v>
      </c>
      <c r="C22" s="281">
        <f t="shared" ref="C22:N22" si="2">SUM(C16:C21)</f>
        <v>0</v>
      </c>
      <c r="D22" s="281">
        <f t="shared" si="2"/>
        <v>0</v>
      </c>
      <c r="E22" s="281">
        <f t="shared" si="2"/>
        <v>0</v>
      </c>
      <c r="F22" s="281">
        <f t="shared" si="2"/>
        <v>0</v>
      </c>
      <c r="G22" s="281">
        <f t="shared" si="2"/>
        <v>0</v>
      </c>
      <c r="H22" s="281">
        <f t="shared" si="2"/>
        <v>0</v>
      </c>
      <c r="I22" s="281">
        <f t="shared" si="2"/>
        <v>0</v>
      </c>
      <c r="J22" s="281">
        <f t="shared" si="2"/>
        <v>0</v>
      </c>
      <c r="K22" s="281">
        <f t="shared" si="2"/>
        <v>0</v>
      </c>
      <c r="L22" s="281">
        <f t="shared" si="2"/>
        <v>0</v>
      </c>
      <c r="M22" s="281">
        <f t="shared" si="2"/>
        <v>0</v>
      </c>
      <c r="N22" s="281">
        <f t="shared" si="2"/>
        <v>0</v>
      </c>
      <c r="O22" s="18"/>
    </row>
    <row r="23" spans="1:17" x14ac:dyDescent="0.2">
      <c r="A23" s="31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2"/>
      <c r="Q23" s="2"/>
    </row>
    <row r="24" spans="1:17" x14ac:dyDescent="0.2"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2"/>
      <c r="Q24" s="2"/>
    </row>
    <row r="25" spans="1:17" x14ac:dyDescent="0.2">
      <c r="A25" s="32" t="s">
        <v>55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>
        <f t="shared" ref="N25:N30" si="3">SUM(B25:M25)</f>
        <v>0</v>
      </c>
      <c r="O25" s="2"/>
      <c r="P25" s="3"/>
      <c r="Q25" s="207"/>
    </row>
    <row r="26" spans="1:17" x14ac:dyDescent="0.2">
      <c r="A26" s="9" t="s">
        <v>8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>
        <f t="shared" si="3"/>
        <v>0</v>
      </c>
      <c r="O26" s="2"/>
      <c r="P26" s="3"/>
      <c r="Q26" s="207"/>
    </row>
    <row r="27" spans="1:17" x14ac:dyDescent="0.2">
      <c r="A27" s="283" t="s">
        <v>14</v>
      </c>
      <c r="B27" s="116">
        <v>2400000</v>
      </c>
      <c r="C27" s="116"/>
      <c r="D27" s="116">
        <v>0</v>
      </c>
      <c r="E27" s="116"/>
      <c r="F27" s="116"/>
      <c r="G27" s="116">
        <v>0</v>
      </c>
      <c r="H27" s="116"/>
      <c r="I27" s="116"/>
      <c r="J27" s="116">
        <v>0</v>
      </c>
      <c r="K27" s="116"/>
      <c r="L27" s="116"/>
      <c r="M27" s="116"/>
      <c r="N27" s="116">
        <f t="shared" si="3"/>
        <v>2400000</v>
      </c>
      <c r="O27" s="2"/>
      <c r="P27" s="3"/>
      <c r="Q27" s="207"/>
    </row>
    <row r="28" spans="1:17" x14ac:dyDescent="0.2">
      <c r="A28" s="284" t="s">
        <v>184</v>
      </c>
      <c r="B28" s="116">
        <v>1000000</v>
      </c>
      <c r="C28" s="116"/>
      <c r="D28" s="116">
        <v>0</v>
      </c>
      <c r="E28" s="116"/>
      <c r="F28" s="116"/>
      <c r="G28" s="116"/>
      <c r="H28" s="116">
        <v>0</v>
      </c>
      <c r="I28" s="116"/>
      <c r="J28" s="116"/>
      <c r="K28" s="116"/>
      <c r="L28" s="116"/>
      <c r="M28" s="116"/>
      <c r="N28" s="116">
        <f t="shared" si="3"/>
        <v>1000000</v>
      </c>
      <c r="O28" s="2"/>
    </row>
    <row r="29" spans="1:17" x14ac:dyDescent="0.2">
      <c r="A29" s="254" t="s">
        <v>185</v>
      </c>
      <c r="B29" s="116">
        <v>500000</v>
      </c>
      <c r="C29" s="116"/>
      <c r="D29" s="116"/>
      <c r="E29" s="116">
        <v>0</v>
      </c>
      <c r="F29" s="116"/>
      <c r="G29" s="116"/>
      <c r="H29" s="116"/>
      <c r="I29" s="116">
        <v>0</v>
      </c>
      <c r="J29" s="116"/>
      <c r="K29" s="116"/>
      <c r="L29" s="116"/>
      <c r="M29" s="116"/>
      <c r="N29" s="116">
        <f t="shared" si="3"/>
        <v>500000</v>
      </c>
      <c r="O29" s="2"/>
    </row>
    <row r="30" spans="1:17" x14ac:dyDescent="0.2">
      <c r="A30" s="285" t="s">
        <v>23</v>
      </c>
      <c r="B30" s="117">
        <v>500000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6">
        <f t="shared" si="3"/>
        <v>500000</v>
      </c>
      <c r="O30" s="2"/>
    </row>
    <row r="31" spans="1:17" x14ac:dyDescent="0.2">
      <c r="A31" s="26" t="s">
        <v>24</v>
      </c>
      <c r="B31" s="110">
        <f>SUM(B26:B30)</f>
        <v>4400000</v>
      </c>
      <c r="C31" s="110">
        <f t="shared" ref="C31:M31" si="4">SUM(C26:C30)</f>
        <v>0</v>
      </c>
      <c r="D31" s="110">
        <f t="shared" si="4"/>
        <v>0</v>
      </c>
      <c r="E31" s="110">
        <f t="shared" si="4"/>
        <v>0</v>
      </c>
      <c r="F31" s="110">
        <f t="shared" si="4"/>
        <v>0</v>
      </c>
      <c r="G31" s="110">
        <f t="shared" si="4"/>
        <v>0</v>
      </c>
      <c r="H31" s="110">
        <f t="shared" si="4"/>
        <v>0</v>
      </c>
      <c r="I31" s="110">
        <f t="shared" si="4"/>
        <v>0</v>
      </c>
      <c r="J31" s="110">
        <f t="shared" si="4"/>
        <v>0</v>
      </c>
      <c r="K31" s="110">
        <f t="shared" si="4"/>
        <v>0</v>
      </c>
      <c r="L31" s="110">
        <f t="shared" si="4"/>
        <v>0</v>
      </c>
      <c r="M31" s="110">
        <f t="shared" si="4"/>
        <v>0</v>
      </c>
      <c r="N31" s="110">
        <f>SUM(N25:N30)</f>
        <v>4400000</v>
      </c>
      <c r="O31" s="2"/>
    </row>
    <row r="32" spans="1:17" x14ac:dyDescent="0.2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2"/>
    </row>
    <row r="33" spans="1:17" x14ac:dyDescent="0.2">
      <c r="A33" s="33" t="s">
        <v>111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2"/>
    </row>
    <row r="34" spans="1:17" x14ac:dyDescent="0.2">
      <c r="A34" s="251" t="s">
        <v>16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>
        <f t="shared" ref="N34:N40" si="5">SUM(B34:M34)</f>
        <v>0</v>
      </c>
      <c r="O34" s="2"/>
    </row>
    <row r="35" spans="1:17" x14ac:dyDescent="0.2">
      <c r="A35" s="23" t="s">
        <v>14</v>
      </c>
      <c r="B35" s="116">
        <v>2400000</v>
      </c>
      <c r="C35" s="108">
        <v>0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>
        <f t="shared" si="5"/>
        <v>2400000</v>
      </c>
      <c r="O35" s="2"/>
    </row>
    <row r="36" spans="1:17" x14ac:dyDescent="0.2">
      <c r="A36" s="149" t="s">
        <v>15</v>
      </c>
      <c r="B36" s="116">
        <v>1000000</v>
      </c>
      <c r="C36" s="108">
        <v>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>
        <f t="shared" si="5"/>
        <v>1000000</v>
      </c>
      <c r="Q36" s="2"/>
    </row>
    <row r="37" spans="1:17" x14ac:dyDescent="0.2">
      <c r="A37" s="254" t="s">
        <v>22</v>
      </c>
      <c r="B37" s="116">
        <v>500000</v>
      </c>
      <c r="C37" s="108">
        <v>0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>
        <f t="shared" si="5"/>
        <v>500000</v>
      </c>
      <c r="O37" s="2"/>
    </row>
    <row r="38" spans="1:17" x14ac:dyDescent="0.2">
      <c r="A38" s="254" t="s">
        <v>23</v>
      </c>
      <c r="B38" s="117">
        <v>433376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>
        <f t="shared" si="5"/>
        <v>433376</v>
      </c>
      <c r="O38" s="2">
        <f>SUM(N35:N38)</f>
        <v>4333376</v>
      </c>
    </row>
    <row r="39" spans="1:17" x14ac:dyDescent="0.2">
      <c r="A39" s="290" t="s">
        <v>192</v>
      </c>
      <c r="B39" s="108"/>
      <c r="C39" s="108"/>
      <c r="D39" s="108"/>
      <c r="E39" s="108"/>
      <c r="F39" s="108"/>
      <c r="G39" s="108"/>
      <c r="H39" s="108"/>
      <c r="I39" s="108">
        <v>0</v>
      </c>
      <c r="J39" s="108"/>
      <c r="K39" s="108"/>
      <c r="L39" s="108"/>
      <c r="M39" s="108"/>
      <c r="N39" s="108">
        <f t="shared" si="5"/>
        <v>0</v>
      </c>
      <c r="O39" s="2"/>
    </row>
    <row r="40" spans="1:17" x14ac:dyDescent="0.2">
      <c r="A40" s="7" t="s">
        <v>175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>
        <f t="shared" si="5"/>
        <v>0</v>
      </c>
      <c r="O40" s="2"/>
    </row>
    <row r="41" spans="1:17" x14ac:dyDescent="0.2">
      <c r="A41" s="27" t="s">
        <v>24</v>
      </c>
      <c r="B41" s="67">
        <f t="shared" ref="B41:M41" si="6">SUM(B34:B40)</f>
        <v>4333376</v>
      </c>
      <c r="C41" s="67">
        <f t="shared" si="6"/>
        <v>0</v>
      </c>
      <c r="D41" s="67">
        <f t="shared" si="6"/>
        <v>0</v>
      </c>
      <c r="E41" s="67">
        <f t="shared" si="6"/>
        <v>0</v>
      </c>
      <c r="F41" s="67">
        <f t="shared" si="6"/>
        <v>0</v>
      </c>
      <c r="G41" s="67">
        <f t="shared" si="6"/>
        <v>0</v>
      </c>
      <c r="H41" s="67">
        <f t="shared" si="6"/>
        <v>0</v>
      </c>
      <c r="I41" s="67">
        <f t="shared" si="6"/>
        <v>0</v>
      </c>
      <c r="J41" s="67">
        <f t="shared" si="6"/>
        <v>0</v>
      </c>
      <c r="K41" s="67">
        <f t="shared" si="6"/>
        <v>0</v>
      </c>
      <c r="L41" s="67">
        <f t="shared" si="6"/>
        <v>0</v>
      </c>
      <c r="M41" s="67">
        <f t="shared" si="6"/>
        <v>0</v>
      </c>
      <c r="N41" s="112">
        <f>SUM(N34:N40)</f>
        <v>4333376</v>
      </c>
      <c r="O41" s="19" t="s">
        <v>20</v>
      </c>
    </row>
    <row r="42" spans="1:17" x14ac:dyDescent="0.2">
      <c r="A42" s="118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2"/>
    </row>
    <row r="43" spans="1:17" x14ac:dyDescent="0.2">
      <c r="A43" s="34" t="s">
        <v>56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2"/>
    </row>
    <row r="44" spans="1:17" x14ac:dyDescent="0.2">
      <c r="A44" s="286" t="s">
        <v>16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>
        <f t="shared" ref="N44:N78" si="7">SUM(B44:M44)</f>
        <v>0</v>
      </c>
      <c r="O44" s="2"/>
    </row>
    <row r="45" spans="1:17" x14ac:dyDescent="0.2">
      <c r="A45" s="36" t="s">
        <v>14</v>
      </c>
      <c r="B45" s="108">
        <v>0</v>
      </c>
      <c r="C45" s="108">
        <v>143675.89000000001</v>
      </c>
      <c r="D45" s="108">
        <f>397346.79-C45</f>
        <v>253670.89999999997</v>
      </c>
      <c r="E45" s="108">
        <f>505247.16-SUM(C45:D45)</f>
        <v>107900.37</v>
      </c>
      <c r="F45" s="108">
        <f>561077.91-SUM(B45:E45)</f>
        <v>55830.750000000058</v>
      </c>
      <c r="G45" s="108">
        <f>616164-SUM(B45:F45)</f>
        <v>55086.089999999967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f t="shared" si="7"/>
        <v>616164</v>
      </c>
      <c r="O45" s="2"/>
    </row>
    <row r="46" spans="1:17" x14ac:dyDescent="0.2">
      <c r="A46" s="234" t="s">
        <v>45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>
        <f t="shared" si="7"/>
        <v>0</v>
      </c>
      <c r="O46" s="2"/>
    </row>
    <row r="47" spans="1:17" x14ac:dyDescent="0.2">
      <c r="A47" s="235" t="s">
        <v>226</v>
      </c>
      <c r="B47" s="108"/>
      <c r="C47" s="108"/>
      <c r="D47" s="108"/>
      <c r="E47" s="108"/>
      <c r="F47" s="108">
        <v>166667</v>
      </c>
      <c r="G47" s="108"/>
      <c r="H47" s="108"/>
      <c r="I47" s="108"/>
      <c r="J47" s="108"/>
      <c r="K47" s="108"/>
      <c r="L47" s="108"/>
      <c r="M47" s="108"/>
      <c r="N47" s="108"/>
      <c r="O47" s="2"/>
    </row>
    <row r="48" spans="1:17" x14ac:dyDescent="0.2">
      <c r="A48" s="235" t="s">
        <v>224</v>
      </c>
      <c r="B48" s="108"/>
      <c r="C48" s="108">
        <v>0</v>
      </c>
      <c r="D48" s="108"/>
      <c r="E48" s="108"/>
      <c r="F48" s="108">
        <v>90000</v>
      </c>
      <c r="G48" s="108"/>
      <c r="H48" s="108"/>
      <c r="I48" s="108"/>
      <c r="J48" s="108"/>
      <c r="K48" s="108"/>
      <c r="L48" s="108"/>
      <c r="M48" s="108"/>
      <c r="N48" s="108">
        <f t="shared" si="7"/>
        <v>90000</v>
      </c>
      <c r="O48" s="2"/>
    </row>
    <row r="49" spans="1:15" x14ac:dyDescent="0.2">
      <c r="A49" s="235" t="s">
        <v>225</v>
      </c>
      <c r="B49" s="108"/>
      <c r="C49" s="108"/>
      <c r="D49" s="108"/>
      <c r="E49" s="108"/>
      <c r="F49" s="108">
        <v>40000</v>
      </c>
      <c r="G49" s="108"/>
      <c r="H49" s="108"/>
      <c r="I49" s="108"/>
      <c r="J49" s="108"/>
      <c r="K49" s="108"/>
      <c r="L49" s="108"/>
      <c r="M49" s="108"/>
      <c r="N49" s="108"/>
      <c r="O49" s="2"/>
    </row>
    <row r="50" spans="1:15" x14ac:dyDescent="0.2">
      <c r="A50" s="235" t="s">
        <v>229</v>
      </c>
      <c r="B50" s="108"/>
      <c r="C50" s="108"/>
      <c r="D50" s="108"/>
      <c r="E50" s="108"/>
      <c r="F50" s="108">
        <v>166667</v>
      </c>
      <c r="G50" s="108"/>
      <c r="H50" s="108"/>
      <c r="I50" s="108"/>
      <c r="J50" s="108"/>
      <c r="K50" s="108"/>
      <c r="L50" s="108"/>
      <c r="M50" s="108"/>
      <c r="N50" s="108"/>
      <c r="O50" s="2"/>
    </row>
    <row r="51" spans="1:15" x14ac:dyDescent="0.2">
      <c r="A51" s="235" t="s">
        <v>26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>
        <f t="shared" si="7"/>
        <v>0</v>
      </c>
      <c r="O51" s="2"/>
    </row>
    <row r="52" spans="1:15" x14ac:dyDescent="0.2">
      <c r="A52" s="235" t="s">
        <v>27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>
        <f t="shared" si="7"/>
        <v>0</v>
      </c>
      <c r="O52" s="2"/>
    </row>
    <row r="53" spans="1:15" x14ac:dyDescent="0.2">
      <c r="A53" s="235" t="s">
        <v>28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>
        <f t="shared" si="7"/>
        <v>0</v>
      </c>
      <c r="O53" s="2"/>
    </row>
    <row r="54" spans="1:15" x14ac:dyDescent="0.2">
      <c r="A54" s="235" t="s">
        <v>29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>
        <f t="shared" si="7"/>
        <v>0</v>
      </c>
      <c r="O54" s="2"/>
    </row>
    <row r="55" spans="1:15" x14ac:dyDescent="0.2">
      <c r="A55" s="235" t="s">
        <v>30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>
        <f t="shared" si="7"/>
        <v>0</v>
      </c>
      <c r="O55" s="2"/>
    </row>
    <row r="56" spans="1:15" x14ac:dyDescent="0.2">
      <c r="A56" s="235" t="s">
        <v>32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>
        <f t="shared" si="7"/>
        <v>0</v>
      </c>
      <c r="O56" s="2"/>
    </row>
    <row r="57" spans="1:15" x14ac:dyDescent="0.2">
      <c r="A57" s="235" t="s">
        <v>33</v>
      </c>
      <c r="B57" s="108"/>
      <c r="C57" s="108">
        <v>0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>
        <f t="shared" si="7"/>
        <v>0</v>
      </c>
      <c r="O57" s="2"/>
    </row>
    <row r="58" spans="1:15" x14ac:dyDescent="0.2">
      <c r="A58" s="235" t="s">
        <v>227</v>
      </c>
      <c r="B58" s="108"/>
      <c r="C58" s="108">
        <v>0</v>
      </c>
      <c r="D58" s="108"/>
      <c r="E58" s="108"/>
      <c r="F58" s="108">
        <v>86667</v>
      </c>
      <c r="G58" s="108"/>
      <c r="H58" s="108"/>
      <c r="I58" s="108"/>
      <c r="J58" s="108"/>
      <c r="K58" s="108"/>
      <c r="L58" s="108"/>
      <c r="M58" s="108"/>
      <c r="N58" s="108">
        <f t="shared" si="7"/>
        <v>86667</v>
      </c>
      <c r="O58" s="2"/>
    </row>
    <row r="59" spans="1:15" x14ac:dyDescent="0.2">
      <c r="A59" s="235" t="s">
        <v>35</v>
      </c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>
        <f t="shared" si="7"/>
        <v>0</v>
      </c>
      <c r="O59" s="2"/>
    </row>
    <row r="60" spans="1:15" x14ac:dyDescent="0.2">
      <c r="A60" s="235" t="s">
        <v>36</v>
      </c>
      <c r="B60" s="108"/>
      <c r="C60" s="108">
        <v>0</v>
      </c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>
        <f t="shared" si="7"/>
        <v>0</v>
      </c>
      <c r="O60" s="2"/>
    </row>
    <row r="61" spans="1:15" x14ac:dyDescent="0.2">
      <c r="A61" s="235" t="s">
        <v>37</v>
      </c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>
        <f t="shared" si="7"/>
        <v>0</v>
      </c>
      <c r="O61" s="2"/>
    </row>
    <row r="62" spans="1:15" x14ac:dyDescent="0.2">
      <c r="A62" s="235" t="s">
        <v>38</v>
      </c>
      <c r="B62" s="108"/>
      <c r="C62" s="108">
        <v>0</v>
      </c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>
        <f t="shared" si="7"/>
        <v>0</v>
      </c>
      <c r="O62" s="2"/>
    </row>
    <row r="63" spans="1:15" x14ac:dyDescent="0.2">
      <c r="A63" s="235" t="s">
        <v>39</v>
      </c>
      <c r="B63" s="108"/>
      <c r="C63" s="108">
        <v>0</v>
      </c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>
        <f t="shared" si="7"/>
        <v>0</v>
      </c>
    </row>
    <row r="64" spans="1:15" x14ac:dyDescent="0.2">
      <c r="A64" s="235" t="s">
        <v>222</v>
      </c>
      <c r="B64" s="108"/>
      <c r="C64" s="108"/>
      <c r="D64" s="108"/>
      <c r="E64" s="108"/>
      <c r="F64" s="108">
        <v>50000</v>
      </c>
      <c r="G64" s="108"/>
      <c r="H64" s="108"/>
      <c r="I64" s="108"/>
      <c r="J64" s="108"/>
      <c r="K64" s="108"/>
      <c r="L64" s="108"/>
      <c r="M64" s="108"/>
      <c r="N64" s="108"/>
    </row>
    <row r="65" spans="1:17" x14ac:dyDescent="0.2">
      <c r="A65" s="235" t="s">
        <v>221</v>
      </c>
      <c r="B65" s="108"/>
      <c r="C65" s="108"/>
      <c r="D65" s="108"/>
      <c r="E65" s="108"/>
      <c r="F65" s="108">
        <v>29320</v>
      </c>
      <c r="G65" s="108"/>
      <c r="H65" s="108"/>
      <c r="I65" s="108"/>
      <c r="J65" s="108"/>
      <c r="K65" s="108"/>
      <c r="L65" s="108"/>
      <c r="M65" s="108"/>
      <c r="N65" s="108"/>
    </row>
    <row r="66" spans="1:17" x14ac:dyDescent="0.2">
      <c r="A66" s="235" t="s">
        <v>223</v>
      </c>
      <c r="B66" s="108"/>
      <c r="C66" s="108"/>
      <c r="D66" s="108"/>
      <c r="E66" s="108"/>
      <c r="F66" s="108">
        <v>40000</v>
      </c>
      <c r="G66" s="108"/>
      <c r="H66" s="108"/>
      <c r="I66" s="108"/>
      <c r="J66" s="108"/>
      <c r="K66" s="108"/>
      <c r="L66" s="108"/>
      <c r="M66" s="108"/>
      <c r="N66" s="108"/>
    </row>
    <row r="67" spans="1:17" x14ac:dyDescent="0.2">
      <c r="A67" s="235" t="s">
        <v>40</v>
      </c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>
        <f t="shared" si="7"/>
        <v>0</v>
      </c>
    </row>
    <row r="68" spans="1:17" x14ac:dyDescent="0.2">
      <c r="A68" s="235" t="s">
        <v>41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>
        <f t="shared" si="7"/>
        <v>0</v>
      </c>
      <c r="Q68" s="1" t="s">
        <v>13</v>
      </c>
    </row>
    <row r="69" spans="1:17" x14ac:dyDescent="0.2">
      <c r="A69" s="235" t="s">
        <v>42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>
        <f t="shared" si="7"/>
        <v>0</v>
      </c>
    </row>
    <row r="70" spans="1:17" x14ac:dyDescent="0.2">
      <c r="A70" s="235" t="s">
        <v>228</v>
      </c>
      <c r="B70" s="108"/>
      <c r="C70" s="108">
        <v>0</v>
      </c>
      <c r="D70" s="108"/>
      <c r="E70" s="108"/>
      <c r="F70" s="108">
        <v>80000</v>
      </c>
      <c r="G70" s="108"/>
      <c r="H70" s="108"/>
      <c r="I70" s="108"/>
      <c r="J70" s="108"/>
      <c r="K70" s="108"/>
      <c r="L70" s="108"/>
      <c r="M70" s="108"/>
      <c r="N70" s="108">
        <f t="shared" si="7"/>
        <v>80000</v>
      </c>
    </row>
    <row r="71" spans="1:17" x14ac:dyDescent="0.2">
      <c r="A71" s="235" t="s">
        <v>44</v>
      </c>
      <c r="B71" s="108"/>
      <c r="C71" s="108">
        <v>0</v>
      </c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>
        <f t="shared" si="7"/>
        <v>0</v>
      </c>
      <c r="O71" s="240" t="s">
        <v>21</v>
      </c>
      <c r="P71" s="241"/>
    </row>
    <row r="72" spans="1:17" x14ac:dyDescent="0.2">
      <c r="A72" s="289" t="s">
        <v>191</v>
      </c>
      <c r="B72" s="108"/>
      <c r="C72" s="108">
        <v>0</v>
      </c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>
        <f t="shared" si="7"/>
        <v>0</v>
      </c>
      <c r="O72" s="242" t="s">
        <v>210</v>
      </c>
      <c r="P72" s="243"/>
    </row>
    <row r="73" spans="1:17" x14ac:dyDescent="0.2">
      <c r="A73" s="289" t="s">
        <v>190</v>
      </c>
      <c r="B73" s="108"/>
      <c r="C73" s="108">
        <v>0</v>
      </c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>
        <f t="shared" si="7"/>
        <v>0</v>
      </c>
      <c r="O73" s="244" t="s">
        <v>212</v>
      </c>
      <c r="P73" s="245">
        <f>+'2010-11'!P73</f>
        <v>4415651.1900000013</v>
      </c>
    </row>
    <row r="74" spans="1:17" x14ac:dyDescent="0.2">
      <c r="A74" s="289" t="s">
        <v>189</v>
      </c>
      <c r="B74" s="108"/>
      <c r="C74" s="108">
        <v>0</v>
      </c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>
        <f t="shared" si="7"/>
        <v>0</v>
      </c>
      <c r="O74" s="244" t="s">
        <v>213</v>
      </c>
      <c r="P74" s="245">
        <f>SUM(N19:N21)</f>
        <v>0</v>
      </c>
    </row>
    <row r="75" spans="1:17" x14ac:dyDescent="0.2">
      <c r="A75" s="289" t="s">
        <v>188</v>
      </c>
      <c r="B75" s="108"/>
      <c r="C75" s="108">
        <v>0</v>
      </c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>
        <f t="shared" si="7"/>
        <v>0</v>
      </c>
      <c r="O75" s="244" t="s">
        <v>214</v>
      </c>
      <c r="P75" s="245">
        <f>+-N41</f>
        <v>-4333376</v>
      </c>
    </row>
    <row r="76" spans="1:17" x14ac:dyDescent="0.2">
      <c r="A76" s="288" t="s">
        <v>187</v>
      </c>
      <c r="B76" s="108"/>
      <c r="C76" s="108">
        <v>0</v>
      </c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>
        <f t="shared" si="7"/>
        <v>0</v>
      </c>
      <c r="O76" s="244"/>
      <c r="P76" s="245"/>
    </row>
    <row r="77" spans="1:17" x14ac:dyDescent="0.2">
      <c r="A77" s="96" t="s">
        <v>22</v>
      </c>
      <c r="B77" s="108">
        <v>21593.46</v>
      </c>
      <c r="C77" s="108">
        <f>109271.54+600-B77</f>
        <v>88278.079999999987</v>
      </c>
      <c r="D77" s="108">
        <f>163090.32+625-SUM(B77:C77)</f>
        <v>53843.780000000028</v>
      </c>
      <c r="E77" s="108">
        <f>220781.16+625-SUM(B77:D77)</f>
        <v>57690.84</v>
      </c>
      <c r="F77" s="108">
        <f>265260.55+13515.14-SUM(B77:E77)</f>
        <v>57369.53</v>
      </c>
      <c r="G77" s="108">
        <f>316507.7+13515.14-SUM(B77:F77)</f>
        <v>51247.150000000023</v>
      </c>
      <c r="H77" s="108">
        <v>0</v>
      </c>
      <c r="I77" s="108">
        <v>0</v>
      </c>
      <c r="J77" s="108">
        <v>0</v>
      </c>
      <c r="K77" s="108">
        <v>0</v>
      </c>
      <c r="L77" s="108">
        <v>0</v>
      </c>
      <c r="M77" s="108">
        <v>0</v>
      </c>
      <c r="N77" s="108">
        <f t="shared" si="7"/>
        <v>330022.84000000003</v>
      </c>
      <c r="O77" s="244"/>
      <c r="P77" s="245"/>
    </row>
    <row r="78" spans="1:17" x14ac:dyDescent="0.2">
      <c r="A78" s="97" t="s">
        <v>23</v>
      </c>
      <c r="B78" s="111"/>
      <c r="C78" s="111">
        <v>9337.2800000000007</v>
      </c>
      <c r="D78" s="111">
        <f>26537.31-C78</f>
        <v>17200.03</v>
      </c>
      <c r="E78" s="111">
        <f>111458.31-SUM(B78:D78)</f>
        <v>84921</v>
      </c>
      <c r="F78" s="111">
        <f>111458.31-SUM(B78:E78)</f>
        <v>0</v>
      </c>
      <c r="G78" s="111"/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f t="shared" si="7"/>
        <v>111458.31</v>
      </c>
      <c r="O78" s="246"/>
      <c r="P78" s="243"/>
    </row>
    <row r="79" spans="1:17" x14ac:dyDescent="0.2">
      <c r="A79" s="27" t="s">
        <v>24</v>
      </c>
      <c r="B79" s="113">
        <f t="shared" ref="B79:M79" si="8">SUM(B44:B78)</f>
        <v>21593.46</v>
      </c>
      <c r="C79" s="67">
        <f t="shared" si="8"/>
        <v>241291.25</v>
      </c>
      <c r="D79" s="67">
        <f t="shared" si="8"/>
        <v>324714.70999999996</v>
      </c>
      <c r="E79" s="67">
        <f t="shared" si="8"/>
        <v>250512.21</v>
      </c>
      <c r="F79" s="67">
        <f t="shared" si="8"/>
        <v>862521.28</v>
      </c>
      <c r="G79" s="67">
        <f t="shared" si="8"/>
        <v>106333.23999999999</v>
      </c>
      <c r="H79" s="67">
        <f t="shared" si="8"/>
        <v>0</v>
      </c>
      <c r="I79" s="67">
        <f t="shared" si="8"/>
        <v>0</v>
      </c>
      <c r="J79" s="67">
        <f t="shared" si="8"/>
        <v>0</v>
      </c>
      <c r="K79" s="67">
        <f t="shared" si="8"/>
        <v>0</v>
      </c>
      <c r="L79" s="67">
        <f t="shared" si="8"/>
        <v>0</v>
      </c>
      <c r="M79" s="67">
        <f t="shared" si="8"/>
        <v>0</v>
      </c>
      <c r="N79" s="114">
        <f>SUM(N44:N78)</f>
        <v>1314312.1500000001</v>
      </c>
      <c r="O79" s="247" t="s">
        <v>51</v>
      </c>
      <c r="P79" s="248">
        <f>SUM(P73:P78)</f>
        <v>82275.190000001341</v>
      </c>
    </row>
    <row r="80" spans="1:17" x14ac:dyDescent="0.2">
      <c r="A80" s="5" t="s">
        <v>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N80" s="19"/>
      <c r="O80" s="249" t="s">
        <v>171</v>
      </c>
      <c r="P80" s="249">
        <v>82276</v>
      </c>
    </row>
    <row r="81" spans="1:16" x14ac:dyDescent="0.2">
      <c r="A81" s="2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49" t="s">
        <v>52</v>
      </c>
      <c r="P81" s="249">
        <f>+P80-P79</f>
        <v>0.80999999865889549</v>
      </c>
    </row>
    <row r="86" spans="1:16" x14ac:dyDescent="0.2">
      <c r="D86" s="125"/>
    </row>
    <row r="87" spans="1:16" x14ac:dyDescent="0.2">
      <c r="D87" s="125"/>
    </row>
  </sheetData>
  <mergeCells count="1">
    <mergeCell ref="N5:N6"/>
  </mergeCells>
  <pageMargins left="0" right="0" top="0" bottom="0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H33"/>
  <sheetViews>
    <sheetView workbookViewId="0">
      <selection activeCell="I16" sqref="I16"/>
    </sheetView>
  </sheetViews>
  <sheetFormatPr defaultRowHeight="12.75" x14ac:dyDescent="0.2"/>
  <cols>
    <col min="1" max="1" width="8.7109375" style="221" customWidth="1"/>
    <col min="2" max="2" width="45.5703125" style="221" customWidth="1"/>
    <col min="3" max="3" width="11" style="221" bestFit="1" customWidth="1"/>
    <col min="4" max="4" width="14.42578125" style="221" customWidth="1"/>
    <col min="5" max="5" width="12.140625" style="221" customWidth="1"/>
    <col min="6" max="7" width="12.42578125" style="221" customWidth="1"/>
    <col min="8" max="8" width="13.28515625" style="221" customWidth="1"/>
    <col min="9" max="9" width="10.140625" style="221" customWidth="1"/>
    <col min="10" max="16384" width="9.140625" style="221"/>
  </cols>
  <sheetData>
    <row r="1" spans="1:8" x14ac:dyDescent="0.2">
      <c r="A1" s="144" t="s">
        <v>131</v>
      </c>
      <c r="B1" s="144"/>
      <c r="C1" s="140"/>
      <c r="D1" s="140"/>
      <c r="E1" s="140"/>
      <c r="F1" s="140"/>
      <c r="G1" s="140"/>
      <c r="H1" s="140"/>
    </row>
    <row r="2" spans="1:8" x14ac:dyDescent="0.2">
      <c r="A2" s="140" t="s">
        <v>194</v>
      </c>
      <c r="B2" s="140"/>
      <c r="C2" s="140"/>
      <c r="D2" s="140"/>
      <c r="E2" s="140"/>
      <c r="F2" s="140"/>
      <c r="G2" s="140"/>
      <c r="H2" s="140"/>
    </row>
    <row r="3" spans="1:8" x14ac:dyDescent="0.2">
      <c r="A3" s="140" t="s">
        <v>209</v>
      </c>
      <c r="B3" s="140"/>
      <c r="C3" s="140"/>
      <c r="D3" s="140"/>
      <c r="E3" s="140"/>
      <c r="F3" s="140"/>
      <c r="G3" s="140"/>
      <c r="H3" s="140"/>
    </row>
    <row r="4" spans="1:8" x14ac:dyDescent="0.2">
      <c r="A4" s="140"/>
      <c r="B4" s="140"/>
      <c r="C4" s="140"/>
      <c r="D4" s="140"/>
      <c r="E4" s="140"/>
      <c r="F4" s="140"/>
      <c r="G4" s="140"/>
      <c r="H4" s="140"/>
    </row>
    <row r="5" spans="1:8" ht="13.5" thickBot="1" x14ac:dyDescent="0.25">
      <c r="A5" s="296" t="s">
        <v>132</v>
      </c>
      <c r="B5" s="296"/>
      <c r="C5" s="297" t="s">
        <v>195</v>
      </c>
      <c r="D5" s="298" t="s">
        <v>112</v>
      </c>
      <c r="E5" s="298" t="s">
        <v>113</v>
      </c>
      <c r="F5" s="299" t="s">
        <v>163</v>
      </c>
      <c r="G5" s="300" t="s">
        <v>196</v>
      </c>
      <c r="H5" s="298" t="s">
        <v>24</v>
      </c>
    </row>
    <row r="6" spans="1:8" x14ac:dyDescent="0.2">
      <c r="A6" s="301" t="s">
        <v>197</v>
      </c>
      <c r="B6" s="301"/>
      <c r="C6" s="302"/>
      <c r="D6" s="303"/>
      <c r="E6" s="303"/>
      <c r="F6" s="304"/>
      <c r="G6" s="305"/>
      <c r="H6" s="303"/>
    </row>
    <row r="7" spans="1:8" x14ac:dyDescent="0.2">
      <c r="A7" s="306"/>
      <c r="B7" s="307" t="s">
        <v>130</v>
      </c>
      <c r="C7" s="308">
        <f>+'[1]2008-09'!B14</f>
        <v>8629614</v>
      </c>
      <c r="D7" s="309">
        <f>SUM('[1]2008-09'!C14:N14)</f>
        <v>5228978</v>
      </c>
      <c r="E7" s="309">
        <f>+'[1]2009-10'!N12</f>
        <v>4087272</v>
      </c>
      <c r="F7" s="310">
        <v>4087279</v>
      </c>
      <c r="G7" s="311">
        <v>4087279</v>
      </c>
      <c r="H7" s="309">
        <f>SUM(C7:G7)</f>
        <v>26120422</v>
      </c>
    </row>
    <row r="8" spans="1:8" x14ac:dyDescent="0.2">
      <c r="A8" s="306"/>
      <c r="B8" s="312" t="s">
        <v>129</v>
      </c>
      <c r="C8" s="313">
        <f>+'[1]2008-09'!B17</f>
        <v>8629613.870000001</v>
      </c>
      <c r="D8" s="314">
        <f>SUM('[1]2008-09'!C22:N23)</f>
        <v>5197197.7</v>
      </c>
      <c r="E8" s="314">
        <f>SUM('[1]2009-10'!N19+'[1]2009-10'!N20)</f>
        <v>8412685.3499999996</v>
      </c>
      <c r="F8" s="315">
        <f>+F7</f>
        <v>4087279</v>
      </c>
      <c r="G8" s="316"/>
      <c r="H8" s="314">
        <f>SUM(C8:G8)</f>
        <v>26326775.920000002</v>
      </c>
    </row>
    <row r="9" spans="1:8" x14ac:dyDescent="0.2">
      <c r="A9" s="306"/>
      <c r="B9" s="307" t="s">
        <v>52</v>
      </c>
      <c r="C9" s="317">
        <f>+C8-C7</f>
        <v>-0.12999999895691872</v>
      </c>
      <c r="D9" s="318">
        <f>+D8-D7</f>
        <v>-31780.299999999814</v>
      </c>
      <c r="E9" s="318">
        <f>+E8-E7</f>
        <v>4325413.3499999996</v>
      </c>
      <c r="F9" s="319">
        <f>+F8-F7</f>
        <v>0</v>
      </c>
      <c r="G9" s="320">
        <f>+G8-G7</f>
        <v>-4087279</v>
      </c>
      <c r="H9" s="318">
        <f>+E9+D9</f>
        <v>4293633.05</v>
      </c>
    </row>
    <row r="10" spans="1:8" x14ac:dyDescent="0.2">
      <c r="A10" s="306"/>
      <c r="B10" s="321"/>
      <c r="C10" s="317"/>
      <c r="D10" s="318"/>
      <c r="E10" s="318"/>
      <c r="F10" s="319"/>
      <c r="G10" s="320"/>
      <c r="H10" s="318"/>
    </row>
    <row r="11" spans="1:8" x14ac:dyDescent="0.2">
      <c r="A11" s="306"/>
      <c r="B11" s="322" t="s">
        <v>198</v>
      </c>
      <c r="C11" s="323">
        <v>0</v>
      </c>
      <c r="D11" s="324">
        <f>SUM('[1]2008-09'!B21:N21)</f>
        <v>176175.66</v>
      </c>
      <c r="E11" s="324">
        <f>+'[1]2009-10'!N21</f>
        <v>109099.69</v>
      </c>
      <c r="F11" s="325">
        <f>+'2010-11'!N21</f>
        <v>82276.23000000001</v>
      </c>
      <c r="G11" s="326">
        <v>0</v>
      </c>
      <c r="H11" s="324">
        <f>SUM(C11:G11)</f>
        <v>367551.57999999996</v>
      </c>
    </row>
    <row r="12" spans="1:8" x14ac:dyDescent="0.2">
      <c r="A12" s="327"/>
      <c r="B12" s="328" t="s">
        <v>199</v>
      </c>
      <c r="C12" s="329">
        <f t="shared" ref="C12:H12" si="0">+C11+C8</f>
        <v>8629613.870000001</v>
      </c>
      <c r="D12" s="330">
        <f t="shared" si="0"/>
        <v>5373373.3600000003</v>
      </c>
      <c r="E12" s="330">
        <f t="shared" si="0"/>
        <v>8521785.0399999991</v>
      </c>
      <c r="F12" s="331">
        <f t="shared" si="0"/>
        <v>4169555.23</v>
      </c>
      <c r="G12" s="320">
        <f t="shared" si="0"/>
        <v>0</v>
      </c>
      <c r="H12" s="330">
        <f t="shared" si="0"/>
        <v>26694327.5</v>
      </c>
    </row>
    <row r="13" spans="1:8" x14ac:dyDescent="0.2">
      <c r="A13" s="327"/>
      <c r="B13" s="327"/>
      <c r="C13" s="332"/>
      <c r="D13" s="333"/>
      <c r="E13" s="333"/>
      <c r="F13" s="334"/>
      <c r="G13" s="320"/>
      <c r="H13" s="333"/>
    </row>
    <row r="14" spans="1:8" x14ac:dyDescent="0.2">
      <c r="A14" s="335" t="s">
        <v>200</v>
      </c>
      <c r="B14" s="336"/>
      <c r="C14" s="337"/>
      <c r="D14" s="338"/>
      <c r="E14" s="338"/>
      <c r="F14" s="339"/>
      <c r="G14" s="340"/>
      <c r="H14" s="338"/>
    </row>
    <row r="15" spans="1:8" x14ac:dyDescent="0.2">
      <c r="A15" s="341"/>
      <c r="B15" s="341" t="s">
        <v>16</v>
      </c>
      <c r="C15" s="342"/>
      <c r="D15" s="343">
        <v>3157148</v>
      </c>
      <c r="E15" s="343">
        <v>0</v>
      </c>
      <c r="F15" s="344">
        <v>0</v>
      </c>
      <c r="G15" s="345">
        <v>0</v>
      </c>
      <c r="H15" s="346">
        <f>SUM(D15:G15)</f>
        <v>3157148</v>
      </c>
    </row>
    <row r="16" spans="1:8" x14ac:dyDescent="0.2">
      <c r="A16" s="341"/>
      <c r="B16" s="341" t="s">
        <v>14</v>
      </c>
      <c r="C16" s="342"/>
      <c r="D16" s="343">
        <v>2574000</v>
      </c>
      <c r="E16" s="343">
        <v>2400000</v>
      </c>
      <c r="F16" s="347">
        <v>2400000</v>
      </c>
      <c r="G16" s="345">
        <v>2400000</v>
      </c>
      <c r="H16" s="346">
        <f t="shared" ref="H16:H23" si="1">SUM(D16:G16)</f>
        <v>9774000</v>
      </c>
    </row>
    <row r="17" spans="1:8" x14ac:dyDescent="0.2">
      <c r="A17" s="341"/>
      <c r="B17" s="341" t="s">
        <v>15</v>
      </c>
      <c r="C17" s="342"/>
      <c r="D17" s="343">
        <v>3500000</v>
      </c>
      <c r="E17" s="343">
        <v>1200000</v>
      </c>
      <c r="F17" s="347">
        <v>1100000</v>
      </c>
      <c r="G17" s="345">
        <v>1000000</v>
      </c>
      <c r="H17" s="346">
        <f t="shared" si="1"/>
        <v>6800000</v>
      </c>
    </row>
    <row r="18" spans="1:8" x14ac:dyDescent="0.2">
      <c r="A18" s="341"/>
      <c r="B18" s="341" t="s">
        <v>22</v>
      </c>
      <c r="C18" s="342"/>
      <c r="D18" s="343">
        <v>400000</v>
      </c>
      <c r="E18" s="343">
        <v>500000</v>
      </c>
      <c r="F18" s="347">
        <v>500000</v>
      </c>
      <c r="G18" s="345">
        <v>500000</v>
      </c>
      <c r="H18" s="346">
        <f t="shared" si="1"/>
        <v>1900000</v>
      </c>
    </row>
    <row r="19" spans="1:8" x14ac:dyDescent="0.2">
      <c r="A19" s="348"/>
      <c r="B19" s="348" t="s">
        <v>23</v>
      </c>
      <c r="C19" s="342"/>
      <c r="D19" s="346">
        <v>500000</v>
      </c>
      <c r="E19" s="346">
        <v>1000000</v>
      </c>
      <c r="F19" s="349">
        <v>0</v>
      </c>
      <c r="G19" s="311">
        <f>500000-66624</f>
        <v>433376</v>
      </c>
      <c r="H19" s="346">
        <f t="shared" si="1"/>
        <v>1933376</v>
      </c>
    </row>
    <row r="20" spans="1:8" x14ac:dyDescent="0.2">
      <c r="A20" s="348"/>
      <c r="B20" s="348" t="s">
        <v>201</v>
      </c>
      <c r="C20" s="342"/>
      <c r="D20" s="346">
        <v>200000</v>
      </c>
      <c r="E20" s="346">
        <v>500000</v>
      </c>
      <c r="F20" s="349">
        <v>0</v>
      </c>
      <c r="G20" s="311">
        <v>0</v>
      </c>
      <c r="H20" s="346">
        <f t="shared" si="1"/>
        <v>700000</v>
      </c>
    </row>
    <row r="21" spans="1:8" x14ac:dyDescent="0.2">
      <c r="A21" s="348"/>
      <c r="B21" s="348" t="s">
        <v>7</v>
      </c>
      <c r="C21" s="342"/>
      <c r="D21" s="346">
        <v>26000</v>
      </c>
      <c r="E21" s="346">
        <v>0</v>
      </c>
      <c r="F21" s="349">
        <v>0</v>
      </c>
      <c r="G21" s="311">
        <v>0</v>
      </c>
      <c r="H21" s="346">
        <f t="shared" si="1"/>
        <v>26000</v>
      </c>
    </row>
    <row r="22" spans="1:8" x14ac:dyDescent="0.2">
      <c r="A22" s="348"/>
      <c r="B22" s="348" t="s">
        <v>192</v>
      </c>
      <c r="C22" s="342"/>
      <c r="D22" s="346">
        <v>0</v>
      </c>
      <c r="E22" s="346">
        <v>0</v>
      </c>
      <c r="F22" s="349">
        <v>2298628</v>
      </c>
      <c r="G22" s="311">
        <v>0</v>
      </c>
      <c r="H22" s="346">
        <f t="shared" si="1"/>
        <v>2298628</v>
      </c>
    </row>
    <row r="23" spans="1:8" x14ac:dyDescent="0.2">
      <c r="A23" s="350"/>
      <c r="B23" s="350" t="s">
        <v>202</v>
      </c>
      <c r="C23" s="351"/>
      <c r="D23" s="352">
        <v>0</v>
      </c>
      <c r="E23" s="352">
        <v>22899</v>
      </c>
      <c r="F23" s="353">
        <v>0</v>
      </c>
      <c r="G23" s="316">
        <v>0</v>
      </c>
      <c r="H23" s="352">
        <f t="shared" si="1"/>
        <v>22899</v>
      </c>
    </row>
    <row r="24" spans="1:8" x14ac:dyDescent="0.2">
      <c r="A24" s="354"/>
      <c r="B24" s="355" t="s">
        <v>203</v>
      </c>
      <c r="C24" s="356">
        <f>SUM(C15:C19)</f>
        <v>0</v>
      </c>
      <c r="D24" s="357">
        <f>SUM(D15:D23)</f>
        <v>10357148</v>
      </c>
      <c r="E24" s="357">
        <f>SUM(E15:E23)</f>
        <v>5622899</v>
      </c>
      <c r="F24" s="358">
        <f>SUM(F15:F23)</f>
        <v>6298628</v>
      </c>
      <c r="G24" s="359">
        <f>SUM(G15:G23)</f>
        <v>4333376</v>
      </c>
      <c r="H24" s="357">
        <f>SUM(H15:H23)</f>
        <v>26612051</v>
      </c>
    </row>
    <row r="25" spans="1:8" x14ac:dyDescent="0.2">
      <c r="A25" s="360" t="s">
        <v>204</v>
      </c>
      <c r="B25" s="360"/>
      <c r="C25" s="361">
        <f>+C12-C24</f>
        <v>8629613.870000001</v>
      </c>
      <c r="D25" s="362">
        <f>+D12+C25-D24</f>
        <v>3645839.2300000004</v>
      </c>
      <c r="E25" s="362">
        <f>+D25+E12-E24</f>
        <v>6544725.2699999996</v>
      </c>
      <c r="F25" s="363">
        <f>+E25+F12-F24</f>
        <v>4415652.5</v>
      </c>
      <c r="G25" s="364">
        <f>+F25+G12-G24</f>
        <v>82276.5</v>
      </c>
      <c r="H25" s="362"/>
    </row>
    <row r="26" spans="1:8" x14ac:dyDescent="0.2">
      <c r="A26" s="365"/>
      <c r="B26" s="365" t="s">
        <v>205</v>
      </c>
      <c r="C26" s="366">
        <v>8629613.8699999992</v>
      </c>
      <c r="D26" s="367">
        <v>3645839</v>
      </c>
      <c r="E26" s="367">
        <v>6544725.7300000004</v>
      </c>
      <c r="F26" s="368">
        <v>4415652</v>
      </c>
      <c r="G26" s="345">
        <v>82276.259999999995</v>
      </c>
      <c r="H26" s="367"/>
    </row>
    <row r="27" spans="1:8" x14ac:dyDescent="0.2">
      <c r="A27" s="365"/>
      <c r="B27" s="365" t="s">
        <v>206</v>
      </c>
      <c r="C27" s="366">
        <f>+C26-C25</f>
        <v>0</v>
      </c>
      <c r="D27" s="367">
        <f>+D26-D25</f>
        <v>-0.23000000044703484</v>
      </c>
      <c r="E27" s="367">
        <f>+E26-E25</f>
        <v>0.46000000089406967</v>
      </c>
      <c r="F27" s="367">
        <f>+F26-F25</f>
        <v>-0.5</v>
      </c>
      <c r="G27" s="370">
        <f>+G26-G25</f>
        <v>-0.24000000000523869</v>
      </c>
      <c r="H27" s="367"/>
    </row>
    <row r="28" spans="1:8" x14ac:dyDescent="0.2">
      <c r="A28" s="221" t="s">
        <v>207</v>
      </c>
    </row>
    <row r="33" spans="4:7" x14ac:dyDescent="0.2">
      <c r="D33" s="369"/>
      <c r="E33" s="369"/>
      <c r="F33" s="369" t="s">
        <v>208</v>
      </c>
      <c r="G33" s="369"/>
    </row>
  </sheetData>
  <pageMargins left="0.7" right="0.7" top="0.75" bottom="0.75" header="0.3" footer="0.3"/>
  <pageSetup scale="94" orientation="landscape" horizontalDpi="4294967293" r:id="rId1"/>
  <headerFoot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Pay schedule</vt:lpstr>
      <vt:lpstr>Univ. Plan</vt:lpstr>
      <vt:lpstr>2008-09</vt:lpstr>
      <vt:lpstr>2009-10</vt:lpstr>
      <vt:lpstr>2010-11</vt:lpstr>
      <vt:lpstr>2011-12</vt:lpstr>
      <vt:lpstr>Acct Summary</vt:lpstr>
      <vt:lpstr>'2008-09'!Print_Area</vt:lpstr>
      <vt:lpstr>'2009-10'!Print_Area</vt:lpstr>
      <vt:lpstr>'2010-11'!Print_Area</vt:lpstr>
      <vt:lpstr>'2011-12'!Print_Area</vt:lpstr>
      <vt:lpstr>'Acct Summary'!Print_Area</vt:lpstr>
      <vt:lpstr>'Pay schedule'!Print_Area</vt:lpstr>
      <vt:lpstr>'Univ. Plan'!Print_Area</vt:lpstr>
      <vt:lpstr>'2008-09'!Print_Titles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Russell</dc:creator>
  <cp:lastModifiedBy>Jie Shi</cp:lastModifiedBy>
  <cp:lastPrinted>2011-10-26T12:49:53Z</cp:lastPrinted>
  <dcterms:created xsi:type="dcterms:W3CDTF">2008-11-10T15:02:05Z</dcterms:created>
  <dcterms:modified xsi:type="dcterms:W3CDTF">2012-01-31T20:51:48Z</dcterms:modified>
</cp:coreProperties>
</file>