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60" windowWidth="17145" windowHeight="10065" activeTab="4"/>
  </bookViews>
  <sheets>
    <sheet name="2007-08" sheetId="21" r:id="rId1"/>
    <sheet name="2008-09" sheetId="19" r:id="rId2"/>
    <sheet name="2009-10" sheetId="18" r:id="rId3"/>
    <sheet name="2010-11" sheetId="17" r:id="rId4"/>
    <sheet name="2011-12" sheetId="16" r:id="rId5"/>
  </sheets>
  <definedNames>
    <definedName name="_xlnm.Print_Area" localSheetId="1">'2008-09'!$A$1:$M$46</definedName>
    <definedName name="_xlnm.Print_Area" localSheetId="2">'2009-10'!$A$1:$O$46</definedName>
    <definedName name="_xlnm.Print_Area" localSheetId="3">'2010-11'!$A$1:$O$46</definedName>
    <definedName name="_xlnm.Print_Area" localSheetId="4">'2011-12'!$A$1:$P$51</definedName>
  </definedNames>
  <calcPr calcId="145621"/>
</workbook>
</file>

<file path=xl/calcChain.xml><?xml version="1.0" encoding="utf-8"?>
<calcChain xmlns="http://schemas.openxmlformats.org/spreadsheetml/2006/main">
  <c r="I27" i="16" l="1"/>
  <c r="I26" i="16"/>
  <c r="I25" i="16"/>
  <c r="I24" i="16"/>
  <c r="G27" i="16" l="1"/>
  <c r="G26" i="16"/>
  <c r="G25" i="16"/>
  <c r="G24" i="16"/>
  <c r="H20" i="16" l="1"/>
  <c r="H14" i="16"/>
  <c r="K30" i="17" l="1"/>
  <c r="K29" i="17"/>
  <c r="K28" i="17"/>
  <c r="K27" i="17"/>
  <c r="K25" i="17"/>
  <c r="K24" i="17"/>
  <c r="K23" i="17"/>
  <c r="K22" i="17"/>
  <c r="I25" i="17"/>
  <c r="I24" i="17"/>
  <c r="I23" i="17"/>
  <c r="I22" i="17"/>
  <c r="D25" i="17"/>
  <c r="D24" i="17"/>
  <c r="D23" i="17"/>
  <c r="D22" i="17"/>
  <c r="D16" i="16"/>
  <c r="D27" i="16"/>
  <c r="D26" i="16"/>
  <c r="D25" i="16"/>
  <c r="D24" i="16"/>
  <c r="M20" i="16" l="1"/>
  <c r="N20" i="16" s="1"/>
  <c r="N14" i="16"/>
  <c r="C96" i="16" l="1"/>
  <c r="C86" i="16"/>
  <c r="C76" i="16"/>
  <c r="C66" i="16"/>
  <c r="B92" i="19" l="1"/>
  <c r="B89" i="19"/>
  <c r="B88" i="19"/>
  <c r="B87" i="19"/>
  <c r="B93" i="19" s="1"/>
  <c r="G85" i="19"/>
  <c r="D85" i="19"/>
  <c r="J80" i="19"/>
  <c r="J79" i="19"/>
  <c r="H79" i="19"/>
  <c r="H80" i="19" s="1"/>
  <c r="H81" i="19" s="1"/>
  <c r="H82" i="19" s="1"/>
  <c r="H83" i="19" s="1"/>
  <c r="H84" i="19" s="1"/>
  <c r="I84" i="19" s="1"/>
  <c r="E79" i="19"/>
  <c r="G76" i="19"/>
  <c r="D76" i="19"/>
  <c r="J70" i="19"/>
  <c r="J71" i="19" s="1"/>
  <c r="J72" i="19" s="1"/>
  <c r="J73" i="19" s="1"/>
  <c r="J74" i="19" s="1"/>
  <c r="J75" i="19" s="1"/>
  <c r="K75" i="19" s="1"/>
  <c r="H70" i="19"/>
  <c r="E70" i="19"/>
  <c r="E71" i="19" s="1"/>
  <c r="E72" i="19" s="1"/>
  <c r="E73" i="19" s="1"/>
  <c r="E74" i="19" s="1"/>
  <c r="E75" i="19" s="1"/>
  <c r="F75" i="19" s="1"/>
  <c r="G66" i="19"/>
  <c r="D66" i="19"/>
  <c r="I63" i="19"/>
  <c r="J60" i="19"/>
  <c r="H60" i="19"/>
  <c r="H61" i="19" s="1"/>
  <c r="H62" i="19" s="1"/>
  <c r="H63" i="19" s="1"/>
  <c r="H64" i="19" s="1"/>
  <c r="H65" i="19" s="1"/>
  <c r="I65" i="19" s="1"/>
  <c r="E60" i="19"/>
  <c r="F60" i="19" s="1"/>
  <c r="G58" i="19"/>
  <c r="D58" i="19"/>
  <c r="K55" i="19"/>
  <c r="L52" i="19"/>
  <c r="J52" i="19"/>
  <c r="J53" i="19" s="1"/>
  <c r="J54" i="19" s="1"/>
  <c r="J55" i="19" s="1"/>
  <c r="J56" i="19" s="1"/>
  <c r="J57" i="19" s="1"/>
  <c r="K57" i="19" s="1"/>
  <c r="H52" i="19"/>
  <c r="H53" i="19" s="1"/>
  <c r="I53" i="19" s="1"/>
  <c r="F52" i="19"/>
  <c r="E52" i="19"/>
  <c r="E53" i="19" s="1"/>
  <c r="I42" i="19"/>
  <c r="G42" i="19"/>
  <c r="D42" i="19"/>
  <c r="I41" i="19"/>
  <c r="G41" i="19"/>
  <c r="D41" i="19"/>
  <c r="I40" i="19"/>
  <c r="G40" i="19"/>
  <c r="D40" i="19"/>
  <c r="I39" i="19"/>
  <c r="G39" i="19"/>
  <c r="D39" i="19"/>
  <c r="D43" i="19" s="1"/>
  <c r="I37" i="19"/>
  <c r="G37" i="19"/>
  <c r="F37" i="19"/>
  <c r="D37" i="19"/>
  <c r="C37" i="19"/>
  <c r="I36" i="19"/>
  <c r="G36" i="19"/>
  <c r="F36" i="19"/>
  <c r="D36" i="19"/>
  <c r="C36" i="19"/>
  <c r="I35" i="19"/>
  <c r="G35" i="19"/>
  <c r="F35" i="19"/>
  <c r="D35" i="19"/>
  <c r="C35" i="19"/>
  <c r="I34" i="19"/>
  <c r="I38" i="19" s="1"/>
  <c r="G34" i="19"/>
  <c r="F34" i="19"/>
  <c r="D34" i="19"/>
  <c r="C34" i="19"/>
  <c r="I31" i="19"/>
  <c r="G31" i="19"/>
  <c r="D31" i="19"/>
  <c r="K30" i="19"/>
  <c r="H30" i="19"/>
  <c r="F30" i="19"/>
  <c r="J30" i="19" s="1"/>
  <c r="C30" i="19"/>
  <c r="C42" i="19" s="1"/>
  <c r="L29" i="19"/>
  <c r="K29" i="19"/>
  <c r="F29" i="19"/>
  <c r="F41" i="19" s="1"/>
  <c r="C29" i="19"/>
  <c r="K28" i="19"/>
  <c r="F28" i="19"/>
  <c r="E28" i="19"/>
  <c r="C28" i="19"/>
  <c r="C40" i="19" s="1"/>
  <c r="K27" i="19"/>
  <c r="F27" i="19"/>
  <c r="H27" i="19" s="1"/>
  <c r="C27" i="19"/>
  <c r="C39" i="19" s="1"/>
  <c r="I26" i="19"/>
  <c r="H26" i="19"/>
  <c r="G26" i="19"/>
  <c r="D26" i="19"/>
  <c r="K25" i="19"/>
  <c r="L25" i="19" s="1"/>
  <c r="L37" i="19" s="1"/>
  <c r="J25" i="19"/>
  <c r="H25" i="19"/>
  <c r="E25" i="19"/>
  <c r="K24" i="19"/>
  <c r="K36" i="19" s="1"/>
  <c r="J24" i="19"/>
  <c r="H24" i="19"/>
  <c r="E24" i="19"/>
  <c r="K23" i="19"/>
  <c r="J23" i="19"/>
  <c r="J35" i="19" s="1"/>
  <c r="H23" i="19"/>
  <c r="E23" i="19"/>
  <c r="E35" i="19" s="1"/>
  <c r="L22" i="19"/>
  <c r="L34" i="19" s="1"/>
  <c r="K22" i="19"/>
  <c r="J22" i="19"/>
  <c r="H22" i="19"/>
  <c r="E22" i="19"/>
  <c r="I19" i="19"/>
  <c r="G19" i="19"/>
  <c r="D19" i="19"/>
  <c r="K18" i="19"/>
  <c r="L18" i="19" s="1"/>
  <c r="J18" i="19"/>
  <c r="H18" i="19"/>
  <c r="M18" i="19" s="1"/>
  <c r="E18" i="19"/>
  <c r="K17" i="19"/>
  <c r="L17" i="19" s="1"/>
  <c r="J17" i="19"/>
  <c r="H17" i="19"/>
  <c r="E17" i="19"/>
  <c r="L16" i="19"/>
  <c r="K16" i="19"/>
  <c r="J16" i="19"/>
  <c r="H16" i="19"/>
  <c r="E16" i="19"/>
  <c r="K15" i="19"/>
  <c r="L15" i="19" s="1"/>
  <c r="J15" i="19"/>
  <c r="H15" i="19"/>
  <c r="H19" i="19" s="1"/>
  <c r="E15" i="19"/>
  <c r="I14" i="19"/>
  <c r="G14" i="19"/>
  <c r="D14" i="19"/>
  <c r="K13" i="19"/>
  <c r="L13" i="19" s="1"/>
  <c r="J13" i="19"/>
  <c r="H13" i="19"/>
  <c r="E13" i="19"/>
  <c r="K12" i="19"/>
  <c r="L12" i="19" s="1"/>
  <c r="J12" i="19"/>
  <c r="H12" i="19"/>
  <c r="E12" i="19"/>
  <c r="K11" i="19"/>
  <c r="L11" i="19" s="1"/>
  <c r="J11" i="19"/>
  <c r="H11" i="19"/>
  <c r="M11" i="19" s="1"/>
  <c r="E11" i="19"/>
  <c r="L10" i="19"/>
  <c r="K10" i="19"/>
  <c r="J10" i="19"/>
  <c r="H10" i="19"/>
  <c r="E10" i="19"/>
  <c r="E34" i="19" s="1"/>
  <c r="D94" i="18"/>
  <c r="D93" i="18"/>
  <c r="F90" i="18"/>
  <c r="C90" i="18"/>
  <c r="E84" i="18"/>
  <c r="M83" i="18"/>
  <c r="L83" i="18"/>
  <c r="J83" i="18"/>
  <c r="H83" i="18"/>
  <c r="E83" i="18"/>
  <c r="I82" i="18"/>
  <c r="G82" i="18"/>
  <c r="G85" i="18" s="1"/>
  <c r="H85" i="18" s="1"/>
  <c r="D82" i="18"/>
  <c r="F80" i="18"/>
  <c r="C80" i="18"/>
  <c r="E74" i="18"/>
  <c r="E73" i="18"/>
  <c r="I72" i="18"/>
  <c r="I75" i="18" s="1"/>
  <c r="G72" i="18"/>
  <c r="G73" i="18" s="1"/>
  <c r="G74" i="18" s="1"/>
  <c r="D72" i="18"/>
  <c r="E72" i="18" s="1"/>
  <c r="F70" i="18"/>
  <c r="C70" i="18"/>
  <c r="E64" i="18"/>
  <c r="M63" i="18"/>
  <c r="L63" i="18"/>
  <c r="J63" i="18"/>
  <c r="H63" i="18"/>
  <c r="E63" i="18"/>
  <c r="F60" i="18"/>
  <c r="C60" i="18"/>
  <c r="E54" i="18"/>
  <c r="E53" i="18"/>
  <c r="G43" i="18"/>
  <c r="I42" i="18"/>
  <c r="G42" i="18"/>
  <c r="F42" i="18"/>
  <c r="C42" i="18"/>
  <c r="I41" i="18"/>
  <c r="G41" i="18"/>
  <c r="C41" i="18"/>
  <c r="I40" i="18"/>
  <c r="G40" i="18"/>
  <c r="F40" i="18"/>
  <c r="C40" i="18"/>
  <c r="I39" i="18"/>
  <c r="G39" i="18"/>
  <c r="F39" i="18"/>
  <c r="F37" i="18"/>
  <c r="C37" i="18"/>
  <c r="F36" i="18"/>
  <c r="C36" i="18"/>
  <c r="F35" i="18"/>
  <c r="C35" i="18"/>
  <c r="F34" i="18"/>
  <c r="D34" i="18"/>
  <c r="C34" i="18"/>
  <c r="I31" i="18"/>
  <c r="G31" i="18"/>
  <c r="D31" i="18"/>
  <c r="K30" i="18"/>
  <c r="L30" i="18" s="1"/>
  <c r="J30" i="18"/>
  <c r="H30" i="18"/>
  <c r="E30" i="18"/>
  <c r="M29" i="18"/>
  <c r="N29" i="18" s="1"/>
  <c r="K29" i="18"/>
  <c r="K24" i="18" s="1"/>
  <c r="L24" i="18" s="1"/>
  <c r="J29" i="18"/>
  <c r="J41" i="18" s="1"/>
  <c r="F29" i="18"/>
  <c r="F41" i="18" s="1"/>
  <c r="E29" i="18"/>
  <c r="L28" i="18"/>
  <c r="K28" i="18"/>
  <c r="J28" i="18"/>
  <c r="H28" i="18"/>
  <c r="E28" i="18"/>
  <c r="K27" i="18"/>
  <c r="L27" i="18" s="1"/>
  <c r="J27" i="18"/>
  <c r="H27" i="18"/>
  <c r="C27" i="18"/>
  <c r="C39" i="18" s="1"/>
  <c r="I25" i="18"/>
  <c r="I37" i="18" s="1"/>
  <c r="G25" i="18"/>
  <c r="G37" i="18" s="1"/>
  <c r="D25" i="18"/>
  <c r="E25" i="18" s="1"/>
  <c r="J24" i="18"/>
  <c r="I24" i="18"/>
  <c r="G24" i="18"/>
  <c r="G36" i="18" s="1"/>
  <c r="D24" i="18"/>
  <c r="K23" i="18"/>
  <c r="L23" i="18" s="1"/>
  <c r="I23" i="18"/>
  <c r="I35" i="18" s="1"/>
  <c r="G23" i="18"/>
  <c r="H23" i="18" s="1"/>
  <c r="E23" i="18"/>
  <c r="D23" i="18"/>
  <c r="K22" i="18"/>
  <c r="I22" i="18"/>
  <c r="G22" i="18"/>
  <c r="G34" i="18" s="1"/>
  <c r="E22" i="18"/>
  <c r="D22" i="18"/>
  <c r="I19" i="18"/>
  <c r="G19" i="18"/>
  <c r="J18" i="18"/>
  <c r="H18" i="18"/>
  <c r="D18" i="18"/>
  <c r="D42" i="18" s="1"/>
  <c r="J17" i="18"/>
  <c r="H17" i="18"/>
  <c r="D17" i="18"/>
  <c r="J16" i="18"/>
  <c r="H16" i="18"/>
  <c r="H40" i="18" s="1"/>
  <c r="E16" i="18"/>
  <c r="D16" i="18"/>
  <c r="K16" i="18" s="1"/>
  <c r="M16" i="18" s="1"/>
  <c r="N16" i="18" s="1"/>
  <c r="J15" i="18"/>
  <c r="H15" i="18"/>
  <c r="E15" i="18"/>
  <c r="D15" i="18"/>
  <c r="D39" i="18" s="1"/>
  <c r="I14" i="18"/>
  <c r="G14" i="18"/>
  <c r="J13" i="18"/>
  <c r="H13" i="18"/>
  <c r="D13" i="18"/>
  <c r="K13" i="18" s="1"/>
  <c r="L13" i="18" s="1"/>
  <c r="J12" i="18"/>
  <c r="H12" i="18"/>
  <c r="J11" i="18"/>
  <c r="H11" i="18"/>
  <c r="D11" i="18"/>
  <c r="J10" i="18"/>
  <c r="J14" i="18" s="1"/>
  <c r="H10" i="18"/>
  <c r="E10" i="18"/>
  <c r="D10" i="18"/>
  <c r="L19" i="19" l="1"/>
  <c r="K71" i="19"/>
  <c r="K73" i="19"/>
  <c r="H14" i="18"/>
  <c r="E13" i="18"/>
  <c r="E37" i="18" s="1"/>
  <c r="H19" i="18"/>
  <c r="H20" i="18" s="1"/>
  <c r="J23" i="18"/>
  <c r="J35" i="18" s="1"/>
  <c r="M24" i="18"/>
  <c r="N24" i="18" s="1"/>
  <c r="J25" i="18"/>
  <c r="J37" i="18" s="1"/>
  <c r="J31" i="18"/>
  <c r="D40" i="18"/>
  <c r="J72" i="18"/>
  <c r="D75" i="18"/>
  <c r="D76" i="18" s="1"/>
  <c r="M12" i="19"/>
  <c r="M22" i="19"/>
  <c r="M34" i="19" s="1"/>
  <c r="K39" i="19"/>
  <c r="H29" i="19"/>
  <c r="H41" i="19" s="1"/>
  <c r="K42" i="19"/>
  <c r="G43" i="19"/>
  <c r="I43" i="19"/>
  <c r="K56" i="19"/>
  <c r="E61" i="19"/>
  <c r="F61" i="19" s="1"/>
  <c r="I64" i="19"/>
  <c r="K70" i="19"/>
  <c r="F72" i="19"/>
  <c r="F74" i="19"/>
  <c r="I79" i="19"/>
  <c r="I85" i="19" s="1"/>
  <c r="I81" i="19"/>
  <c r="D37" i="18"/>
  <c r="I52" i="18"/>
  <c r="J40" i="18"/>
  <c r="I34" i="18"/>
  <c r="N63" i="18"/>
  <c r="H82" i="18"/>
  <c r="L41" i="19"/>
  <c r="H35" i="19"/>
  <c r="M24" i="19"/>
  <c r="L27" i="19"/>
  <c r="K40" i="19"/>
  <c r="J29" i="19"/>
  <c r="J41" i="19" s="1"/>
  <c r="E30" i="19"/>
  <c r="E42" i="19" s="1"/>
  <c r="L30" i="19"/>
  <c r="L42" i="19" s="1"/>
  <c r="K53" i="19"/>
  <c r="M53" i="19" s="1"/>
  <c r="I61" i="19"/>
  <c r="F70" i="19"/>
  <c r="L70" i="19"/>
  <c r="K72" i="19"/>
  <c r="K74" i="19"/>
  <c r="I82" i="19"/>
  <c r="H42" i="19"/>
  <c r="J19" i="18"/>
  <c r="J20" i="18" s="1"/>
  <c r="D52" i="18"/>
  <c r="J22" i="18"/>
  <c r="H35" i="18"/>
  <c r="H25" i="18"/>
  <c r="E27" i="18"/>
  <c r="E31" i="18" s="1"/>
  <c r="H29" i="18"/>
  <c r="I43" i="18"/>
  <c r="I73" i="18"/>
  <c r="I74" i="18" s="1"/>
  <c r="J74" i="18" s="1"/>
  <c r="K14" i="19"/>
  <c r="J14" i="19"/>
  <c r="J20" i="19" s="1"/>
  <c r="J19" i="19"/>
  <c r="M16" i="19"/>
  <c r="M17" i="19"/>
  <c r="K34" i="19"/>
  <c r="J36" i="19"/>
  <c r="E27" i="19"/>
  <c r="E39" i="19" s="1"/>
  <c r="D38" i="19"/>
  <c r="F42" i="19"/>
  <c r="K52" i="19"/>
  <c r="K54" i="19"/>
  <c r="I60" i="19"/>
  <c r="I62" i="19"/>
  <c r="F71" i="19"/>
  <c r="F73" i="19"/>
  <c r="I80" i="19"/>
  <c r="I83" i="19"/>
  <c r="H39" i="19"/>
  <c r="E19" i="19"/>
  <c r="M15" i="19"/>
  <c r="M19" i="19" s="1"/>
  <c r="J34" i="19"/>
  <c r="J26" i="19"/>
  <c r="K26" i="19"/>
  <c r="K35" i="19"/>
  <c r="L23" i="19"/>
  <c r="M36" i="19"/>
  <c r="E37" i="19"/>
  <c r="M25" i="19"/>
  <c r="E40" i="19"/>
  <c r="K60" i="19"/>
  <c r="J87" i="19"/>
  <c r="L39" i="19"/>
  <c r="F40" i="19"/>
  <c r="J28" i="19"/>
  <c r="J40" i="19" s="1"/>
  <c r="H28" i="19"/>
  <c r="H40" i="19" s="1"/>
  <c r="C41" i="19"/>
  <c r="E29" i="19"/>
  <c r="E31" i="19"/>
  <c r="E54" i="19"/>
  <c r="F53" i="19"/>
  <c r="L53" i="19"/>
  <c r="I70" i="19"/>
  <c r="M70" i="19" s="1"/>
  <c r="H71" i="19"/>
  <c r="K80" i="19"/>
  <c r="L80" i="19"/>
  <c r="H14" i="19"/>
  <c r="H20" i="19" s="1"/>
  <c r="M10" i="19"/>
  <c r="M13" i="19"/>
  <c r="E14" i="19"/>
  <c r="K19" i="19"/>
  <c r="E36" i="19"/>
  <c r="E38" i="19" s="1"/>
  <c r="K37" i="19"/>
  <c r="L28" i="19"/>
  <c r="L40" i="19" s="1"/>
  <c r="J42" i="19"/>
  <c r="M30" i="19"/>
  <c r="J61" i="19"/>
  <c r="F79" i="19"/>
  <c r="E80" i="19"/>
  <c r="J81" i="19"/>
  <c r="L14" i="19"/>
  <c r="L20" i="19" s="1"/>
  <c r="E26" i="19"/>
  <c r="L60" i="19"/>
  <c r="L24" i="19"/>
  <c r="L36" i="19" s="1"/>
  <c r="J37" i="19"/>
  <c r="F39" i="19"/>
  <c r="J27" i="19"/>
  <c r="H34" i="19"/>
  <c r="K79" i="19"/>
  <c r="L79" i="19"/>
  <c r="H37" i="19"/>
  <c r="K41" i="19"/>
  <c r="K31" i="19"/>
  <c r="K32" i="19" s="1"/>
  <c r="H36" i="19"/>
  <c r="H87" i="19"/>
  <c r="H88" i="19" s="1"/>
  <c r="H89" i="19" s="1"/>
  <c r="H90" i="19" s="1"/>
  <c r="H91" i="19" s="1"/>
  <c r="H92" i="19" s="1"/>
  <c r="I52" i="19"/>
  <c r="M23" i="19"/>
  <c r="G38" i="19"/>
  <c r="H54" i="19"/>
  <c r="E62" i="19"/>
  <c r="K76" i="19"/>
  <c r="E87" i="19"/>
  <c r="E88" i="19" s="1"/>
  <c r="E89" i="19" s="1"/>
  <c r="E90" i="19" s="1"/>
  <c r="E91" i="19" s="1"/>
  <c r="E92" i="19" s="1"/>
  <c r="D35" i="18"/>
  <c r="E11" i="18"/>
  <c r="E40" i="18"/>
  <c r="O13" i="18"/>
  <c r="J32" i="18"/>
  <c r="J36" i="18"/>
  <c r="J42" i="18"/>
  <c r="M13" i="18"/>
  <c r="N13" i="18" s="1"/>
  <c r="E17" i="18"/>
  <c r="O17" i="18" s="1"/>
  <c r="D41" i="18"/>
  <c r="K11" i="18"/>
  <c r="L11" i="18" s="1"/>
  <c r="L35" i="18" s="1"/>
  <c r="L16" i="18"/>
  <c r="O16" i="18" s="1"/>
  <c r="K17" i="18"/>
  <c r="L17" i="18" s="1"/>
  <c r="H74" i="18"/>
  <c r="G26" i="18"/>
  <c r="O30" i="18"/>
  <c r="H41" i="18"/>
  <c r="G52" i="18"/>
  <c r="E76" i="18"/>
  <c r="D77" i="18"/>
  <c r="H39" i="18"/>
  <c r="O28" i="18"/>
  <c r="G35" i="18"/>
  <c r="G38" i="18" s="1"/>
  <c r="E39" i="18"/>
  <c r="I85" i="18"/>
  <c r="J82" i="18"/>
  <c r="I84" i="18"/>
  <c r="M82" i="18"/>
  <c r="K15" i="18"/>
  <c r="E18" i="18"/>
  <c r="E19" i="18" s="1"/>
  <c r="D19" i="18"/>
  <c r="H22" i="18"/>
  <c r="L22" i="18"/>
  <c r="M23" i="18"/>
  <c r="N23" i="18" s="1"/>
  <c r="G62" i="18"/>
  <c r="H24" i="18"/>
  <c r="H36" i="18" s="1"/>
  <c r="I26" i="18"/>
  <c r="O27" i="18"/>
  <c r="K40" i="18"/>
  <c r="M28" i="18"/>
  <c r="N28" i="18" s="1"/>
  <c r="K82" i="18"/>
  <c r="L29" i="18"/>
  <c r="L41" i="18" s="1"/>
  <c r="M30" i="18"/>
  <c r="N30" i="18" s="1"/>
  <c r="K41" i="18"/>
  <c r="K52" i="18"/>
  <c r="I76" i="18"/>
  <c r="J75" i="18"/>
  <c r="J34" i="18"/>
  <c r="J38" i="18" s="1"/>
  <c r="J26" i="18"/>
  <c r="D62" i="18"/>
  <c r="H37" i="18"/>
  <c r="H31" i="18"/>
  <c r="D12" i="18"/>
  <c r="K18" i="18"/>
  <c r="L18" i="18" s="1"/>
  <c r="L42" i="18" s="1"/>
  <c r="E24" i="18"/>
  <c r="E34" i="18"/>
  <c r="J39" i="18"/>
  <c r="H73" i="18"/>
  <c r="E75" i="18"/>
  <c r="K10" i="18"/>
  <c r="D55" i="18"/>
  <c r="M22" i="18"/>
  <c r="E35" i="18"/>
  <c r="O23" i="18"/>
  <c r="I62" i="18"/>
  <c r="I36" i="18"/>
  <c r="K25" i="18"/>
  <c r="K62" i="18" s="1"/>
  <c r="D26" i="18"/>
  <c r="K72" i="18"/>
  <c r="M27" i="18"/>
  <c r="H42" i="18"/>
  <c r="K31" i="18"/>
  <c r="E52" i="18"/>
  <c r="E93" i="18"/>
  <c r="J73" i="18"/>
  <c r="N83" i="18"/>
  <c r="D85" i="18"/>
  <c r="E82" i="18"/>
  <c r="E94" i="18"/>
  <c r="G86" i="18"/>
  <c r="G75" i="18"/>
  <c r="G84" i="18"/>
  <c r="H72" i="18"/>
  <c r="J43" i="18" l="1"/>
  <c r="M41" i="18"/>
  <c r="N41" i="18" s="1"/>
  <c r="M17" i="18"/>
  <c r="N17" i="18" s="1"/>
  <c r="O11" i="18"/>
  <c r="K38" i="19"/>
  <c r="K58" i="19"/>
  <c r="I55" i="18"/>
  <c r="I53" i="18"/>
  <c r="J52" i="18"/>
  <c r="M11" i="18"/>
  <c r="N11" i="18" s="1"/>
  <c r="K35" i="18"/>
  <c r="D43" i="18"/>
  <c r="K43" i="19"/>
  <c r="M27" i="19"/>
  <c r="F76" i="19"/>
  <c r="J45" i="18"/>
  <c r="M18" i="18"/>
  <c r="N18" i="18" s="1"/>
  <c r="E42" i="18"/>
  <c r="M40" i="18"/>
  <c r="N40" i="18" s="1"/>
  <c r="J38" i="19"/>
  <c r="H31" i="19"/>
  <c r="H32" i="19" s="1"/>
  <c r="I66" i="19"/>
  <c r="I87" i="19"/>
  <c r="I71" i="19"/>
  <c r="H72" i="19"/>
  <c r="L71" i="19"/>
  <c r="E32" i="19"/>
  <c r="L35" i="19"/>
  <c r="L38" i="19" s="1"/>
  <c r="L26" i="19"/>
  <c r="L32" i="19" s="1"/>
  <c r="M39" i="19"/>
  <c r="M79" i="19"/>
  <c r="K61" i="19"/>
  <c r="L61" i="19"/>
  <c r="J62" i="19"/>
  <c r="M52" i="19"/>
  <c r="M29" i="19"/>
  <c r="O30" i="19" s="1"/>
  <c r="N30" i="19" s="1"/>
  <c r="E41" i="19"/>
  <c r="E43" i="19" s="1"/>
  <c r="E44" i="19" s="1"/>
  <c r="M37" i="19"/>
  <c r="O25" i="19"/>
  <c r="N24" i="19" s="1"/>
  <c r="M38" i="19"/>
  <c r="I54" i="19"/>
  <c r="H55" i="19"/>
  <c r="L54" i="19"/>
  <c r="F87" i="19"/>
  <c r="J39" i="19"/>
  <c r="J43" i="19" s="1"/>
  <c r="J31" i="19"/>
  <c r="J32" i="19" s="1"/>
  <c r="F80" i="19"/>
  <c r="M80" i="19" s="1"/>
  <c r="E81" i="19"/>
  <c r="M14" i="19"/>
  <c r="K87" i="19"/>
  <c r="E55" i="19"/>
  <c r="F54" i="19"/>
  <c r="L43" i="19"/>
  <c r="M60" i="19"/>
  <c r="E20" i="19"/>
  <c r="F62" i="19"/>
  <c r="E63" i="19"/>
  <c r="O23" i="19"/>
  <c r="N22" i="19" s="1"/>
  <c r="M35" i="19"/>
  <c r="H38" i="19"/>
  <c r="K81" i="19"/>
  <c r="J82" i="19"/>
  <c r="M42" i="19"/>
  <c r="L31" i="19"/>
  <c r="L87" i="19"/>
  <c r="N87" i="19" s="1"/>
  <c r="J88" i="19"/>
  <c r="L94" i="19"/>
  <c r="M28" i="19"/>
  <c r="M20" i="19"/>
  <c r="H43" i="19"/>
  <c r="M26" i="19"/>
  <c r="D56" i="18"/>
  <c r="E55" i="18"/>
  <c r="E12" i="18"/>
  <c r="E14" i="18" s="1"/>
  <c r="E20" i="18" s="1"/>
  <c r="K12" i="18"/>
  <c r="K64" i="18"/>
  <c r="L64" i="18" s="1"/>
  <c r="L62" i="18"/>
  <c r="K65" i="18"/>
  <c r="O42" i="18"/>
  <c r="L34" i="18"/>
  <c r="O34" i="18" s="1"/>
  <c r="H84" i="18"/>
  <c r="E85" i="18"/>
  <c r="D95" i="18"/>
  <c r="D86" i="18"/>
  <c r="M31" i="18"/>
  <c r="N27" i="18"/>
  <c r="N31" i="18" s="1"/>
  <c r="K37" i="18"/>
  <c r="M37" i="18" s="1"/>
  <c r="N37" i="18" s="1"/>
  <c r="L25" i="18"/>
  <c r="O35" i="18"/>
  <c r="O24" i="18"/>
  <c r="D36" i="18"/>
  <c r="D38" i="18" s="1"/>
  <c r="G64" i="18"/>
  <c r="G65" i="18"/>
  <c r="H62" i="18"/>
  <c r="H26" i="18"/>
  <c r="H34" i="18"/>
  <c r="H38" i="18" s="1"/>
  <c r="L15" i="18"/>
  <c r="K19" i="18"/>
  <c r="M15" i="18"/>
  <c r="J84" i="18"/>
  <c r="H43" i="18"/>
  <c r="H44" i="18" s="1"/>
  <c r="E26" i="18"/>
  <c r="E32" i="18" s="1"/>
  <c r="O29" i="18"/>
  <c r="O31" i="18" s="1"/>
  <c r="H75" i="18"/>
  <c r="G76" i="18"/>
  <c r="G92" i="18"/>
  <c r="K39" i="18"/>
  <c r="N22" i="18"/>
  <c r="N26" i="18" s="1"/>
  <c r="N32" i="18" s="1"/>
  <c r="K14" i="18"/>
  <c r="M10" i="18"/>
  <c r="L10" i="18"/>
  <c r="J44" i="18"/>
  <c r="O22" i="18"/>
  <c r="L31" i="18"/>
  <c r="D65" i="18"/>
  <c r="E62" i="18"/>
  <c r="M62" i="18"/>
  <c r="D92" i="18"/>
  <c r="K53" i="18"/>
  <c r="L52" i="18"/>
  <c r="K55" i="18"/>
  <c r="K34" i="18"/>
  <c r="K92" i="18"/>
  <c r="K84" i="18"/>
  <c r="M84" i="18" s="1"/>
  <c r="L82" i="18"/>
  <c r="I38" i="18"/>
  <c r="M25" i="18"/>
  <c r="N25" i="18" s="1"/>
  <c r="D78" i="18"/>
  <c r="E77" i="18"/>
  <c r="G53" i="18"/>
  <c r="H52" i="18"/>
  <c r="G55" i="18"/>
  <c r="K26" i="18"/>
  <c r="H86" i="18"/>
  <c r="G87" i="18"/>
  <c r="K73" i="18"/>
  <c r="L72" i="18"/>
  <c r="N72" i="18" s="1"/>
  <c r="K75" i="18"/>
  <c r="M72" i="18"/>
  <c r="I65" i="18"/>
  <c r="I95" i="18" s="1"/>
  <c r="J62" i="18"/>
  <c r="I64" i="18"/>
  <c r="J64" i="18" s="1"/>
  <c r="M52" i="18"/>
  <c r="H32" i="18"/>
  <c r="H45" i="18" s="1"/>
  <c r="J76" i="18"/>
  <c r="I77" i="18"/>
  <c r="K42" i="18"/>
  <c r="M42" i="18" s="1"/>
  <c r="N42" i="18" s="1"/>
  <c r="E41" i="18"/>
  <c r="O41" i="18" s="1"/>
  <c r="M35" i="18"/>
  <c r="N35" i="18" s="1"/>
  <c r="O18" i="18"/>
  <c r="I92" i="18"/>
  <c r="J85" i="18"/>
  <c r="I86" i="18"/>
  <c r="D14" i="18"/>
  <c r="L40" i="18"/>
  <c r="O40" i="18" s="1"/>
  <c r="I54" i="18" l="1"/>
  <c r="J54" i="18" s="1"/>
  <c r="J53" i="18"/>
  <c r="J93" i="18" s="1"/>
  <c r="I93" i="18"/>
  <c r="I103" i="18"/>
  <c r="I56" i="18"/>
  <c r="J55" i="18"/>
  <c r="E36" i="18"/>
  <c r="J44" i="19"/>
  <c r="E56" i="19"/>
  <c r="F55" i="19"/>
  <c r="F81" i="19"/>
  <c r="E82" i="19"/>
  <c r="K62" i="19"/>
  <c r="L62" i="19"/>
  <c r="J63" i="19"/>
  <c r="M40" i="19"/>
  <c r="N28" i="19"/>
  <c r="O28" i="19"/>
  <c r="N27" i="19" s="1"/>
  <c r="F63" i="19"/>
  <c r="E64" i="19"/>
  <c r="M87" i="19"/>
  <c r="O87" i="19" s="1"/>
  <c r="M41" i="19"/>
  <c r="N29" i="19"/>
  <c r="H44" i="19"/>
  <c r="J89" i="19"/>
  <c r="L88" i="19"/>
  <c r="L81" i="19"/>
  <c r="M54" i="19"/>
  <c r="N25" i="19"/>
  <c r="M71" i="19"/>
  <c r="I88" i="19"/>
  <c r="F88" i="19"/>
  <c r="K82" i="19"/>
  <c r="J83" i="19"/>
  <c r="N23" i="19"/>
  <c r="I55" i="19"/>
  <c r="H56" i="19"/>
  <c r="L55" i="19"/>
  <c r="M61" i="19"/>
  <c r="K88" i="19"/>
  <c r="M88" i="19" s="1"/>
  <c r="M31" i="19"/>
  <c r="M32" i="19" s="1"/>
  <c r="I72" i="19"/>
  <c r="I89" i="19" s="1"/>
  <c r="H73" i="19"/>
  <c r="L72" i="19"/>
  <c r="L92" i="18"/>
  <c r="D87" i="18"/>
  <c r="E86" i="18"/>
  <c r="N82" i="18"/>
  <c r="E43" i="18"/>
  <c r="L75" i="18"/>
  <c r="N75" i="18" s="1"/>
  <c r="K76" i="18"/>
  <c r="M75" i="18"/>
  <c r="G88" i="18"/>
  <c r="H87" i="18"/>
  <c r="G56" i="18"/>
  <c r="H55" i="18"/>
  <c r="N62" i="18"/>
  <c r="N52" i="18"/>
  <c r="G77" i="18"/>
  <c r="H76" i="18"/>
  <c r="M76" i="18"/>
  <c r="J94" i="18"/>
  <c r="L12" i="18"/>
  <c r="L36" i="18" s="1"/>
  <c r="O36" i="18" s="1"/>
  <c r="K36" i="18"/>
  <c r="M36" i="18" s="1"/>
  <c r="N36" i="18" s="1"/>
  <c r="E38" i="18"/>
  <c r="I87" i="18"/>
  <c r="J86" i="18"/>
  <c r="I78" i="18"/>
  <c r="J77" i="18"/>
  <c r="E78" i="18"/>
  <c r="D79" i="18"/>
  <c r="J92" i="18"/>
  <c r="K54" i="18"/>
  <c r="L54" i="18" s="1"/>
  <c r="L53" i="18"/>
  <c r="M65" i="18"/>
  <c r="D66" i="18"/>
  <c r="D96" i="18" s="1"/>
  <c r="E65" i="18"/>
  <c r="O10" i="18"/>
  <c r="M26" i="18"/>
  <c r="I94" i="18"/>
  <c r="H64" i="18"/>
  <c r="N64" i="18" s="1"/>
  <c r="M64" i="18"/>
  <c r="K66" i="18"/>
  <c r="L65" i="18"/>
  <c r="N55" i="18"/>
  <c r="E92" i="18"/>
  <c r="K56" i="18"/>
  <c r="L55" i="18"/>
  <c r="K43" i="18"/>
  <c r="M39" i="18"/>
  <c r="M55" i="18"/>
  <c r="L84" i="18"/>
  <c r="N84" i="18" s="1"/>
  <c r="K85" i="18"/>
  <c r="E45" i="18"/>
  <c r="L19" i="18"/>
  <c r="L39" i="18"/>
  <c r="O15" i="18"/>
  <c r="O19" i="18" s="1"/>
  <c r="G66" i="18"/>
  <c r="H65" i="18"/>
  <c r="H95" i="18" s="1"/>
  <c r="G95" i="18"/>
  <c r="I66" i="18"/>
  <c r="I96" i="18" s="1"/>
  <c r="J65" i="18"/>
  <c r="J95" i="18" s="1"/>
  <c r="K93" i="18"/>
  <c r="K103" i="18" s="1"/>
  <c r="K74" i="18"/>
  <c r="L73" i="18"/>
  <c r="M73" i="18"/>
  <c r="G54" i="18"/>
  <c r="H53" i="18"/>
  <c r="M53" i="18"/>
  <c r="G93" i="18"/>
  <c r="K38" i="18"/>
  <c r="M34" i="18"/>
  <c r="D103" i="18"/>
  <c r="M92" i="18"/>
  <c r="N10" i="18"/>
  <c r="H92" i="18"/>
  <c r="M19" i="18"/>
  <c r="N15" i="18"/>
  <c r="N19" i="18" s="1"/>
  <c r="L37" i="18"/>
  <c r="O37" i="18" s="1"/>
  <c r="O25" i="18"/>
  <c r="O26" i="18" s="1"/>
  <c r="O32" i="18" s="1"/>
  <c r="E95" i="18"/>
  <c r="L26" i="18"/>
  <c r="L32" i="18" s="1"/>
  <c r="M12" i="18"/>
  <c r="N12" i="18" s="1"/>
  <c r="D57" i="18"/>
  <c r="E56" i="18"/>
  <c r="M56" i="18"/>
  <c r="O38" i="18" l="1"/>
  <c r="M43" i="19"/>
  <c r="M44" i="19" s="1"/>
  <c r="M46" i="19" s="1"/>
  <c r="J56" i="18"/>
  <c r="I57" i="18"/>
  <c r="I56" i="19"/>
  <c r="H57" i="19"/>
  <c r="L56" i="19"/>
  <c r="K83" i="19"/>
  <c r="J84" i="19"/>
  <c r="K63" i="19"/>
  <c r="L63" i="19"/>
  <c r="J64" i="19"/>
  <c r="F82" i="19"/>
  <c r="E83" i="19"/>
  <c r="I73" i="19"/>
  <c r="M73" i="19" s="1"/>
  <c r="H74" i="19"/>
  <c r="L73" i="19"/>
  <c r="I90" i="19"/>
  <c r="M55" i="19"/>
  <c r="L82" i="19"/>
  <c r="F64" i="19"/>
  <c r="E65" i="19"/>
  <c r="F65" i="19" s="1"/>
  <c r="M81" i="19"/>
  <c r="M72" i="19"/>
  <c r="J90" i="19"/>
  <c r="L89" i="19"/>
  <c r="N89" i="19" s="1"/>
  <c r="M62" i="19"/>
  <c r="K89" i="19"/>
  <c r="F90" i="19"/>
  <c r="F89" i="19"/>
  <c r="E57" i="19"/>
  <c r="F57" i="19" s="1"/>
  <c r="F56" i="19"/>
  <c r="M54" i="18"/>
  <c r="H54" i="18"/>
  <c r="G94" i="18"/>
  <c r="L74" i="18"/>
  <c r="N74" i="18" s="1"/>
  <c r="M74" i="18"/>
  <c r="H66" i="18"/>
  <c r="G67" i="18"/>
  <c r="O92" i="18"/>
  <c r="G103" i="18"/>
  <c r="M93" i="18"/>
  <c r="M102" i="18" s="1"/>
  <c r="K94" i="18"/>
  <c r="G96" i="18"/>
  <c r="N14" i="18"/>
  <c r="N20" i="18" s="1"/>
  <c r="D105" i="18"/>
  <c r="M105" i="18" s="1"/>
  <c r="M103" i="18"/>
  <c r="L43" i="18"/>
  <c r="O39" i="18"/>
  <c r="O43" i="18" s="1"/>
  <c r="O44" i="18" s="1"/>
  <c r="K95" i="18"/>
  <c r="M95" i="18" s="1"/>
  <c r="K86" i="18"/>
  <c r="L85" i="18"/>
  <c r="M85" i="18"/>
  <c r="L38" i="18"/>
  <c r="O12" i="18"/>
  <c r="O14" i="18" s="1"/>
  <c r="O20" i="18" s="1"/>
  <c r="L14" i="18"/>
  <c r="L20" i="18" s="1"/>
  <c r="L45" i="18" s="1"/>
  <c r="O45" i="18" s="1"/>
  <c r="J87" i="18"/>
  <c r="I88" i="18"/>
  <c r="H56" i="18"/>
  <c r="N56" i="18" s="1"/>
  <c r="G57" i="18"/>
  <c r="E44" i="18"/>
  <c r="N92" i="18"/>
  <c r="K67" i="18"/>
  <c r="L66" i="18"/>
  <c r="D67" i="18"/>
  <c r="E66" i="18"/>
  <c r="E96" i="18" s="1"/>
  <c r="M66" i="18"/>
  <c r="E79" i="18"/>
  <c r="H88" i="18"/>
  <c r="G89" i="18"/>
  <c r="D58" i="18"/>
  <c r="E57" i="18"/>
  <c r="M14" i="18"/>
  <c r="M38" i="18"/>
  <c r="N34" i="18"/>
  <c r="N38" i="18" s="1"/>
  <c r="N53" i="18"/>
  <c r="O93" i="18" s="1"/>
  <c r="H93" i="18"/>
  <c r="N93" i="18" s="1"/>
  <c r="L93" i="18"/>
  <c r="N73" i="18"/>
  <c r="I67" i="18"/>
  <c r="J66" i="18"/>
  <c r="J96" i="18" s="1"/>
  <c r="M43" i="18"/>
  <c r="N39" i="18"/>
  <c r="N43" i="18" s="1"/>
  <c r="K57" i="18"/>
  <c r="L56" i="18"/>
  <c r="H94" i="18"/>
  <c r="N65" i="18"/>
  <c r="J78" i="18"/>
  <c r="I79" i="18"/>
  <c r="J79" i="18" s="1"/>
  <c r="H77" i="18"/>
  <c r="G78" i="18"/>
  <c r="K77" i="18"/>
  <c r="M77" i="18" s="1"/>
  <c r="L76" i="18"/>
  <c r="N76" i="18" s="1"/>
  <c r="D97" i="18"/>
  <c r="E87" i="18"/>
  <c r="D88" i="18"/>
  <c r="I58" i="18" l="1"/>
  <c r="J57" i="18"/>
  <c r="M94" i="18"/>
  <c r="M104" i="18" s="1"/>
  <c r="N94" i="18"/>
  <c r="L94" i="18"/>
  <c r="M57" i="18"/>
  <c r="F66" i="19"/>
  <c r="F83" i="19"/>
  <c r="F91" i="19" s="1"/>
  <c r="E84" i="19"/>
  <c r="F84" i="19" s="1"/>
  <c r="F92" i="19" s="1"/>
  <c r="M63" i="19"/>
  <c r="K90" i="19"/>
  <c r="M83" i="19"/>
  <c r="J91" i="19"/>
  <c r="L90" i="19"/>
  <c r="N90" i="19" s="1"/>
  <c r="F58" i="19"/>
  <c r="M89" i="19"/>
  <c r="M82" i="19"/>
  <c r="I74" i="19"/>
  <c r="H75" i="19"/>
  <c r="L74" i="19"/>
  <c r="K64" i="19"/>
  <c r="L64" i="19"/>
  <c r="J65" i="19"/>
  <c r="K84" i="19"/>
  <c r="I57" i="19"/>
  <c r="L57" i="19"/>
  <c r="L83" i="19"/>
  <c r="M56" i="19"/>
  <c r="H89" i="18"/>
  <c r="G68" i="18"/>
  <c r="H67" i="18"/>
  <c r="G97" i="18"/>
  <c r="D89" i="18"/>
  <c r="E88" i="18"/>
  <c r="I68" i="18"/>
  <c r="I98" i="18" s="1"/>
  <c r="J67" i="18"/>
  <c r="H90" i="18"/>
  <c r="I97" i="18"/>
  <c r="H96" i="18"/>
  <c r="G79" i="18"/>
  <c r="H78" i="18"/>
  <c r="M67" i="18"/>
  <c r="D68" i="18"/>
  <c r="E67" i="18"/>
  <c r="G58" i="18"/>
  <c r="H57" i="18"/>
  <c r="N57" i="18" s="1"/>
  <c r="L95" i="18"/>
  <c r="N85" i="18"/>
  <c r="L44" i="18"/>
  <c r="K68" i="18"/>
  <c r="L67" i="18"/>
  <c r="J97" i="18"/>
  <c r="J80" i="18"/>
  <c r="N66" i="18"/>
  <c r="N54" i="18"/>
  <c r="O94" i="18" s="1"/>
  <c r="L77" i="18"/>
  <c r="N77" i="18" s="1"/>
  <c r="K78" i="18"/>
  <c r="K58" i="18"/>
  <c r="L57" i="18"/>
  <c r="D59" i="18"/>
  <c r="E58" i="18"/>
  <c r="E80" i="18"/>
  <c r="I89" i="18"/>
  <c r="J88" i="18"/>
  <c r="L86" i="18"/>
  <c r="K96" i="18"/>
  <c r="M96" i="18" s="1"/>
  <c r="K87" i="18"/>
  <c r="M86" i="18"/>
  <c r="H97" i="18" l="1"/>
  <c r="M58" i="18"/>
  <c r="N67" i="18"/>
  <c r="F93" i="19"/>
  <c r="I59" i="18"/>
  <c r="J59" i="18" s="1"/>
  <c r="J58" i="18"/>
  <c r="J60" i="18" s="1"/>
  <c r="M57" i="19"/>
  <c r="M58" i="19" s="1"/>
  <c r="I58" i="19"/>
  <c r="M74" i="19"/>
  <c r="F85" i="19"/>
  <c r="L84" i="19"/>
  <c r="M64" i="19"/>
  <c r="K91" i="19"/>
  <c r="M84" i="19"/>
  <c r="M85" i="19" s="1"/>
  <c r="K85" i="19"/>
  <c r="O90" i="19"/>
  <c r="M90" i="19"/>
  <c r="O89" i="19"/>
  <c r="I91" i="19"/>
  <c r="K65" i="19"/>
  <c r="L65" i="19"/>
  <c r="I75" i="19"/>
  <c r="M75" i="19" s="1"/>
  <c r="M76" i="19" s="1"/>
  <c r="L75" i="19"/>
  <c r="L91" i="19"/>
  <c r="N91" i="19" s="1"/>
  <c r="J92" i="19"/>
  <c r="L92" i="19" s="1"/>
  <c r="K88" i="18"/>
  <c r="L87" i="18"/>
  <c r="K97" i="18"/>
  <c r="M97" i="18" s="1"/>
  <c r="M87" i="18"/>
  <c r="K79" i="18"/>
  <c r="L79" i="18" s="1"/>
  <c r="L78" i="18"/>
  <c r="N78" i="18" s="1"/>
  <c r="L96" i="18"/>
  <c r="N96" i="18" s="1"/>
  <c r="N86" i="18"/>
  <c r="K59" i="18"/>
  <c r="L59" i="18" s="1"/>
  <c r="L60" i="18" s="1"/>
  <c r="L58" i="18"/>
  <c r="N58" i="18" s="1"/>
  <c r="N95" i="18"/>
  <c r="D69" i="18"/>
  <c r="E68" i="18"/>
  <c r="E98" i="18" s="1"/>
  <c r="M68" i="18"/>
  <c r="E89" i="18"/>
  <c r="E90" i="18" s="1"/>
  <c r="D99" i="18"/>
  <c r="G69" i="18"/>
  <c r="H69" i="18" s="1"/>
  <c r="H70" i="18" s="1"/>
  <c r="H68" i="18"/>
  <c r="H98" i="18" s="1"/>
  <c r="J89" i="18"/>
  <c r="E59" i="18"/>
  <c r="K69" i="18"/>
  <c r="L69" i="18" s="1"/>
  <c r="L68" i="18"/>
  <c r="L70" i="18" s="1"/>
  <c r="G59" i="18"/>
  <c r="H59" i="18" s="1"/>
  <c r="H58" i="18"/>
  <c r="G98" i="18"/>
  <c r="H79" i="18"/>
  <c r="J98" i="18"/>
  <c r="E97" i="18"/>
  <c r="M78" i="18"/>
  <c r="I69" i="18"/>
  <c r="J69" i="18" s="1"/>
  <c r="J68" i="18"/>
  <c r="D98" i="18"/>
  <c r="O95" i="18"/>
  <c r="M91" i="19" l="1"/>
  <c r="I76" i="19"/>
  <c r="I92" i="19"/>
  <c r="I93" i="19" s="1"/>
  <c r="O91" i="19"/>
  <c r="M65" i="19"/>
  <c r="M66" i="19" s="1"/>
  <c r="K92" i="19"/>
  <c r="K66" i="19"/>
  <c r="M59" i="18"/>
  <c r="I99" i="18"/>
  <c r="L80" i="18"/>
  <c r="L88" i="18"/>
  <c r="K98" i="18"/>
  <c r="M98" i="18" s="1"/>
  <c r="K89" i="18"/>
  <c r="M88" i="18"/>
  <c r="O96" i="18"/>
  <c r="J99" i="18"/>
  <c r="J100" i="18" s="1"/>
  <c r="J90" i="18"/>
  <c r="N68" i="18"/>
  <c r="H80" i="18"/>
  <c r="N79" i="18"/>
  <c r="N80" i="18" s="1"/>
  <c r="L97" i="18"/>
  <c r="N87" i="18"/>
  <c r="O97" i="18" s="1"/>
  <c r="J70" i="18"/>
  <c r="M79" i="18"/>
  <c r="H60" i="18"/>
  <c r="N59" i="18"/>
  <c r="N60" i="18" s="1"/>
  <c r="E99" i="18"/>
  <c r="E100" i="18" s="1"/>
  <c r="M69" i="18"/>
  <c r="E69" i="18"/>
  <c r="H99" i="18"/>
  <c r="H100" i="18" s="1"/>
  <c r="E60" i="18"/>
  <c r="G99" i="18"/>
  <c r="M92" i="19" l="1"/>
  <c r="M93" i="19" s="1"/>
  <c r="K93" i="19"/>
  <c r="M94" i="19" s="1"/>
  <c r="N94" i="19" s="1"/>
  <c r="J101" i="18"/>
  <c r="H101" i="18"/>
  <c r="K99" i="18"/>
  <c r="M99" i="18" s="1"/>
  <c r="L89" i="18"/>
  <c r="L90" i="18" s="1"/>
  <c r="L101" i="18" s="1"/>
  <c r="M89" i="18"/>
  <c r="M90" i="18" s="1"/>
  <c r="L98" i="18"/>
  <c r="N98" i="18" s="1"/>
  <c r="N88" i="18"/>
  <c r="O98" i="18" s="1"/>
  <c r="N69" i="18"/>
  <c r="N70" i="18" s="1"/>
  <c r="E70" i="18"/>
  <c r="E101" i="18" s="1"/>
  <c r="N97" i="18"/>
  <c r="L99" i="18" l="1"/>
  <c r="N89" i="18"/>
  <c r="N90" i="18" l="1"/>
  <c r="N101" i="18" s="1"/>
  <c r="O99" i="18"/>
  <c r="O100" i="18" s="1"/>
  <c r="N99" i="18"/>
  <c r="N100" i="18" s="1"/>
  <c r="L100" i="18"/>
  <c r="F90" i="17" l="1"/>
  <c r="C90" i="17"/>
  <c r="G85" i="17"/>
  <c r="H85" i="17" s="1"/>
  <c r="M83" i="17"/>
  <c r="L83" i="17"/>
  <c r="J83" i="17"/>
  <c r="H83" i="17"/>
  <c r="E83" i="17"/>
  <c r="I82" i="17"/>
  <c r="I84" i="17" s="1"/>
  <c r="G82" i="17"/>
  <c r="D82" i="17"/>
  <c r="D85" i="17" s="1"/>
  <c r="D86" i="17" s="1"/>
  <c r="F80" i="17"/>
  <c r="C80" i="17"/>
  <c r="G73" i="17"/>
  <c r="I72" i="17"/>
  <c r="H72" i="17"/>
  <c r="G72" i="17"/>
  <c r="G75" i="17" s="1"/>
  <c r="D72" i="17"/>
  <c r="F70" i="17"/>
  <c r="C70" i="17"/>
  <c r="M63" i="17"/>
  <c r="L63" i="17"/>
  <c r="J63" i="17"/>
  <c r="H63" i="17"/>
  <c r="E63" i="17"/>
  <c r="F60" i="17"/>
  <c r="C60" i="17"/>
  <c r="I42" i="17"/>
  <c r="G42" i="17"/>
  <c r="F42" i="17"/>
  <c r="C42" i="17"/>
  <c r="I41" i="17"/>
  <c r="G41" i="17"/>
  <c r="F41" i="17"/>
  <c r="C41" i="17"/>
  <c r="I40" i="17"/>
  <c r="G40" i="17"/>
  <c r="F40" i="17"/>
  <c r="C40" i="17"/>
  <c r="I39" i="17"/>
  <c r="G39" i="17"/>
  <c r="G43" i="17" s="1"/>
  <c r="F39" i="17"/>
  <c r="C39" i="17"/>
  <c r="F37" i="17"/>
  <c r="C37" i="17"/>
  <c r="F36" i="17"/>
  <c r="C36" i="17"/>
  <c r="I35" i="17"/>
  <c r="C35" i="17"/>
  <c r="I34" i="17"/>
  <c r="G34" i="17"/>
  <c r="C34" i="17"/>
  <c r="I31" i="17"/>
  <c r="G31" i="17"/>
  <c r="D31" i="17"/>
  <c r="J30" i="17"/>
  <c r="H30" i="17"/>
  <c r="E30" i="17"/>
  <c r="J29" i="17"/>
  <c r="H29" i="17"/>
  <c r="E29" i="17"/>
  <c r="J28" i="17"/>
  <c r="H28" i="17"/>
  <c r="E28" i="17"/>
  <c r="J27" i="17"/>
  <c r="H27" i="17"/>
  <c r="E27" i="17"/>
  <c r="I26" i="17"/>
  <c r="D26" i="17"/>
  <c r="I37" i="17"/>
  <c r="H25" i="17"/>
  <c r="H37" i="17" s="1"/>
  <c r="G25" i="17"/>
  <c r="G37" i="17" s="1"/>
  <c r="E25" i="17"/>
  <c r="G24" i="17"/>
  <c r="G23" i="17"/>
  <c r="G35" i="17" s="1"/>
  <c r="F23" i="17"/>
  <c r="F35" i="17" s="1"/>
  <c r="E23" i="17"/>
  <c r="I52" i="17"/>
  <c r="J52" i="17" s="1"/>
  <c r="G22" i="17"/>
  <c r="F22" i="17"/>
  <c r="F34" i="17" s="1"/>
  <c r="E22" i="17"/>
  <c r="I19" i="17"/>
  <c r="G19" i="17"/>
  <c r="J18" i="17"/>
  <c r="H18" i="17"/>
  <c r="D18" i="17"/>
  <c r="E18" i="17" s="1"/>
  <c r="J17" i="17"/>
  <c r="H17" i="17"/>
  <c r="D17" i="17"/>
  <c r="E17" i="17" s="1"/>
  <c r="J16" i="17"/>
  <c r="H16" i="17"/>
  <c r="D16" i="17"/>
  <c r="D40" i="17" s="1"/>
  <c r="J15" i="17"/>
  <c r="H15" i="17"/>
  <c r="H19" i="17" s="1"/>
  <c r="H20" i="17" s="1"/>
  <c r="D15" i="17"/>
  <c r="D39" i="17" s="1"/>
  <c r="I14" i="17"/>
  <c r="G14" i="17"/>
  <c r="J13" i="17"/>
  <c r="H13" i="17"/>
  <c r="J12" i="17"/>
  <c r="H12" i="17"/>
  <c r="D12" i="17"/>
  <c r="K12" i="17" s="1"/>
  <c r="J11" i="17"/>
  <c r="H11" i="17"/>
  <c r="D11" i="17"/>
  <c r="K11" i="17" s="1"/>
  <c r="L11" i="17" s="1"/>
  <c r="J10" i="17"/>
  <c r="J14" i="17" s="1"/>
  <c r="H10" i="17"/>
  <c r="H14" i="17" s="1"/>
  <c r="D10" i="17"/>
  <c r="E10" i="17" s="1"/>
  <c r="E11" i="17" l="1"/>
  <c r="K16" i="17"/>
  <c r="H42" i="17"/>
  <c r="N63" i="17"/>
  <c r="D36" i="17"/>
  <c r="J23" i="17"/>
  <c r="J35" i="17" s="1"/>
  <c r="H41" i="17"/>
  <c r="D35" i="17"/>
  <c r="D42" i="17"/>
  <c r="I53" i="17"/>
  <c r="I54" i="17" s="1"/>
  <c r="J54" i="17" s="1"/>
  <c r="E31" i="17"/>
  <c r="E12" i="17"/>
  <c r="P12" i="17" s="1"/>
  <c r="O11" i="17"/>
  <c r="G26" i="17"/>
  <c r="E35" i="17"/>
  <c r="D87" i="17"/>
  <c r="E86" i="17"/>
  <c r="Q12" i="17"/>
  <c r="M12" i="17"/>
  <c r="N12" i="17" s="1"/>
  <c r="L12" i="17"/>
  <c r="O12" i="17" s="1"/>
  <c r="P17" i="17"/>
  <c r="M24" i="17"/>
  <c r="N24" i="17" s="1"/>
  <c r="J39" i="17"/>
  <c r="J40" i="17"/>
  <c r="E41" i="17"/>
  <c r="M11" i="17"/>
  <c r="N11" i="17" s="1"/>
  <c r="Q11" i="17"/>
  <c r="G62" i="17"/>
  <c r="H24" i="17"/>
  <c r="H36" i="17" s="1"/>
  <c r="G36" i="17"/>
  <c r="G38" i="17" s="1"/>
  <c r="P11" i="17"/>
  <c r="J19" i="17"/>
  <c r="J20" i="17" s="1"/>
  <c r="H39" i="17"/>
  <c r="H31" i="17"/>
  <c r="H40" i="17"/>
  <c r="P10" i="17"/>
  <c r="K40" i="17"/>
  <c r="M40" i="17" s="1"/>
  <c r="N40" i="17" s="1"/>
  <c r="L28" i="17"/>
  <c r="P18" i="17"/>
  <c r="E34" i="17"/>
  <c r="J22" i="17"/>
  <c r="M28" i="17"/>
  <c r="N28" i="17" s="1"/>
  <c r="I43" i="17"/>
  <c r="H73" i="17"/>
  <c r="G74" i="17"/>
  <c r="H74" i="17" s="1"/>
  <c r="J84" i="17"/>
  <c r="K15" i="17"/>
  <c r="M15" i="17" s="1"/>
  <c r="K17" i="17"/>
  <c r="E42" i="17"/>
  <c r="I62" i="17"/>
  <c r="I92" i="17" s="1"/>
  <c r="L16" i="17"/>
  <c r="K10" i="17"/>
  <c r="D13" i="17"/>
  <c r="D37" i="17" s="1"/>
  <c r="M16" i="17"/>
  <c r="N16" i="17" s="1"/>
  <c r="Q16" i="17"/>
  <c r="M17" i="17"/>
  <c r="N17" i="17" s="1"/>
  <c r="E24" i="17"/>
  <c r="J24" i="17"/>
  <c r="J36" i="17" s="1"/>
  <c r="J42" i="17"/>
  <c r="J31" i="17"/>
  <c r="I36" i="17"/>
  <c r="D41" i="17"/>
  <c r="D43" i="17" s="1"/>
  <c r="G52" i="17"/>
  <c r="I55" i="17"/>
  <c r="D62" i="17"/>
  <c r="E72" i="17"/>
  <c r="D75" i="17"/>
  <c r="D73" i="17"/>
  <c r="N83" i="17"/>
  <c r="K18" i="17"/>
  <c r="D19" i="17"/>
  <c r="J41" i="17"/>
  <c r="I38" i="17"/>
  <c r="I85" i="17"/>
  <c r="J82" i="17"/>
  <c r="E15" i="17"/>
  <c r="E39" i="17" s="1"/>
  <c r="E16" i="17"/>
  <c r="E40" i="17" s="1"/>
  <c r="D52" i="17"/>
  <c r="D34" i="17"/>
  <c r="H22" i="17"/>
  <c r="H23" i="17"/>
  <c r="H35" i="17" s="1"/>
  <c r="J25" i="17"/>
  <c r="J37" i="17" s="1"/>
  <c r="J53" i="17"/>
  <c r="J72" i="17"/>
  <c r="I75" i="17"/>
  <c r="I73" i="17"/>
  <c r="G86" i="17"/>
  <c r="E82" i="17"/>
  <c r="H75" i="17"/>
  <c r="G76" i="17"/>
  <c r="E85" i="17"/>
  <c r="D84" i="17"/>
  <c r="H82" i="17"/>
  <c r="G84" i="17"/>
  <c r="L40" i="17" l="1"/>
  <c r="O40" i="17" s="1"/>
  <c r="H43" i="17"/>
  <c r="O28" i="17"/>
  <c r="R12" i="17"/>
  <c r="R11" i="17"/>
  <c r="E43" i="17"/>
  <c r="H34" i="17"/>
  <c r="H38" i="17" s="1"/>
  <c r="H44" i="17" s="1"/>
  <c r="H26" i="17"/>
  <c r="H32" i="17" s="1"/>
  <c r="H45" i="17" s="1"/>
  <c r="G55" i="17"/>
  <c r="G53" i="17"/>
  <c r="H52" i="17"/>
  <c r="H92" i="17" s="1"/>
  <c r="Q10" i="17"/>
  <c r="M10" i="17"/>
  <c r="L10" i="17"/>
  <c r="I74" i="17"/>
  <c r="I93" i="17"/>
  <c r="I103" i="17" s="1"/>
  <c r="J73" i="17"/>
  <c r="J93" i="17" s="1"/>
  <c r="E52" i="17"/>
  <c r="D55" i="17"/>
  <c r="D53" i="17"/>
  <c r="E62" i="17"/>
  <c r="D92" i="17"/>
  <c r="D64" i="17"/>
  <c r="D65" i="17"/>
  <c r="Q17" i="17"/>
  <c r="R17" i="17" s="1"/>
  <c r="L17" i="17"/>
  <c r="O17" i="17" s="1"/>
  <c r="G65" i="17"/>
  <c r="G64" i="17"/>
  <c r="H64" i="17" s="1"/>
  <c r="H62" i="17"/>
  <c r="J43" i="17"/>
  <c r="J44" i="17" s="1"/>
  <c r="G92" i="17"/>
  <c r="E19" i="17"/>
  <c r="P15" i="17"/>
  <c r="D76" i="17"/>
  <c r="E75" i="17"/>
  <c r="E36" i="17"/>
  <c r="K13" i="17"/>
  <c r="K14" i="17" s="1"/>
  <c r="M13" i="17"/>
  <c r="N13" i="17" s="1"/>
  <c r="E13" i="17"/>
  <c r="K35" i="17"/>
  <c r="M35" i="17" s="1"/>
  <c r="N35" i="17" s="1"/>
  <c r="L23" i="17"/>
  <c r="L35" i="17" s="1"/>
  <c r="O35" i="17" s="1"/>
  <c r="H84" i="17"/>
  <c r="D38" i="17"/>
  <c r="E26" i="17"/>
  <c r="E32" i="17" s="1"/>
  <c r="D14" i="17"/>
  <c r="E87" i="17"/>
  <c r="D88" i="17"/>
  <c r="E84" i="17"/>
  <c r="H76" i="17"/>
  <c r="G77" i="17"/>
  <c r="H86" i="17"/>
  <c r="G87" i="17"/>
  <c r="J75" i="17"/>
  <c r="I76" i="17"/>
  <c r="P16" i="17"/>
  <c r="R16" i="17" s="1"/>
  <c r="O16" i="17"/>
  <c r="J85" i="17"/>
  <c r="I86" i="17"/>
  <c r="L18" i="17"/>
  <c r="O18" i="17" s="1"/>
  <c r="Q18" i="17"/>
  <c r="R18" i="17" s="1"/>
  <c r="D93" i="17"/>
  <c r="E73" i="17"/>
  <c r="D74" i="17"/>
  <c r="I56" i="17"/>
  <c r="J55" i="17"/>
  <c r="J32" i="17"/>
  <c r="J45" i="17" s="1"/>
  <c r="M18" i="17"/>
  <c r="N18" i="17" s="1"/>
  <c r="N15" i="17"/>
  <c r="J62" i="17"/>
  <c r="I65" i="17"/>
  <c r="I95" i="17" s="1"/>
  <c r="I64" i="17"/>
  <c r="J64" i="17" s="1"/>
  <c r="L15" i="17"/>
  <c r="O15" i="17" s="1"/>
  <c r="K19" i="17"/>
  <c r="Q15" i="17"/>
  <c r="J34" i="17"/>
  <c r="J38" i="17" s="1"/>
  <c r="J26" i="17"/>
  <c r="L24" i="17"/>
  <c r="L36" i="17" s="1"/>
  <c r="K36" i="17"/>
  <c r="M36" i="17" s="1"/>
  <c r="N36" i="17" s="1"/>
  <c r="M23" i="17"/>
  <c r="N23" i="17" s="1"/>
  <c r="N19" i="17" l="1"/>
  <c r="H77" i="17"/>
  <c r="G78" i="17"/>
  <c r="O19" i="17"/>
  <c r="O23" i="17"/>
  <c r="D103" i="17"/>
  <c r="M30" i="17"/>
  <c r="N30" i="17" s="1"/>
  <c r="K42" i="17"/>
  <c r="M42" i="17" s="1"/>
  <c r="N42" i="17" s="1"/>
  <c r="L30" i="17"/>
  <c r="Q13" i="17"/>
  <c r="L13" i="17"/>
  <c r="O13" i="17" s="1"/>
  <c r="M19" i="17"/>
  <c r="J56" i="17"/>
  <c r="I57" i="17"/>
  <c r="D89" i="17"/>
  <c r="E88" i="17"/>
  <c r="O24" i="17"/>
  <c r="D56" i="17"/>
  <c r="E55" i="17"/>
  <c r="E92" i="17"/>
  <c r="O10" i="17"/>
  <c r="R10" i="17"/>
  <c r="H53" i="17"/>
  <c r="H93" i="17" s="1"/>
  <c r="G54" i="17"/>
  <c r="G93" i="17"/>
  <c r="G103" i="17" s="1"/>
  <c r="K72" i="17"/>
  <c r="K39" i="17"/>
  <c r="L27" i="17"/>
  <c r="M27" i="17"/>
  <c r="K31" i="17"/>
  <c r="K82" i="17"/>
  <c r="K41" i="17"/>
  <c r="M41" i="17" s="1"/>
  <c r="N41" i="17" s="1"/>
  <c r="L29" i="17"/>
  <c r="M29" i="17"/>
  <c r="N29" i="17" s="1"/>
  <c r="E64" i="17"/>
  <c r="Q19" i="17"/>
  <c r="R15" i="17"/>
  <c r="R19" i="17" s="1"/>
  <c r="G88" i="17"/>
  <c r="H87" i="17"/>
  <c r="E76" i="17"/>
  <c r="D77" i="17"/>
  <c r="D54" i="17"/>
  <c r="D94" i="17" s="1"/>
  <c r="E53" i="17"/>
  <c r="E93" i="17" s="1"/>
  <c r="K26" i="17"/>
  <c r="L22" i="17"/>
  <c r="K34" i="17"/>
  <c r="K52" i="17"/>
  <c r="M22" i="17"/>
  <c r="L19" i="17"/>
  <c r="I66" i="17"/>
  <c r="J65" i="17"/>
  <c r="E74" i="17"/>
  <c r="I87" i="17"/>
  <c r="I96" i="17"/>
  <c r="J86" i="17"/>
  <c r="J76" i="17"/>
  <c r="I77" i="17"/>
  <c r="P13" i="17"/>
  <c r="P14" i="17" s="1"/>
  <c r="E37" i="17"/>
  <c r="E14" i="17"/>
  <c r="E20" i="17" s="1"/>
  <c r="E45" i="17" s="1"/>
  <c r="O36" i="17"/>
  <c r="P19" i="17"/>
  <c r="H65" i="17"/>
  <c r="H95" i="17" s="1"/>
  <c r="G66" i="17"/>
  <c r="G95" i="17"/>
  <c r="E65" i="17"/>
  <c r="D66" i="17"/>
  <c r="J92" i="17"/>
  <c r="J74" i="17"/>
  <c r="J94" i="17" s="1"/>
  <c r="I94" i="17"/>
  <c r="M14" i="17"/>
  <c r="N10" i="17"/>
  <c r="N14" i="17" s="1"/>
  <c r="N20" i="17" s="1"/>
  <c r="H55" i="17"/>
  <c r="G56" i="17"/>
  <c r="D95" i="17"/>
  <c r="E95" i="17" l="1"/>
  <c r="G67" i="17"/>
  <c r="H66" i="17"/>
  <c r="G96" i="17"/>
  <c r="L34" i="17"/>
  <c r="O22" i="17"/>
  <c r="J95" i="17"/>
  <c r="E89" i="17"/>
  <c r="E90" i="17" s="1"/>
  <c r="L42" i="17"/>
  <c r="O42" i="17" s="1"/>
  <c r="O30" i="17"/>
  <c r="E38" i="17"/>
  <c r="E44" i="17" s="1"/>
  <c r="I78" i="17"/>
  <c r="J77" i="17"/>
  <c r="N22" i="17"/>
  <c r="H88" i="17"/>
  <c r="G89" i="17"/>
  <c r="L39" i="17"/>
  <c r="L31" i="17"/>
  <c r="O27" i="17"/>
  <c r="H54" i="17"/>
  <c r="H94" i="17" s="1"/>
  <c r="G94" i="17"/>
  <c r="G57" i="17"/>
  <c r="H56" i="17"/>
  <c r="K55" i="17"/>
  <c r="K53" i="17"/>
  <c r="L52" i="17"/>
  <c r="M52" i="17"/>
  <c r="E77" i="17"/>
  <c r="D78" i="17"/>
  <c r="K84" i="17"/>
  <c r="L82" i="17"/>
  <c r="M82" i="17"/>
  <c r="K43" i="17"/>
  <c r="M39" i="17"/>
  <c r="L14" i="17"/>
  <c r="L20" i="17" s="1"/>
  <c r="E56" i="17"/>
  <c r="D57" i="17"/>
  <c r="I58" i="17"/>
  <c r="J57" i="17"/>
  <c r="R13" i="17"/>
  <c r="R14" i="17" s="1"/>
  <c r="R20" i="17" s="1"/>
  <c r="E66" i="17"/>
  <c r="D67" i="17"/>
  <c r="E54" i="17"/>
  <c r="D96" i="17"/>
  <c r="L41" i="17"/>
  <c r="O41" i="17" s="1"/>
  <c r="O29" i="17"/>
  <c r="M31" i="17"/>
  <c r="N27" i="17"/>
  <c r="N31" i="17" s="1"/>
  <c r="J87" i="17"/>
  <c r="I88" i="17"/>
  <c r="J66" i="17"/>
  <c r="I67" i="17"/>
  <c r="O14" i="17"/>
  <c r="O20" i="17" s="1"/>
  <c r="G79" i="17"/>
  <c r="H79" i="17" s="1"/>
  <c r="H80" i="17" s="1"/>
  <c r="H78" i="17"/>
  <c r="J96" i="17"/>
  <c r="M34" i="17"/>
  <c r="K73" i="17"/>
  <c r="K75" i="17"/>
  <c r="L72" i="17"/>
  <c r="M72" i="17"/>
  <c r="Q14" i="17"/>
  <c r="K37" i="17"/>
  <c r="M37" i="17" s="1"/>
  <c r="N37" i="17" s="1"/>
  <c r="L25" i="17"/>
  <c r="M25" i="17"/>
  <c r="N25" i="17" s="1"/>
  <c r="K62" i="17"/>
  <c r="N26" i="17" l="1"/>
  <c r="N32" i="17" s="1"/>
  <c r="M26" i="17"/>
  <c r="D97" i="17"/>
  <c r="L37" i="17"/>
  <c r="O37" i="17" s="1"/>
  <c r="O25" i="17"/>
  <c r="L75" i="17"/>
  <c r="N75" i="17" s="1"/>
  <c r="K76" i="17"/>
  <c r="M75" i="17"/>
  <c r="J58" i="17"/>
  <c r="I59" i="17"/>
  <c r="J59" i="17" s="1"/>
  <c r="N82" i="17"/>
  <c r="L53" i="17"/>
  <c r="N53" i="17" s="1"/>
  <c r="K54" i="17"/>
  <c r="M53" i="17"/>
  <c r="L43" i="17"/>
  <c r="O39" i="17"/>
  <c r="O43" i="17" s="1"/>
  <c r="J78" i="17"/>
  <c r="I79" i="17"/>
  <c r="J79" i="17" s="1"/>
  <c r="K93" i="17"/>
  <c r="L73" i="17"/>
  <c r="K74" i="17"/>
  <c r="M73" i="17"/>
  <c r="M38" i="17"/>
  <c r="N34" i="17"/>
  <c r="N38" i="17" s="1"/>
  <c r="I89" i="17"/>
  <c r="J88" i="17"/>
  <c r="D58" i="17"/>
  <c r="E57" i="17"/>
  <c r="N39" i="17"/>
  <c r="N43" i="17" s="1"/>
  <c r="M43" i="17"/>
  <c r="L84" i="17"/>
  <c r="K85" i="17"/>
  <c r="M84" i="17"/>
  <c r="E78" i="17"/>
  <c r="D79" i="17"/>
  <c r="L55" i="17"/>
  <c r="N55" i="17" s="1"/>
  <c r="K56" i="17"/>
  <c r="M55" i="17"/>
  <c r="O26" i="17"/>
  <c r="H96" i="17"/>
  <c r="L62" i="17"/>
  <c r="L92" i="17" s="1"/>
  <c r="K65" i="17"/>
  <c r="K64" i="17"/>
  <c r="M62" i="17"/>
  <c r="K38" i="17"/>
  <c r="I68" i="17"/>
  <c r="J67" i="17"/>
  <c r="J97" i="17" s="1"/>
  <c r="I97" i="17"/>
  <c r="D68" i="17"/>
  <c r="E67" i="17"/>
  <c r="K92" i="17"/>
  <c r="M92" i="17" s="1"/>
  <c r="H57" i="17"/>
  <c r="G58" i="17"/>
  <c r="O31" i="17"/>
  <c r="H89" i="17"/>
  <c r="L26" i="17"/>
  <c r="L32" i="17" s="1"/>
  <c r="L45" i="17" s="1"/>
  <c r="O45" i="17" s="1"/>
  <c r="H67" i="17"/>
  <c r="G68" i="17"/>
  <c r="G97" i="17"/>
  <c r="N72" i="17"/>
  <c r="E96" i="17"/>
  <c r="E94" i="17"/>
  <c r="N52" i="17"/>
  <c r="O34" i="17"/>
  <c r="J60" i="17" l="1"/>
  <c r="L38" i="17"/>
  <c r="L44" i="17" s="1"/>
  <c r="O38" i="17"/>
  <c r="O44" i="17"/>
  <c r="G59" i="17"/>
  <c r="H59" i="17" s="1"/>
  <c r="H58" i="17"/>
  <c r="E68" i="17"/>
  <c r="D69" i="17"/>
  <c r="J68" i="17"/>
  <c r="I69" i="17"/>
  <c r="J69" i="17" s="1"/>
  <c r="J70" i="17" s="1"/>
  <c r="L64" i="17"/>
  <c r="N64" i="17" s="1"/>
  <c r="M64" i="17"/>
  <c r="K95" i="17"/>
  <c r="M95" i="17" s="1"/>
  <c r="K86" i="17"/>
  <c r="L85" i="17"/>
  <c r="M85" i="17"/>
  <c r="L93" i="17"/>
  <c r="N93" i="17" s="1"/>
  <c r="N73" i="17"/>
  <c r="O93" i="17" s="1"/>
  <c r="N92" i="17"/>
  <c r="K77" i="17"/>
  <c r="L76" i="17"/>
  <c r="N76" i="17" s="1"/>
  <c r="M76" i="17"/>
  <c r="G69" i="17"/>
  <c r="H68" i="17"/>
  <c r="H98" i="17" s="1"/>
  <c r="G98" i="17"/>
  <c r="H90" i="17"/>
  <c r="L65" i="17"/>
  <c r="N65" i="17" s="1"/>
  <c r="K66" i="17"/>
  <c r="M65" i="17"/>
  <c r="K57" i="17"/>
  <c r="L56" i="17"/>
  <c r="N56" i="17" s="1"/>
  <c r="M56" i="17"/>
  <c r="E79" i="17"/>
  <c r="N84" i="17"/>
  <c r="J98" i="17"/>
  <c r="K103" i="17"/>
  <c r="M103" i="17" s="1"/>
  <c r="M93" i="17"/>
  <c r="M102" i="17" s="1"/>
  <c r="H97" i="17"/>
  <c r="E97" i="17"/>
  <c r="N62" i="17"/>
  <c r="E80" i="17"/>
  <c r="K94" i="17"/>
  <c r="M94" i="17" s="1"/>
  <c r="M104" i="17" s="1"/>
  <c r="I98" i="17"/>
  <c r="O92" i="17"/>
  <c r="O32" i="17"/>
  <c r="P32" i="17" s="1"/>
  <c r="D98" i="17"/>
  <c r="E58" i="17"/>
  <c r="D59" i="17"/>
  <c r="J89" i="17"/>
  <c r="J99" i="17" s="1"/>
  <c r="L74" i="17"/>
  <c r="N74" i="17" s="1"/>
  <c r="M74" i="17"/>
  <c r="J80" i="17"/>
  <c r="L54" i="17"/>
  <c r="M54" i="17"/>
  <c r="J90" i="17" l="1"/>
  <c r="J101" i="17" s="1"/>
  <c r="I99" i="17"/>
  <c r="P93" i="17"/>
  <c r="E59" i="17"/>
  <c r="P92" i="17"/>
  <c r="H69" i="17"/>
  <c r="G99" i="17"/>
  <c r="E69" i="17"/>
  <c r="E70" i="17" s="1"/>
  <c r="L95" i="17"/>
  <c r="N95" i="17" s="1"/>
  <c r="N85" i="17"/>
  <c r="J100" i="17"/>
  <c r="D99" i="17"/>
  <c r="H60" i="17"/>
  <c r="L57" i="17"/>
  <c r="N57" i="17" s="1"/>
  <c r="K58" i="17"/>
  <c r="M57" i="17"/>
  <c r="E98" i="17"/>
  <c r="N54" i="17"/>
  <c r="L94" i="17"/>
  <c r="K67" i="17"/>
  <c r="L66" i="17"/>
  <c r="N66" i="17" s="1"/>
  <c r="M66" i="17"/>
  <c r="L77" i="17"/>
  <c r="N77" i="17" s="1"/>
  <c r="K78" i="17"/>
  <c r="M77" i="17"/>
  <c r="K96" i="17"/>
  <c r="M96" i="17" s="1"/>
  <c r="L86" i="17"/>
  <c r="K87" i="17"/>
  <c r="M86" i="17"/>
  <c r="K97" i="17" l="1"/>
  <c r="M97" i="17" s="1"/>
  <c r="K88" i="17"/>
  <c r="L87" i="17"/>
  <c r="M87" i="17"/>
  <c r="L78" i="17"/>
  <c r="K79" i="17"/>
  <c r="M78" i="17"/>
  <c r="H99" i="17"/>
  <c r="H100" i="17" s="1"/>
  <c r="H70" i="17"/>
  <c r="H101" i="17" s="1"/>
  <c r="L67" i="17"/>
  <c r="N67" i="17" s="1"/>
  <c r="K68" i="17"/>
  <c r="M67" i="17"/>
  <c r="E99" i="17"/>
  <c r="K59" i="17"/>
  <c r="L58" i="17"/>
  <c r="N58" i="17" s="1"/>
  <c r="M58" i="17"/>
  <c r="O95" i="17"/>
  <c r="P95" i="17" s="1"/>
  <c r="L96" i="17"/>
  <c r="N96" i="17" s="1"/>
  <c r="N86" i="17"/>
  <c r="O96" i="17" s="1"/>
  <c r="N94" i="17"/>
  <c r="O94" i="17"/>
  <c r="E60" i="17"/>
  <c r="E101" i="17" s="1"/>
  <c r="P96" i="17" l="1"/>
  <c r="L97" i="17"/>
  <c r="N87" i="17"/>
  <c r="E100" i="17"/>
  <c r="L59" i="17"/>
  <c r="N59" i="17" s="1"/>
  <c r="M59" i="17"/>
  <c r="L79" i="17"/>
  <c r="N79" i="17" s="1"/>
  <c r="M79" i="17"/>
  <c r="K98" i="17"/>
  <c r="M98" i="17" s="1"/>
  <c r="L88" i="17"/>
  <c r="K89" i="17"/>
  <c r="M88" i="17"/>
  <c r="K69" i="17"/>
  <c r="L68" i="17"/>
  <c r="N68" i="17" s="1"/>
  <c r="M68" i="17"/>
  <c r="P94" i="17"/>
  <c r="N78" i="17"/>
  <c r="L80" i="17" l="1"/>
  <c r="L98" i="17"/>
  <c r="N98" i="17" s="1"/>
  <c r="N88" i="17"/>
  <c r="O98" i="17" s="1"/>
  <c r="L60" i="17"/>
  <c r="N97" i="17"/>
  <c r="N60" i="17"/>
  <c r="L69" i="17"/>
  <c r="N69" i="17" s="1"/>
  <c r="N70" i="17" s="1"/>
  <c r="M69" i="17"/>
  <c r="K99" i="17"/>
  <c r="M99" i="17" s="1"/>
  <c r="L89" i="17"/>
  <c r="L90" i="17" s="1"/>
  <c r="M89" i="17"/>
  <c r="M90" i="17" s="1"/>
  <c r="N80" i="17"/>
  <c r="O97" i="17"/>
  <c r="L70" i="17" l="1"/>
  <c r="L101" i="17" s="1"/>
  <c r="P98" i="17"/>
  <c r="L99" i="17"/>
  <c r="N89" i="17"/>
  <c r="P97" i="17"/>
  <c r="N90" i="17" l="1"/>
  <c r="N101" i="17" s="1"/>
  <c r="O99" i="17"/>
  <c r="N99" i="17"/>
  <c r="N100" i="17" s="1"/>
  <c r="L100" i="17"/>
  <c r="P99" i="17" l="1"/>
  <c r="O100" i="17"/>
  <c r="O101" i="17" s="1"/>
  <c r="G35" i="16" l="1"/>
  <c r="G29" i="16"/>
  <c r="F31" i="16"/>
  <c r="F30" i="16"/>
  <c r="F27" i="16"/>
  <c r="F26" i="16"/>
  <c r="C33" i="16"/>
  <c r="C32" i="16"/>
  <c r="C31" i="16"/>
  <c r="C30" i="16"/>
  <c r="C27" i="16"/>
  <c r="C26" i="16"/>
  <c r="C25" i="16"/>
  <c r="C24" i="16"/>
  <c r="D48" i="16"/>
  <c r="G48" i="16"/>
  <c r="G42" i="16"/>
  <c r="E42" i="16"/>
  <c r="D42" i="16"/>
  <c r="C42" i="16"/>
  <c r="K42" i="16"/>
  <c r="M28" i="16"/>
  <c r="N28" i="16" s="1"/>
  <c r="K28" i="16"/>
  <c r="L28" i="16"/>
  <c r="L42" i="16" s="1"/>
  <c r="K34" i="16"/>
  <c r="L34" i="16" s="1"/>
  <c r="I34" i="16"/>
  <c r="M34" i="16" s="1"/>
  <c r="N34" i="16" s="1"/>
  <c r="I28" i="16"/>
  <c r="I42" i="16" s="1"/>
  <c r="C48" i="16"/>
  <c r="K16" i="16"/>
  <c r="I21" i="16"/>
  <c r="J20" i="16"/>
  <c r="G21" i="16"/>
  <c r="E20" i="16"/>
  <c r="E48" i="16" s="1"/>
  <c r="L14" i="16"/>
  <c r="I15" i="16"/>
  <c r="G15" i="16"/>
  <c r="J14" i="16"/>
  <c r="E14" i="16"/>
  <c r="J28" i="16" l="1"/>
  <c r="J42" i="16" s="1"/>
  <c r="K48" i="16"/>
  <c r="M48" i="16" s="1"/>
  <c r="N48" i="16" s="1"/>
  <c r="I48" i="16"/>
  <c r="M42" i="16"/>
  <c r="N42" i="16" s="1"/>
  <c r="J34" i="16"/>
  <c r="O28" i="16"/>
  <c r="J48" i="16"/>
  <c r="H48" i="16"/>
  <c r="H42" i="16"/>
  <c r="O42" i="16" s="1"/>
  <c r="L48" i="16"/>
  <c r="O34" i="16"/>
  <c r="O20" i="16"/>
  <c r="P20" i="16" s="1"/>
  <c r="O14" i="16"/>
  <c r="P14" i="16" s="1"/>
  <c r="J27" i="16"/>
  <c r="F96" i="16"/>
  <c r="M89" i="16"/>
  <c r="L89" i="16"/>
  <c r="J89" i="16"/>
  <c r="H89" i="16"/>
  <c r="E89" i="16"/>
  <c r="I88" i="16"/>
  <c r="J88" i="16" s="1"/>
  <c r="G88" i="16"/>
  <c r="D88" i="16"/>
  <c r="E88" i="16" s="1"/>
  <c r="F86" i="16"/>
  <c r="I78" i="16"/>
  <c r="G78" i="16"/>
  <c r="H78" i="16" s="1"/>
  <c r="D78" i="16"/>
  <c r="D79" i="16" s="1"/>
  <c r="D80" i="16" s="1"/>
  <c r="F76" i="16"/>
  <c r="M69" i="16"/>
  <c r="L69" i="16"/>
  <c r="J69" i="16"/>
  <c r="H69" i="16"/>
  <c r="E69" i="16"/>
  <c r="F66" i="16"/>
  <c r="I58" i="16"/>
  <c r="I47" i="16"/>
  <c r="G47" i="16"/>
  <c r="F47" i="16"/>
  <c r="C47" i="16"/>
  <c r="I46" i="16"/>
  <c r="G46" i="16"/>
  <c r="F46" i="16"/>
  <c r="C46" i="16"/>
  <c r="I45" i="16"/>
  <c r="G45" i="16"/>
  <c r="F45" i="16"/>
  <c r="C45" i="16"/>
  <c r="I44" i="16"/>
  <c r="G44" i="16"/>
  <c r="F44" i="16"/>
  <c r="C44" i="16"/>
  <c r="F41" i="16"/>
  <c r="C41" i="16"/>
  <c r="G40" i="16"/>
  <c r="F40" i="16"/>
  <c r="C40" i="16"/>
  <c r="C39" i="16"/>
  <c r="I38" i="16"/>
  <c r="C38" i="16"/>
  <c r="I35" i="16"/>
  <c r="D35" i="16"/>
  <c r="J33" i="16"/>
  <c r="H33" i="16"/>
  <c r="E33" i="16"/>
  <c r="J32" i="16"/>
  <c r="H32" i="16"/>
  <c r="E32" i="16"/>
  <c r="J31" i="16"/>
  <c r="H31" i="16"/>
  <c r="E31" i="16"/>
  <c r="J30" i="16"/>
  <c r="H30" i="16"/>
  <c r="E30" i="16"/>
  <c r="G41" i="16"/>
  <c r="E27" i="16"/>
  <c r="H26" i="16"/>
  <c r="I39" i="16"/>
  <c r="G39" i="16"/>
  <c r="F25" i="16"/>
  <c r="H25" i="16" s="1"/>
  <c r="G58" i="16"/>
  <c r="G61" i="16" s="1"/>
  <c r="G62" i="16" s="1"/>
  <c r="F24" i="16"/>
  <c r="F38" i="16" s="1"/>
  <c r="J19" i="16"/>
  <c r="H19" i="16"/>
  <c r="D19" i="16"/>
  <c r="J18" i="16"/>
  <c r="H18" i="16"/>
  <c r="D18" i="16"/>
  <c r="J17" i="16"/>
  <c r="H17" i="16"/>
  <c r="D17" i="16"/>
  <c r="J16" i="16"/>
  <c r="H16" i="16"/>
  <c r="E16" i="16"/>
  <c r="J13" i="16"/>
  <c r="H13" i="16"/>
  <c r="D13" i="16"/>
  <c r="J12" i="16"/>
  <c r="H12" i="16"/>
  <c r="J11" i="16"/>
  <c r="H11" i="16"/>
  <c r="J10" i="16"/>
  <c r="H10" i="16"/>
  <c r="O48" i="16" l="1"/>
  <c r="D81" i="16"/>
  <c r="J21" i="16"/>
  <c r="K19" i="16"/>
  <c r="K33" i="16" s="1"/>
  <c r="K47" i="16" s="1"/>
  <c r="E19" i="16"/>
  <c r="E18" i="16"/>
  <c r="D91" i="16"/>
  <c r="D92" i="16" s="1"/>
  <c r="E17" i="16"/>
  <c r="K13" i="16"/>
  <c r="H35" i="16"/>
  <c r="N69" i="16"/>
  <c r="I91" i="16"/>
  <c r="J91" i="16" s="1"/>
  <c r="D46" i="16"/>
  <c r="K18" i="16"/>
  <c r="D45" i="16"/>
  <c r="K17" i="16"/>
  <c r="D21" i="16"/>
  <c r="D41" i="16"/>
  <c r="H44" i="16"/>
  <c r="J45" i="16"/>
  <c r="J46" i="16"/>
  <c r="E35" i="16"/>
  <c r="H46" i="16"/>
  <c r="H21" i="16"/>
  <c r="J44" i="16"/>
  <c r="J47" i="16"/>
  <c r="J15" i="16"/>
  <c r="H15" i="16"/>
  <c r="H39" i="16"/>
  <c r="G49" i="16"/>
  <c r="H47" i="16"/>
  <c r="J41" i="16"/>
  <c r="H40" i="16"/>
  <c r="F39" i="16"/>
  <c r="H24" i="16"/>
  <c r="E47" i="16"/>
  <c r="I41" i="16"/>
  <c r="G81" i="16"/>
  <c r="H81" i="16" s="1"/>
  <c r="G79" i="16"/>
  <c r="H79" i="16" s="1"/>
  <c r="E25" i="16"/>
  <c r="D11" i="16"/>
  <c r="I61" i="16"/>
  <c r="I59" i="16"/>
  <c r="J58" i="16"/>
  <c r="M19" i="16"/>
  <c r="N19" i="16" s="1"/>
  <c r="L19" i="16"/>
  <c r="I68" i="16"/>
  <c r="I40" i="16"/>
  <c r="J26" i="16"/>
  <c r="J40" i="16" s="1"/>
  <c r="E45" i="16"/>
  <c r="I49" i="16"/>
  <c r="E46" i="16"/>
  <c r="E24" i="16"/>
  <c r="D58" i="16"/>
  <c r="D29" i="16"/>
  <c r="D10" i="16"/>
  <c r="D40" i="16"/>
  <c r="E26" i="16"/>
  <c r="D12" i="16"/>
  <c r="D68" i="16"/>
  <c r="M33" i="16"/>
  <c r="N33" i="16" s="1"/>
  <c r="L33" i="16"/>
  <c r="E13" i="16"/>
  <c r="J24" i="16"/>
  <c r="J25" i="16"/>
  <c r="J39" i="16" s="1"/>
  <c r="G68" i="16"/>
  <c r="G98" i="16" s="1"/>
  <c r="H27" i="16"/>
  <c r="H41" i="16" s="1"/>
  <c r="I29" i="16"/>
  <c r="H45" i="16"/>
  <c r="J35" i="16"/>
  <c r="D44" i="16"/>
  <c r="D47" i="16"/>
  <c r="M47" i="16" s="1"/>
  <c r="N47" i="16" s="1"/>
  <c r="I81" i="16"/>
  <c r="I79" i="16"/>
  <c r="J78" i="16"/>
  <c r="E80" i="16"/>
  <c r="G91" i="16"/>
  <c r="G90" i="16"/>
  <c r="H88" i="16"/>
  <c r="N89" i="16"/>
  <c r="E44" i="16"/>
  <c r="H62" i="16"/>
  <c r="G63" i="16"/>
  <c r="G38" i="16"/>
  <c r="G43" i="16" s="1"/>
  <c r="H58" i="16"/>
  <c r="G59" i="16"/>
  <c r="H61" i="16"/>
  <c r="E79" i="16"/>
  <c r="E81" i="16"/>
  <c r="D82" i="16"/>
  <c r="E78" i="16"/>
  <c r="I92" i="16"/>
  <c r="D90" i="16"/>
  <c r="I90" i="16"/>
  <c r="I43" i="16" l="1"/>
  <c r="E21" i="16"/>
  <c r="J22" i="16"/>
  <c r="O19" i="16"/>
  <c r="E91" i="16"/>
  <c r="K12" i="16"/>
  <c r="K11" i="16"/>
  <c r="G82" i="16"/>
  <c r="G83" i="16" s="1"/>
  <c r="H38" i="16"/>
  <c r="H43" i="16" s="1"/>
  <c r="H29" i="16"/>
  <c r="H36" i="16" s="1"/>
  <c r="D49" i="16"/>
  <c r="K10" i="16"/>
  <c r="D15" i="16"/>
  <c r="H22" i="16"/>
  <c r="J49" i="16"/>
  <c r="H49" i="16"/>
  <c r="G80" i="16"/>
  <c r="H80" i="16" s="1"/>
  <c r="E90" i="16"/>
  <c r="G64" i="16"/>
  <c r="H63" i="16"/>
  <c r="K21" i="16"/>
  <c r="M16" i="16"/>
  <c r="K30" i="16"/>
  <c r="L16" i="16"/>
  <c r="J29" i="16"/>
  <c r="J36" i="16" s="1"/>
  <c r="J51" i="16" s="1"/>
  <c r="J38" i="16"/>
  <c r="J43" i="16" s="1"/>
  <c r="D61" i="16"/>
  <c r="D59" i="16"/>
  <c r="E58" i="16"/>
  <c r="I71" i="16"/>
  <c r="I70" i="16"/>
  <c r="J70" i="16" s="1"/>
  <c r="J68" i="16"/>
  <c r="M11" i="16"/>
  <c r="E11" i="16"/>
  <c r="D83" i="16"/>
  <c r="E82" i="16"/>
  <c r="E49" i="16"/>
  <c r="H91" i="16"/>
  <c r="G92" i="16"/>
  <c r="I99" i="16"/>
  <c r="J79" i="16"/>
  <c r="I80" i="16"/>
  <c r="J80" i="16" s="1"/>
  <c r="D71" i="16"/>
  <c r="E68" i="16"/>
  <c r="D70" i="16"/>
  <c r="E29" i="16"/>
  <c r="E36" i="16" s="1"/>
  <c r="I98" i="16"/>
  <c r="E92" i="16"/>
  <c r="D93" i="16"/>
  <c r="M18" i="16"/>
  <c r="N18" i="16" s="1"/>
  <c r="L18" i="16"/>
  <c r="O18" i="16" s="1"/>
  <c r="K32" i="16"/>
  <c r="L13" i="16"/>
  <c r="O13" i="16" s="1"/>
  <c r="K27" i="16"/>
  <c r="H82" i="16"/>
  <c r="J81" i="16"/>
  <c r="I82" i="16"/>
  <c r="G70" i="16"/>
  <c r="H70" i="16" s="1"/>
  <c r="G71" i="16"/>
  <c r="G101" i="16" s="1"/>
  <c r="H68" i="16"/>
  <c r="L47" i="16"/>
  <c r="O47" i="16" s="1"/>
  <c r="O33" i="16"/>
  <c r="E12" i="16"/>
  <c r="E40" i="16" s="1"/>
  <c r="M10" i="16"/>
  <c r="E10" i="16"/>
  <c r="D38" i="16"/>
  <c r="J59" i="16"/>
  <c r="I60" i="16"/>
  <c r="J60" i="16" s="1"/>
  <c r="D39" i="16"/>
  <c r="J90" i="16"/>
  <c r="D98" i="16"/>
  <c r="I93" i="16"/>
  <c r="J92" i="16"/>
  <c r="G60" i="16"/>
  <c r="H60" i="16" s="1"/>
  <c r="G99" i="16"/>
  <c r="G109" i="16" s="1"/>
  <c r="H59" i="16"/>
  <c r="H99" i="16" s="1"/>
  <c r="M17" i="16"/>
  <c r="N17" i="16" s="1"/>
  <c r="L17" i="16"/>
  <c r="O17" i="16" s="1"/>
  <c r="K31" i="16"/>
  <c r="H90" i="16"/>
  <c r="M13" i="16"/>
  <c r="N13" i="16" s="1"/>
  <c r="I62" i="16"/>
  <c r="J61" i="16"/>
  <c r="E41" i="16"/>
  <c r="K15" i="16" l="1"/>
  <c r="H51" i="16"/>
  <c r="H50" i="16"/>
  <c r="E15" i="16"/>
  <c r="E22" i="16" s="1"/>
  <c r="E51" i="16" s="1"/>
  <c r="J50" i="16"/>
  <c r="M21" i="16"/>
  <c r="N11" i="16"/>
  <c r="I100" i="16"/>
  <c r="I109" i="16"/>
  <c r="H100" i="16"/>
  <c r="N10" i="16"/>
  <c r="E71" i="16"/>
  <c r="D72" i="16"/>
  <c r="D101" i="16"/>
  <c r="G93" i="16"/>
  <c r="H92" i="16"/>
  <c r="E83" i="16"/>
  <c r="D84" i="16"/>
  <c r="N16" i="16"/>
  <c r="N21" i="16" s="1"/>
  <c r="H64" i="16"/>
  <c r="G65" i="16"/>
  <c r="H65" i="16" s="1"/>
  <c r="G100" i="16"/>
  <c r="K26" i="16"/>
  <c r="L12" i="16"/>
  <c r="O12" i="16" s="1"/>
  <c r="J82" i="16"/>
  <c r="I83" i="16"/>
  <c r="H98" i="16"/>
  <c r="J98" i="16"/>
  <c r="E70" i="16"/>
  <c r="E59" i="16"/>
  <c r="D60" i="16"/>
  <c r="D100" i="16" s="1"/>
  <c r="D99" i="16"/>
  <c r="I63" i="16"/>
  <c r="J62" i="16"/>
  <c r="L31" i="16"/>
  <c r="K45" i="16"/>
  <c r="M45" i="16" s="1"/>
  <c r="N45" i="16" s="1"/>
  <c r="M31" i="16"/>
  <c r="N31" i="16" s="1"/>
  <c r="J100" i="16"/>
  <c r="K24" i="16"/>
  <c r="L10" i="16"/>
  <c r="L15" i="16" s="1"/>
  <c r="G72" i="16"/>
  <c r="G102" i="16" s="1"/>
  <c r="H71" i="16"/>
  <c r="H101" i="16" s="1"/>
  <c r="K46" i="16"/>
  <c r="M46" i="16" s="1"/>
  <c r="N46" i="16" s="1"/>
  <c r="L32" i="16"/>
  <c r="M32" i="16"/>
  <c r="N32" i="16" s="1"/>
  <c r="K88" i="16"/>
  <c r="E38" i="16"/>
  <c r="E98" i="16"/>
  <c r="J99" i="16"/>
  <c r="K25" i="16"/>
  <c r="L11" i="16"/>
  <c r="O11" i="16" s="1"/>
  <c r="I72" i="16"/>
  <c r="J71" i="16"/>
  <c r="J101" i="16" s="1"/>
  <c r="I101" i="16"/>
  <c r="E61" i="16"/>
  <c r="D62" i="16"/>
  <c r="L21" i="16"/>
  <c r="O16" i="16"/>
  <c r="D43" i="16"/>
  <c r="I94" i="16"/>
  <c r="J93" i="16"/>
  <c r="M12" i="16"/>
  <c r="N12" i="16" s="1"/>
  <c r="H83" i="16"/>
  <c r="G84" i="16"/>
  <c r="K41" i="16"/>
  <c r="M41" i="16" s="1"/>
  <c r="N41" i="16" s="1"/>
  <c r="L27" i="16"/>
  <c r="M27" i="16"/>
  <c r="N27" i="16" s="1"/>
  <c r="D94" i="16"/>
  <c r="E93" i="16"/>
  <c r="E39" i="16"/>
  <c r="K78" i="16"/>
  <c r="K35" i="16"/>
  <c r="L30" i="16"/>
  <c r="M30" i="16"/>
  <c r="K44" i="16"/>
  <c r="M35" i="16" l="1"/>
  <c r="O10" i="16"/>
  <c r="O15" i="16" s="1"/>
  <c r="O21" i="16"/>
  <c r="P19" i="16"/>
  <c r="P21" i="16" s="1"/>
  <c r="M15" i="16"/>
  <c r="N15" i="16"/>
  <c r="N22" i="16" s="1"/>
  <c r="H66" i="16"/>
  <c r="K90" i="16"/>
  <c r="L88" i="16"/>
  <c r="M88" i="16"/>
  <c r="D73" i="16"/>
  <c r="E72" i="16"/>
  <c r="D102" i="16"/>
  <c r="K49" i="16"/>
  <c r="M44" i="16"/>
  <c r="M49" i="16" s="1"/>
  <c r="L41" i="16"/>
  <c r="O41" i="16" s="1"/>
  <c r="O27" i="16"/>
  <c r="E99" i="16"/>
  <c r="E101" i="16"/>
  <c r="N30" i="16"/>
  <c r="N35" i="16" s="1"/>
  <c r="D95" i="16"/>
  <c r="E94" i="16"/>
  <c r="E43" i="16"/>
  <c r="E50" i="16" s="1"/>
  <c r="L46" i="16"/>
  <c r="O46" i="16" s="1"/>
  <c r="O32" i="16"/>
  <c r="K58" i="16"/>
  <c r="K38" i="16"/>
  <c r="K29" i="16"/>
  <c r="L24" i="16"/>
  <c r="M24" i="16"/>
  <c r="E84" i="16"/>
  <c r="D85" i="16"/>
  <c r="H93" i="16"/>
  <c r="G94" i="16"/>
  <c r="I73" i="16"/>
  <c r="J72" i="16"/>
  <c r="J102" i="16" s="1"/>
  <c r="I102" i="16"/>
  <c r="L45" i="16"/>
  <c r="O45" i="16" s="1"/>
  <c r="O31" i="16"/>
  <c r="E60" i="16"/>
  <c r="L78" i="16"/>
  <c r="K79" i="16"/>
  <c r="K81" i="16"/>
  <c r="M78" i="16"/>
  <c r="L35" i="16"/>
  <c r="L44" i="16"/>
  <c r="O30" i="16"/>
  <c r="H84" i="16"/>
  <c r="G85" i="16"/>
  <c r="H85" i="16" s="1"/>
  <c r="J94" i="16"/>
  <c r="I95" i="16"/>
  <c r="D63" i="16"/>
  <c r="E62" i="16"/>
  <c r="K39" i="16"/>
  <c r="M39" i="16" s="1"/>
  <c r="L25" i="16"/>
  <c r="M25" i="16"/>
  <c r="H72" i="16"/>
  <c r="H102" i="16" s="1"/>
  <c r="G73" i="16"/>
  <c r="G103" i="16" s="1"/>
  <c r="L22" i="16"/>
  <c r="I64" i="16"/>
  <c r="J63" i="16"/>
  <c r="D109" i="16"/>
  <c r="J83" i="16"/>
  <c r="I84" i="16"/>
  <c r="K68" i="16"/>
  <c r="K40" i="16"/>
  <c r="M40" i="16" s="1"/>
  <c r="N40" i="16" s="1"/>
  <c r="L26" i="16"/>
  <c r="M26" i="16"/>
  <c r="N26" i="16" s="1"/>
  <c r="P13" i="16" l="1"/>
  <c r="P15" i="16" s="1"/>
  <c r="P22" i="16" s="1"/>
  <c r="O35" i="16"/>
  <c r="N39" i="16"/>
  <c r="N25" i="16"/>
  <c r="M29" i="16"/>
  <c r="H86" i="16"/>
  <c r="O22" i="16"/>
  <c r="J84" i="16"/>
  <c r="I85" i="16"/>
  <c r="J85" i="16" s="1"/>
  <c r="L49" i="16"/>
  <c r="O44" i="16"/>
  <c r="O49" i="16" s="1"/>
  <c r="E100" i="16"/>
  <c r="N24" i="16"/>
  <c r="D74" i="16"/>
  <c r="E73" i="16"/>
  <c r="D103" i="16"/>
  <c r="J95" i="16"/>
  <c r="I65" i="16"/>
  <c r="J65" i="16" s="1"/>
  <c r="J64" i="16"/>
  <c r="L39" i="16"/>
  <c r="O39" i="16" s="1"/>
  <c r="O25" i="16"/>
  <c r="E63" i="16"/>
  <c r="D64" i="16"/>
  <c r="N78" i="16"/>
  <c r="E85" i="16"/>
  <c r="E102" i="16"/>
  <c r="L81" i="16"/>
  <c r="N81" i="16" s="1"/>
  <c r="K82" i="16"/>
  <c r="M81" i="16"/>
  <c r="K59" i="16"/>
  <c r="K99" i="16" s="1"/>
  <c r="K61" i="16"/>
  <c r="L58" i="16"/>
  <c r="M58" i="16"/>
  <c r="K91" i="16"/>
  <c r="L90" i="16"/>
  <c r="M90" i="16"/>
  <c r="L40" i="16"/>
  <c r="O40" i="16" s="1"/>
  <c r="O26" i="16"/>
  <c r="G74" i="16"/>
  <c r="H73" i="16"/>
  <c r="H103" i="16" s="1"/>
  <c r="L79" i="16"/>
  <c r="K80" i="16"/>
  <c r="M79" i="16"/>
  <c r="L38" i="16"/>
  <c r="L29" i="16"/>
  <c r="L36" i="16" s="1"/>
  <c r="L51" i="16" s="1"/>
  <c r="O51" i="16" s="1"/>
  <c r="O24" i="16"/>
  <c r="E95" i="16"/>
  <c r="K98" i="16"/>
  <c r="M98" i="16" s="1"/>
  <c r="K70" i="16"/>
  <c r="K71" i="16"/>
  <c r="L68" i="16"/>
  <c r="M68" i="16"/>
  <c r="J96" i="16"/>
  <c r="I74" i="16"/>
  <c r="J73" i="16"/>
  <c r="J103" i="16" s="1"/>
  <c r="I103" i="16"/>
  <c r="G95" i="16"/>
  <c r="H94" i="16"/>
  <c r="K43" i="16"/>
  <c r="M38" i="16"/>
  <c r="M43" i="16" s="1"/>
  <c r="N44" i="16"/>
  <c r="N49" i="16" s="1"/>
  <c r="N88" i="16"/>
  <c r="O29" i="16" l="1"/>
  <c r="O36" i="16" s="1"/>
  <c r="P36" i="16" s="1"/>
  <c r="L98" i="16"/>
  <c r="N98" i="16" s="1"/>
  <c r="N29" i="16"/>
  <c r="N36" i="16" s="1"/>
  <c r="J86" i="16"/>
  <c r="J66" i="16"/>
  <c r="N38" i="16"/>
  <c r="N43" i="16" s="1"/>
  <c r="I75" i="16"/>
  <c r="J75" i="16" s="1"/>
  <c r="J105" i="16" s="1"/>
  <c r="J74" i="16"/>
  <c r="K72" i="16"/>
  <c r="L71" i="16"/>
  <c r="N71" i="16" s="1"/>
  <c r="M71" i="16"/>
  <c r="L80" i="16"/>
  <c r="M80" i="16"/>
  <c r="H74" i="16"/>
  <c r="H104" i="16" s="1"/>
  <c r="G75" i="16"/>
  <c r="H75" i="16" s="1"/>
  <c r="K62" i="16"/>
  <c r="L61" i="16"/>
  <c r="N61" i="16" s="1"/>
  <c r="M61" i="16"/>
  <c r="D65" i="16"/>
  <c r="E64" i="16"/>
  <c r="H95" i="16"/>
  <c r="L70" i="16"/>
  <c r="N70" i="16" s="1"/>
  <c r="M70" i="16"/>
  <c r="L43" i="16"/>
  <c r="L50" i="16" s="1"/>
  <c r="O38" i="16"/>
  <c r="N79" i="16"/>
  <c r="K60" i="16"/>
  <c r="K100" i="16" s="1"/>
  <c r="M100" i="16" s="1"/>
  <c r="M110" i="16" s="1"/>
  <c r="L59" i="16"/>
  <c r="N59" i="16" s="1"/>
  <c r="M59" i="16"/>
  <c r="E103" i="16"/>
  <c r="K109" i="16"/>
  <c r="M109" i="16" s="1"/>
  <c r="M99" i="16"/>
  <c r="M108" i="16" s="1"/>
  <c r="N90" i="16"/>
  <c r="L82" i="16"/>
  <c r="N82" i="16" s="1"/>
  <c r="K83" i="16"/>
  <c r="M82" i="16"/>
  <c r="D75" i="16"/>
  <c r="E74" i="16"/>
  <c r="D104" i="16"/>
  <c r="E96" i="16"/>
  <c r="G104" i="16"/>
  <c r="I104" i="16"/>
  <c r="N68" i="16"/>
  <c r="L91" i="16"/>
  <c r="K101" i="16"/>
  <c r="M101" i="16" s="1"/>
  <c r="K92" i="16"/>
  <c r="M91" i="16"/>
  <c r="N58" i="16"/>
  <c r="E86" i="16"/>
  <c r="I105" i="16" l="1"/>
  <c r="O43" i="16"/>
  <c r="O50" i="16" s="1"/>
  <c r="H76" i="16"/>
  <c r="O99" i="16"/>
  <c r="L99" i="16"/>
  <c r="N99" i="16" s="1"/>
  <c r="G105" i="16"/>
  <c r="H105" i="16"/>
  <c r="H106" i="16" s="1"/>
  <c r="O98" i="16"/>
  <c r="E75" i="16"/>
  <c r="D105" i="16"/>
  <c r="K84" i="16"/>
  <c r="L83" i="16"/>
  <c r="N83" i="16" s="1"/>
  <c r="M83" i="16"/>
  <c r="H96" i="16"/>
  <c r="K93" i="16"/>
  <c r="K102" i="16"/>
  <c r="M102" i="16" s="1"/>
  <c r="L92" i="16"/>
  <c r="M92" i="16"/>
  <c r="J104" i="16"/>
  <c r="J106" i="16" s="1"/>
  <c r="J76" i="16"/>
  <c r="J107" i="16" s="1"/>
  <c r="E104" i="16"/>
  <c r="L60" i="16"/>
  <c r="M60" i="16"/>
  <c r="L62" i="16"/>
  <c r="N62" i="16" s="1"/>
  <c r="K63" i="16"/>
  <c r="M62" i="16"/>
  <c r="N80" i="16"/>
  <c r="L101" i="16"/>
  <c r="N101" i="16" s="1"/>
  <c r="N91" i="16"/>
  <c r="E65" i="16"/>
  <c r="L72" i="16"/>
  <c r="K73" i="16"/>
  <c r="M72" i="16"/>
  <c r="H107" i="16" l="1"/>
  <c r="P99" i="16"/>
  <c r="O101" i="16"/>
  <c r="P101" i="16" s="1"/>
  <c r="N60" i="16"/>
  <c r="E66" i="16"/>
  <c r="K103" i="16"/>
  <c r="M103" i="16" s="1"/>
  <c r="K94" i="16"/>
  <c r="L93" i="16"/>
  <c r="M93" i="16"/>
  <c r="K74" i="16"/>
  <c r="L73" i="16"/>
  <c r="N73" i="16" s="1"/>
  <c r="M73" i="16"/>
  <c r="L100" i="16"/>
  <c r="K64" i="16"/>
  <c r="L63" i="16"/>
  <c r="N63" i="16" s="1"/>
  <c r="M63" i="16"/>
  <c r="E105" i="16"/>
  <c r="N72" i="16"/>
  <c r="E76" i="16"/>
  <c r="L102" i="16"/>
  <c r="N102" i="16" s="1"/>
  <c r="N92" i="16"/>
  <c r="L84" i="16"/>
  <c r="K85" i="16"/>
  <c r="M84" i="16"/>
  <c r="P98" i="16"/>
  <c r="N100" i="16" l="1"/>
  <c r="L85" i="16"/>
  <c r="N85" i="16" s="1"/>
  <c r="M85" i="16"/>
  <c r="L103" i="16"/>
  <c r="N103" i="16" s="1"/>
  <c r="N93" i="16"/>
  <c r="O103" i="16" s="1"/>
  <c r="N84" i="16"/>
  <c r="E107" i="16"/>
  <c r="E106" i="16"/>
  <c r="K95" i="16"/>
  <c r="K104" i="16"/>
  <c r="M104" i="16" s="1"/>
  <c r="L94" i="16"/>
  <c r="M94" i="16"/>
  <c r="O100" i="16"/>
  <c r="O102" i="16"/>
  <c r="P102" i="16" s="1"/>
  <c r="K65" i="16"/>
  <c r="L64" i="16"/>
  <c r="M64" i="16"/>
  <c r="L74" i="16"/>
  <c r="K75" i="16"/>
  <c r="M74" i="16"/>
  <c r="N86" i="16" l="1"/>
  <c r="P103" i="16"/>
  <c r="L104" i="16"/>
  <c r="N104" i="16" s="1"/>
  <c r="N94" i="16"/>
  <c r="N64" i="16"/>
  <c r="L75" i="16"/>
  <c r="N75" i="16" s="1"/>
  <c r="M75" i="16"/>
  <c r="L65" i="16"/>
  <c r="N65" i="16" s="1"/>
  <c r="M65" i="16"/>
  <c r="P100" i="16"/>
  <c r="K105" i="16"/>
  <c r="M105" i="16" s="1"/>
  <c r="L95" i="16"/>
  <c r="M95" i="16"/>
  <c r="M96" i="16" s="1"/>
  <c r="N74" i="16"/>
  <c r="L86" i="16"/>
  <c r="N76" i="16" l="1"/>
  <c r="L76" i="16"/>
  <c r="L66" i="16"/>
  <c r="L105" i="16"/>
  <c r="N95" i="16"/>
  <c r="N96" i="16" s="1"/>
  <c r="L96" i="16"/>
  <c r="O104" i="16"/>
  <c r="N66" i="16"/>
  <c r="L107" i="16" l="1"/>
  <c r="N107" i="16"/>
  <c r="O105" i="16"/>
  <c r="P104" i="16"/>
  <c r="N105" i="16"/>
  <c r="N106" i="16" s="1"/>
  <c r="L106" i="16"/>
  <c r="P105" i="16" l="1"/>
  <c r="O106" i="16"/>
  <c r="O107" i="16" s="1"/>
</calcChain>
</file>

<file path=xl/sharedStrings.xml><?xml version="1.0" encoding="utf-8"?>
<sst xmlns="http://schemas.openxmlformats.org/spreadsheetml/2006/main" count="675" uniqueCount="96">
  <si>
    <t>FLORIDA ATLANTIC UNIVERSITY</t>
  </si>
  <si>
    <t>TOTAL</t>
  </si>
  <si>
    <t xml:space="preserve">TOTAL </t>
  </si>
  <si>
    <t>FTE</t>
  </si>
  <si>
    <t>Lower</t>
  </si>
  <si>
    <t>Upper</t>
  </si>
  <si>
    <t>Grad/Class</t>
  </si>
  <si>
    <t>Thesis/Diss</t>
  </si>
  <si>
    <t>Credit Hrs</t>
  </si>
  <si>
    <t>Rate/Hr</t>
  </si>
  <si>
    <t>Total</t>
  </si>
  <si>
    <t>Levels</t>
  </si>
  <si>
    <t>Matriculation Fees Budget vs. Actual</t>
  </si>
  <si>
    <t xml:space="preserve">In-State </t>
  </si>
  <si>
    <t>Out-of-State</t>
  </si>
  <si>
    <t>Increase/Decrease</t>
  </si>
  <si>
    <t>Total Tuitions</t>
  </si>
  <si>
    <t>Financial Aid</t>
  </si>
  <si>
    <t>Activity &amp; Services</t>
  </si>
  <si>
    <t>Athletic</t>
  </si>
  <si>
    <t>Category</t>
  </si>
  <si>
    <t>Building</t>
  </si>
  <si>
    <t>BLDFEE</t>
  </si>
  <si>
    <t>FINFEE</t>
  </si>
  <si>
    <t>Capital Improve</t>
  </si>
  <si>
    <t>LOCSTG</t>
  </si>
  <si>
    <t>ATHLET</t>
  </si>
  <si>
    <t>Student Health</t>
  </si>
  <si>
    <t>STI403</t>
  </si>
  <si>
    <t>In-state - UG</t>
  </si>
  <si>
    <t>Out-of-state - UG</t>
  </si>
  <si>
    <t>In-state - GR</t>
  </si>
  <si>
    <t>Out-of-state - GR</t>
  </si>
  <si>
    <t>Total out-of-state - UG</t>
  </si>
  <si>
    <t>Total in-state - UG</t>
  </si>
  <si>
    <t>Total in-state - GR</t>
  </si>
  <si>
    <t>Total out-of-state - GR</t>
  </si>
  <si>
    <t xml:space="preserve">TOTAL    </t>
  </si>
  <si>
    <t>Projected Fees Based on Enrolled Credit Hours</t>
  </si>
  <si>
    <t xml:space="preserve"> Fall 2009</t>
  </si>
  <si>
    <t>Spring 2010</t>
  </si>
  <si>
    <t>Differential</t>
  </si>
  <si>
    <t>Tech. Fee</t>
  </si>
  <si>
    <t>F20001</t>
  </si>
  <si>
    <t>F12102/F12103</t>
  </si>
  <si>
    <t>509000</t>
  </si>
  <si>
    <t>Summer  2009 - 2nd half (B)</t>
  </si>
  <si>
    <t>Summer 2010 - 1st half (A &amp; C)</t>
  </si>
  <si>
    <t>Fund/Index</t>
  </si>
  <si>
    <t>FTE:</t>
  </si>
  <si>
    <t>UG = 40 hrs</t>
  </si>
  <si>
    <t>Graduate = 32 hrs</t>
  </si>
  <si>
    <t>Diff. credit hrs not applied</t>
  </si>
  <si>
    <t>2011-12</t>
  </si>
  <si>
    <t>2011-12 BOG Initial Budget</t>
  </si>
  <si>
    <t>Summer 2012 - 1st half (A &amp; C)</t>
  </si>
  <si>
    <t>Summer  2011 - 2nd half (B)</t>
  </si>
  <si>
    <t>Medicine</t>
  </si>
  <si>
    <t>2010-11</t>
  </si>
  <si>
    <t>Summer  2010 - 2nd half (B)</t>
  </si>
  <si>
    <t xml:space="preserve"> Fall 2010 - Preliminary</t>
  </si>
  <si>
    <t>Spring 2011 - Preliminary</t>
  </si>
  <si>
    <t>Summer 2011 - 1st half (A &amp; C)</t>
  </si>
  <si>
    <t>BOG BUDGET</t>
  </si>
  <si>
    <t>2010-11 BOG Initial Budget</t>
  </si>
  <si>
    <t>2010-2nd</t>
  </si>
  <si>
    <t>2011-1st</t>
  </si>
  <si>
    <t>Total summer</t>
  </si>
  <si>
    <t>2010-11 Actual Enrollment</t>
  </si>
  <si>
    <t>2009-10</t>
  </si>
  <si>
    <t>Enrollment Data - As of Sept. 16, 2010</t>
  </si>
  <si>
    <t>2009-10 BOG Initial Budget</t>
  </si>
  <si>
    <t>2009-10 Actual</t>
  </si>
  <si>
    <t>2008-09</t>
  </si>
  <si>
    <t>As of June 30, 2009</t>
  </si>
  <si>
    <t>Matriculation</t>
  </si>
  <si>
    <t>Summer  2008  - Actual</t>
  </si>
  <si>
    <t xml:space="preserve"> Fall 2008 - Actual</t>
  </si>
  <si>
    <t>Spring 2009 - Budget</t>
  </si>
  <si>
    <t>Fees</t>
  </si>
  <si>
    <t>Initial Budget</t>
  </si>
  <si>
    <t>08-09 Actual</t>
  </si>
  <si>
    <t>Net Increase / Decrease</t>
  </si>
  <si>
    <t>07-08</t>
  </si>
  <si>
    <t>Fees booked</t>
  </si>
  <si>
    <t>Fund</t>
  </si>
  <si>
    <t>Fee/Credit</t>
  </si>
  <si>
    <t>Credit hrs</t>
  </si>
  <si>
    <t>Building fee</t>
  </si>
  <si>
    <t>Capital Improv</t>
  </si>
  <si>
    <t>Student health</t>
  </si>
  <si>
    <t>As of Sept. 8, 2011</t>
  </si>
  <si>
    <t xml:space="preserve"> Fall 2011 - Preliminary</t>
  </si>
  <si>
    <t>Spring 2012 - Preliminary</t>
  </si>
  <si>
    <t>2011-12 Actuals</t>
  </si>
  <si>
    <t>As of Jan. 19,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</si>
</sst>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23" x14ac:knownFonts="1">
    <font>
      <sz val="10"/>
      <name val="Arial"/>
    </font>
    <font>
      <sz val="10"/>
      <name val="Arial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9"/>
      <color indexed="10"/>
      <name val="Calibri"/>
      <family val="2"/>
    </font>
    <font>
      <b/>
      <sz val="9"/>
      <color indexed="10"/>
      <name val="Calibri"/>
      <family val="2"/>
    </font>
    <font>
      <sz val="9"/>
      <color indexed="62"/>
      <name val="Calibri"/>
      <family val="2"/>
    </font>
    <font>
      <b/>
      <sz val="9"/>
      <color indexed="62"/>
      <name val="Calibri"/>
      <family val="2"/>
    </font>
    <font>
      <sz val="9"/>
      <color theme="0"/>
      <name val="Calibri"/>
      <family val="2"/>
    </font>
    <font>
      <b/>
      <sz val="9"/>
      <color theme="0"/>
      <name val="Calibri"/>
      <family val="2"/>
    </font>
    <font>
      <sz val="9"/>
      <color rgb="FFFF0000"/>
      <name val="Calibri"/>
      <family val="2"/>
    </font>
    <font>
      <b/>
      <sz val="9"/>
      <color rgb="FFFF0000"/>
      <name val="Calibri"/>
      <family val="2"/>
    </font>
    <font>
      <sz val="9"/>
      <color rgb="FF0070C0"/>
      <name val="Calibri"/>
      <family val="2"/>
    </font>
    <font>
      <b/>
      <sz val="9"/>
      <color rgb="FF0070C0"/>
      <name val="Calibri"/>
      <family val="2"/>
    </font>
    <font>
      <b/>
      <sz val="9"/>
      <color rgb="FF002060"/>
      <name val="Calibri"/>
      <family val="2"/>
    </font>
    <font>
      <sz val="9"/>
      <color rgb="FFC00000"/>
      <name val="Calibri"/>
      <family val="2"/>
    </font>
    <font>
      <sz val="10"/>
      <name val="Arial"/>
    </font>
    <font>
      <sz val="9"/>
      <color indexed="12"/>
      <name val="Calibri"/>
      <family val="2"/>
    </font>
    <font>
      <b/>
      <sz val="9"/>
      <color indexed="12"/>
      <name val="Calibri"/>
      <family val="2"/>
    </font>
    <font>
      <b/>
      <sz val="10"/>
      <name val="Calibri"/>
      <family val="2"/>
    </font>
    <font>
      <sz val="7"/>
      <name val="Calibri"/>
      <family val="2"/>
    </font>
    <font>
      <b/>
      <sz val="9"/>
      <color rgb="FFC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7999816888943144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311">
    <xf numFmtId="0" fontId="0" fillId="0" borderId="0" xfId="0"/>
    <xf numFmtId="0" fontId="2" fillId="0" borderId="0" xfId="0" applyFont="1" applyAlignment="1" applyProtection="1">
      <alignment horizontal="center"/>
    </xf>
    <xf numFmtId="0" fontId="3" fillId="0" borderId="0" xfId="0" applyFont="1"/>
    <xf numFmtId="44" fontId="3" fillId="0" borderId="0" xfId="2" applyFont="1"/>
    <xf numFmtId="0" fontId="2" fillId="0" borderId="0" xfId="0" applyFont="1" applyBorder="1"/>
    <xf numFmtId="0" fontId="3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 applyProtection="1">
      <alignment horizontal="center"/>
    </xf>
    <xf numFmtId="0" fontId="2" fillId="0" borderId="0" xfId="0" applyFont="1" applyBorder="1" applyAlignment="1">
      <alignment horizontal="center"/>
    </xf>
    <xf numFmtId="0" fontId="3" fillId="0" borderId="1" xfId="0" applyFont="1" applyBorder="1" applyAlignment="1" applyProtection="1">
      <alignment horizontal="left"/>
    </xf>
    <xf numFmtId="164" fontId="3" fillId="0" borderId="1" xfId="1" applyNumberFormat="1" applyFont="1" applyFill="1" applyBorder="1" applyProtection="1"/>
    <xf numFmtId="164" fontId="3" fillId="0" borderId="0" xfId="1" applyNumberFormat="1" applyFont="1" applyFill="1" applyBorder="1" applyProtection="1"/>
    <xf numFmtId="0" fontId="3" fillId="0" borderId="2" xfId="0" applyFont="1" applyBorder="1"/>
    <xf numFmtId="0" fontId="3" fillId="0" borderId="7" xfId="0" applyFont="1" applyBorder="1"/>
    <xf numFmtId="164" fontId="3" fillId="0" borderId="0" xfId="0" applyNumberFormat="1" applyFont="1" applyBorder="1"/>
    <xf numFmtId="164" fontId="3" fillId="0" borderId="0" xfId="0" applyNumberFormat="1" applyFont="1"/>
    <xf numFmtId="165" fontId="3" fillId="0" borderId="0" xfId="2" applyNumberFormat="1" applyFont="1" applyBorder="1"/>
    <xf numFmtId="165" fontId="3" fillId="0" borderId="0" xfId="2" applyNumberFormat="1" applyFont="1" applyFill="1" applyBorder="1" applyProtection="1"/>
    <xf numFmtId="0" fontId="2" fillId="0" borderId="9" xfId="0" applyFont="1" applyBorder="1" applyAlignment="1" applyProtection="1">
      <alignment horizontal="center"/>
    </xf>
    <xf numFmtId="165" fontId="3" fillId="0" borderId="10" xfId="2" applyNumberFormat="1" applyFont="1" applyBorder="1"/>
    <xf numFmtId="165" fontId="3" fillId="0" borderId="10" xfId="2" applyNumberFormat="1" applyFont="1" applyFill="1" applyBorder="1" applyProtection="1"/>
    <xf numFmtId="0" fontId="3" fillId="0" borderId="10" xfId="0" applyFont="1" applyBorder="1"/>
    <xf numFmtId="165" fontId="3" fillId="0" borderId="12" xfId="2" applyNumberFormat="1" applyFont="1" applyBorder="1"/>
    <xf numFmtId="0" fontId="3" fillId="0" borderId="8" xfId="0" applyFont="1" applyBorder="1"/>
    <xf numFmtId="0" fontId="2" fillId="0" borderId="14" xfId="0" applyFont="1" applyBorder="1" applyAlignment="1" applyProtection="1">
      <alignment horizontal="center"/>
    </xf>
    <xf numFmtId="44" fontId="3" fillId="0" borderId="13" xfId="2" applyFont="1" applyBorder="1"/>
    <xf numFmtId="44" fontId="3" fillId="0" borderId="13" xfId="2" applyFont="1" applyFill="1" applyBorder="1" applyProtection="1"/>
    <xf numFmtId="0" fontId="3" fillId="0" borderId="22" xfId="0" applyFont="1" applyBorder="1"/>
    <xf numFmtId="164" fontId="3" fillId="0" borderId="8" xfId="1" applyNumberFormat="1" applyFont="1" applyFill="1" applyBorder="1" applyProtection="1"/>
    <xf numFmtId="164" fontId="3" fillId="0" borderId="0" xfId="1" applyNumberFormat="1" applyFont="1"/>
    <xf numFmtId="44" fontId="3" fillId="0" borderId="8" xfId="2" applyFont="1" applyBorder="1"/>
    <xf numFmtId="44" fontId="3" fillId="0" borderId="25" xfId="2" applyFont="1" applyBorder="1"/>
    <xf numFmtId="165" fontId="3" fillId="0" borderId="26" xfId="2" applyNumberFormat="1" applyFont="1" applyBorder="1"/>
    <xf numFmtId="164" fontId="3" fillId="0" borderId="27" xfId="0" applyNumberFormat="1" applyFont="1" applyBorder="1"/>
    <xf numFmtId="165" fontId="3" fillId="0" borderId="28" xfId="2" applyNumberFormat="1" applyFont="1" applyBorder="1"/>
    <xf numFmtId="164" fontId="3" fillId="0" borderId="29" xfId="0" applyNumberFormat="1" applyFont="1" applyBorder="1"/>
    <xf numFmtId="44" fontId="3" fillId="0" borderId="1" xfId="2" applyFont="1" applyBorder="1"/>
    <xf numFmtId="44" fontId="3" fillId="0" borderId="1" xfId="2" applyFont="1" applyFill="1" applyBorder="1" applyProtection="1"/>
    <xf numFmtId="165" fontId="3" fillId="0" borderId="0" xfId="0" applyNumberFormat="1" applyFont="1" applyBorder="1"/>
    <xf numFmtId="165" fontId="3" fillId="0" borderId="25" xfId="2" applyNumberFormat="1" applyFont="1" applyBorder="1"/>
    <xf numFmtId="165" fontId="3" fillId="0" borderId="23" xfId="2" applyNumberFormat="1" applyFont="1" applyBorder="1"/>
    <xf numFmtId="164" fontId="5" fillId="0" borderId="0" xfId="1" applyNumberFormat="1" applyFont="1" applyFill="1" applyBorder="1" applyProtection="1"/>
    <xf numFmtId="164" fontId="3" fillId="0" borderId="0" xfId="1" applyNumberFormat="1" applyFont="1" applyBorder="1"/>
    <xf numFmtId="164" fontId="3" fillId="0" borderId="25" xfId="1" applyNumberFormat="1" applyFont="1" applyBorder="1"/>
    <xf numFmtId="44" fontId="2" fillId="0" borderId="3" xfId="2" applyFont="1" applyBorder="1" applyAlignment="1" applyProtection="1">
      <alignment horizontal="center"/>
    </xf>
    <xf numFmtId="44" fontId="2" fillId="0" borderId="0" xfId="2" applyFont="1" applyAlignment="1" applyProtection="1">
      <alignment horizontal="center"/>
    </xf>
    <xf numFmtId="44" fontId="3" fillId="0" borderId="25" xfId="2" applyFont="1" applyBorder="1" applyAlignment="1">
      <alignment horizontal="right"/>
    </xf>
    <xf numFmtId="44" fontId="3" fillId="0" borderId="23" xfId="2" applyFont="1" applyBorder="1" applyAlignment="1">
      <alignment horizontal="right"/>
    </xf>
    <xf numFmtId="164" fontId="7" fillId="0" borderId="25" xfId="0" applyNumberFormat="1" applyFont="1" applyBorder="1"/>
    <xf numFmtId="0" fontId="7" fillId="0" borderId="0" xfId="0" applyFont="1" applyBorder="1"/>
    <xf numFmtId="164" fontId="7" fillId="0" borderId="23" xfId="0" applyNumberFormat="1" applyFont="1" applyBorder="1"/>
    <xf numFmtId="0" fontId="7" fillId="0" borderId="0" xfId="0" applyFont="1"/>
    <xf numFmtId="164" fontId="7" fillId="0" borderId="27" xfId="0" applyNumberFormat="1" applyFont="1" applyBorder="1"/>
    <xf numFmtId="164" fontId="7" fillId="0" borderId="29" xfId="0" applyNumberFormat="1" applyFont="1" applyBorder="1"/>
    <xf numFmtId="44" fontId="3" fillId="0" borderId="23" xfId="2" quotePrefix="1" applyFont="1" applyBorder="1" applyAlignment="1">
      <alignment horizontal="right"/>
    </xf>
    <xf numFmtId="0" fontId="3" fillId="0" borderId="0" xfId="0" applyFont="1" applyFill="1" applyBorder="1"/>
    <xf numFmtId="0" fontId="9" fillId="2" borderId="8" xfId="0" applyFont="1" applyFill="1" applyBorder="1"/>
    <xf numFmtId="165" fontId="3" fillId="0" borderId="0" xfId="0" applyNumberFormat="1" applyFont="1"/>
    <xf numFmtId="0" fontId="3" fillId="0" borderId="0" xfId="0" applyFont="1" applyBorder="1" applyAlignment="1">
      <alignment horizontal="right"/>
    </xf>
    <xf numFmtId="44" fontId="3" fillId="0" borderId="0" xfId="2" applyFont="1" applyBorder="1"/>
    <xf numFmtId="44" fontId="11" fillId="0" borderId="25" xfId="2" applyFont="1" applyBorder="1"/>
    <xf numFmtId="44" fontId="11" fillId="0" borderId="23" xfId="2" applyFont="1" applyBorder="1"/>
    <xf numFmtId="44" fontId="11" fillId="0" borderId="27" xfId="2" applyFont="1" applyBorder="1"/>
    <xf numFmtId="44" fontId="11" fillId="0" borderId="29" xfId="2" applyFont="1" applyBorder="1"/>
    <xf numFmtId="0" fontId="2" fillId="0" borderId="0" xfId="0" applyFont="1"/>
    <xf numFmtId="44" fontId="3" fillId="0" borderId="30" xfId="2" applyFont="1" applyBorder="1" applyAlignment="1">
      <alignment horizontal="right"/>
    </xf>
    <xf numFmtId="44" fontId="11" fillId="0" borderId="30" xfId="2" applyFont="1" applyBorder="1"/>
    <xf numFmtId="164" fontId="7" fillId="0" borderId="30" xfId="0" applyNumberFormat="1" applyFont="1" applyBorder="1"/>
    <xf numFmtId="165" fontId="3" fillId="0" borderId="30" xfId="2" applyNumberFormat="1" applyFont="1" applyBorder="1"/>
    <xf numFmtId="0" fontId="7" fillId="0" borderId="25" xfId="0" applyFont="1" applyBorder="1"/>
    <xf numFmtId="0" fontId="2" fillId="4" borderId="17" xfId="0" applyFont="1" applyFill="1" applyBorder="1"/>
    <xf numFmtId="44" fontId="2" fillId="4" borderId="17" xfId="2" applyFont="1" applyFill="1" applyBorder="1"/>
    <xf numFmtId="44" fontId="12" fillId="4" borderId="17" xfId="2" applyFont="1" applyFill="1" applyBorder="1"/>
    <xf numFmtId="0" fontId="8" fillId="4" borderId="17" xfId="0" applyFont="1" applyFill="1" applyBorder="1"/>
    <xf numFmtId="165" fontId="2" fillId="4" borderId="17" xfId="0" applyNumberFormat="1" applyFont="1" applyFill="1" applyBorder="1"/>
    <xf numFmtId="164" fontId="8" fillId="4" borderId="17" xfId="0" applyNumberFormat="1" applyFont="1" applyFill="1" applyBorder="1"/>
    <xf numFmtId="0" fontId="2" fillId="3" borderId="17" xfId="0" applyFont="1" applyFill="1" applyBorder="1"/>
    <xf numFmtId="44" fontId="2" fillId="3" borderId="17" xfId="2" applyFont="1" applyFill="1" applyBorder="1"/>
    <xf numFmtId="164" fontId="8" fillId="3" borderId="17" xfId="0" applyNumberFormat="1" applyFont="1" applyFill="1" applyBorder="1"/>
    <xf numFmtId="164" fontId="12" fillId="3" borderId="17" xfId="0" applyNumberFormat="1" applyFont="1" applyFill="1" applyBorder="1"/>
    <xf numFmtId="44" fontId="11" fillId="0" borderId="31" xfId="2" applyFont="1" applyBorder="1"/>
    <xf numFmtId="44" fontId="12" fillId="3" borderId="18" xfId="2" applyFont="1" applyFill="1" applyBorder="1"/>
    <xf numFmtId="0" fontId="9" fillId="2" borderId="0" xfId="0" applyFont="1" applyFill="1" applyBorder="1"/>
    <xf numFmtId="0" fontId="7" fillId="0" borderId="10" xfId="0" applyFont="1" applyBorder="1"/>
    <xf numFmtId="165" fontId="3" fillId="0" borderId="32" xfId="2" applyNumberFormat="1" applyFont="1" applyBorder="1"/>
    <xf numFmtId="165" fontId="2" fillId="4" borderId="16" xfId="0" applyNumberFormat="1" applyFont="1" applyFill="1" applyBorder="1"/>
    <xf numFmtId="164" fontId="7" fillId="0" borderId="31" xfId="0" applyNumberFormat="1" applyFont="1" applyBorder="1"/>
    <xf numFmtId="0" fontId="8" fillId="4" borderId="18" xfId="0" applyFont="1" applyFill="1" applyBorder="1"/>
    <xf numFmtId="164" fontId="8" fillId="4" borderId="18" xfId="0" applyNumberFormat="1" applyFont="1" applyFill="1" applyBorder="1"/>
    <xf numFmtId="164" fontId="8" fillId="3" borderId="18" xfId="0" applyNumberFormat="1" applyFont="1" applyFill="1" applyBorder="1"/>
    <xf numFmtId="164" fontId="3" fillId="0" borderId="31" xfId="0" applyNumberFormat="1" applyFont="1" applyBorder="1"/>
    <xf numFmtId="0" fontId="3" fillId="0" borderId="27" xfId="0" applyFont="1" applyBorder="1"/>
    <xf numFmtId="165" fontId="2" fillId="4" borderId="17" xfId="2" applyNumberFormat="1" applyFont="1" applyFill="1" applyBorder="1"/>
    <xf numFmtId="165" fontId="7" fillId="0" borderId="23" xfId="2" applyNumberFormat="1" applyFont="1" applyBorder="1"/>
    <xf numFmtId="165" fontId="7" fillId="0" borderId="30" xfId="2" applyNumberFormat="1" applyFont="1" applyBorder="1"/>
    <xf numFmtId="165" fontId="2" fillId="3" borderId="17" xfId="2" applyNumberFormat="1" applyFont="1" applyFill="1" applyBorder="1"/>
    <xf numFmtId="0" fontId="2" fillId="5" borderId="0" xfId="0" applyFont="1" applyFill="1" applyBorder="1"/>
    <xf numFmtId="0" fontId="3" fillId="5" borderId="1" xfId="0" applyFont="1" applyFill="1" applyBorder="1"/>
    <xf numFmtId="16" fontId="3" fillId="0" borderId="0" xfId="0" quotePrefix="1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2" fillId="0" borderId="19" xfId="2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19" xfId="0" applyFont="1" applyBorder="1" applyAlignment="1" applyProtection="1">
      <alignment horizontal="center"/>
    </xf>
    <xf numFmtId="165" fontId="2" fillId="0" borderId="2" xfId="2" applyNumberFormat="1" applyFont="1" applyBorder="1" applyAlignment="1" applyProtection="1">
      <alignment horizontal="center"/>
    </xf>
    <xf numFmtId="44" fontId="8" fillId="4" borderId="17" xfId="0" applyNumberFormat="1" applyFont="1" applyFill="1" applyBorder="1"/>
    <xf numFmtId="164" fontId="3" fillId="0" borderId="26" xfId="1" applyNumberFormat="1" applyFont="1" applyBorder="1"/>
    <xf numFmtId="164" fontId="11" fillId="0" borderId="25" xfId="1" applyNumberFormat="1" applyFont="1" applyBorder="1"/>
    <xf numFmtId="164" fontId="7" fillId="0" borderId="25" xfId="1" applyNumberFormat="1" applyFont="1" applyBorder="1"/>
    <xf numFmtId="164" fontId="7" fillId="0" borderId="27" xfId="1" applyNumberFormat="1" applyFont="1" applyBorder="1"/>
    <xf numFmtId="164" fontId="3" fillId="0" borderId="27" xfId="1" applyNumberFormat="1" applyFont="1" applyBorder="1"/>
    <xf numFmtId="164" fontId="2" fillId="0" borderId="0" xfId="1" applyNumberFormat="1" applyFont="1" applyAlignment="1" applyProtection="1">
      <alignment horizontal="center"/>
    </xf>
    <xf numFmtId="164" fontId="2" fillId="0" borderId="2" xfId="1" applyNumberFormat="1" applyFont="1" applyBorder="1" applyAlignment="1" applyProtection="1">
      <alignment horizontal="center"/>
    </xf>
    <xf numFmtId="164" fontId="3" fillId="0" borderId="0" xfId="1" applyNumberFormat="1" applyFont="1" applyFill="1" applyBorder="1"/>
    <xf numFmtId="164" fontId="2" fillId="0" borderId="0" xfId="1" applyNumberFormat="1" applyFont="1" applyBorder="1" applyAlignment="1" applyProtection="1">
      <alignment horizontal="center"/>
    </xf>
    <xf numFmtId="164" fontId="2" fillId="0" borderId="0" xfId="1" applyNumberFormat="1" applyFont="1" applyBorder="1"/>
    <xf numFmtId="164" fontId="3" fillId="0" borderId="24" xfId="1" applyNumberFormat="1" applyFont="1" applyBorder="1"/>
    <xf numFmtId="165" fontId="7" fillId="0" borderId="10" xfId="2" applyNumberFormat="1" applyFont="1" applyBorder="1"/>
    <xf numFmtId="165" fontId="7" fillId="0" borderId="26" xfId="2" applyNumberFormat="1" applyFont="1" applyBorder="1"/>
    <xf numFmtId="165" fontId="7" fillId="0" borderId="28" xfId="2" applyNumberFormat="1" applyFont="1" applyBorder="1"/>
    <xf numFmtId="165" fontId="7" fillId="0" borderId="32" xfId="2" applyNumberFormat="1" applyFont="1" applyBorder="1"/>
    <xf numFmtId="165" fontId="2" fillId="3" borderId="16" xfId="2" applyNumberFormat="1" applyFont="1" applyFill="1" applyBorder="1"/>
    <xf numFmtId="164" fontId="7" fillId="0" borderId="0" xfId="0" applyNumberFormat="1" applyFont="1"/>
    <xf numFmtId="44" fontId="13" fillId="0" borderId="1" xfId="2" applyFont="1" applyBorder="1"/>
    <xf numFmtId="0" fontId="13" fillId="0" borderId="13" xfId="0" applyFont="1" applyBorder="1"/>
    <xf numFmtId="164" fontId="3" fillId="6" borderId="8" xfId="1" applyNumberFormat="1" applyFont="1" applyFill="1" applyBorder="1" applyProtection="1"/>
    <xf numFmtId="0" fontId="2" fillId="0" borderId="0" xfId="0" applyFont="1" applyAlignment="1">
      <alignment horizontal="left"/>
    </xf>
    <xf numFmtId="0" fontId="2" fillId="0" borderId="0" xfId="0" applyFont="1" applyAlignment="1" applyProtection="1">
      <alignment horizontal="left"/>
    </xf>
    <xf numFmtId="44" fontId="3" fillId="0" borderId="27" xfId="2" applyFont="1" applyBorder="1"/>
    <xf numFmtId="44" fontId="3" fillId="0" borderId="29" xfId="2" applyFont="1" applyBorder="1"/>
    <xf numFmtId="44" fontId="3" fillId="0" borderId="31" xfId="2" applyFont="1" applyBorder="1"/>
    <xf numFmtId="44" fontId="2" fillId="4" borderId="18" xfId="2" applyFont="1" applyFill="1" applyBorder="1"/>
    <xf numFmtId="0" fontId="2" fillId="8" borderId="4" xfId="0" applyFont="1" applyFill="1" applyBorder="1" applyAlignment="1" applyProtection="1">
      <alignment horizontal="left"/>
    </xf>
    <xf numFmtId="164" fontId="2" fillId="8" borderId="17" xfId="1" applyNumberFormat="1" applyFont="1" applyFill="1" applyBorder="1" applyProtection="1"/>
    <xf numFmtId="165" fontId="2" fillId="8" borderId="17" xfId="2" applyNumberFormat="1" applyFont="1" applyFill="1" applyBorder="1" applyProtection="1"/>
    <xf numFmtId="164" fontId="2" fillId="8" borderId="4" xfId="1" applyNumberFormat="1" applyFont="1" applyFill="1" applyBorder="1" applyProtection="1"/>
    <xf numFmtId="165" fontId="2" fillId="8" borderId="16" xfId="2" applyNumberFormat="1" applyFont="1" applyFill="1" applyBorder="1" applyProtection="1"/>
    <xf numFmtId="164" fontId="2" fillId="8" borderId="18" xfId="1" applyNumberFormat="1" applyFont="1" applyFill="1" applyBorder="1" applyProtection="1"/>
    <xf numFmtId="0" fontId="2" fillId="7" borderId="5" xfId="0" applyFont="1" applyFill="1" applyBorder="1" applyAlignment="1" applyProtection="1">
      <alignment horizontal="left"/>
    </xf>
    <xf numFmtId="164" fontId="2" fillId="7" borderId="6" xfId="1" applyNumberFormat="1" applyFont="1" applyFill="1" applyBorder="1"/>
    <xf numFmtId="164" fontId="6" fillId="8" borderId="17" xfId="1" applyNumberFormat="1" applyFont="1" applyFill="1" applyBorder="1" applyProtection="1"/>
    <xf numFmtId="44" fontId="2" fillId="8" borderId="4" xfId="2" applyFont="1" applyFill="1" applyBorder="1" applyProtection="1"/>
    <xf numFmtId="43" fontId="2" fillId="8" borderId="18" xfId="1" applyFont="1" applyFill="1" applyBorder="1" applyProtection="1"/>
    <xf numFmtId="44" fontId="2" fillId="7" borderId="5" xfId="2" applyFont="1" applyFill="1" applyBorder="1" applyAlignment="1" applyProtection="1">
      <alignment horizontal="left"/>
    </xf>
    <xf numFmtId="0" fontId="2" fillId="7" borderId="15" xfId="0" applyFont="1" applyFill="1" applyBorder="1" applyAlignment="1" applyProtection="1">
      <alignment horizontal="left"/>
    </xf>
    <xf numFmtId="164" fontId="2" fillId="7" borderId="5" xfId="1" applyNumberFormat="1" applyFont="1" applyFill="1" applyBorder="1"/>
    <xf numFmtId="164" fontId="2" fillId="7" borderId="11" xfId="1" applyNumberFormat="1" applyFont="1" applyFill="1" applyBorder="1"/>
    <xf numFmtId="164" fontId="2" fillId="7" borderId="21" xfId="1" applyNumberFormat="1" applyFont="1" applyFill="1" applyBorder="1"/>
    <xf numFmtId="44" fontId="2" fillId="8" borderId="20" xfId="2" applyFont="1" applyFill="1" applyBorder="1"/>
    <xf numFmtId="164" fontId="15" fillId="8" borderId="4" xfId="1" applyNumberFormat="1" applyFont="1" applyFill="1" applyBorder="1" applyProtection="1"/>
    <xf numFmtId="164" fontId="3" fillId="0" borderId="24" xfId="0" applyNumberFormat="1" applyFont="1" applyBorder="1"/>
    <xf numFmtId="44" fontId="3" fillId="0" borderId="8" xfId="2" applyFont="1" applyFill="1" applyBorder="1" applyProtection="1"/>
    <xf numFmtId="0" fontId="16" fillId="0" borderId="1" xfId="0" applyFont="1" applyBorder="1" applyAlignment="1" applyProtection="1">
      <alignment horizontal="left"/>
    </xf>
    <xf numFmtId="0" fontId="3" fillId="0" borderId="0" xfId="0" applyFont="1" applyAlignment="1">
      <alignment horizontal="right"/>
    </xf>
    <xf numFmtId="44" fontId="13" fillId="0" borderId="8" xfId="2" applyFont="1" applyFill="1" applyBorder="1" applyProtection="1"/>
    <xf numFmtId="164" fontId="11" fillId="0" borderId="1" xfId="1" applyNumberFormat="1" applyFont="1" applyFill="1" applyBorder="1" applyProtection="1"/>
    <xf numFmtId="0" fontId="2" fillId="9" borderId="4" xfId="0" applyFont="1" applyFill="1" applyBorder="1" applyAlignment="1" applyProtection="1">
      <alignment horizontal="left"/>
    </xf>
    <xf numFmtId="44" fontId="14" fillId="9" borderId="4" xfId="2" applyFont="1" applyFill="1" applyBorder="1" applyProtection="1"/>
    <xf numFmtId="164" fontId="2" fillId="9" borderId="17" xfId="1" applyNumberFormat="1" applyFont="1" applyFill="1" applyBorder="1" applyProtection="1"/>
    <xf numFmtId="165" fontId="2" fillId="9" borderId="17" xfId="2" applyNumberFormat="1" applyFont="1" applyFill="1" applyBorder="1" applyProtection="1"/>
    <xf numFmtId="43" fontId="14" fillId="9" borderId="18" xfId="1" applyFont="1" applyFill="1" applyBorder="1" applyProtection="1"/>
    <xf numFmtId="164" fontId="2" fillId="9" borderId="4" xfId="1" applyNumberFormat="1" applyFont="1" applyFill="1" applyBorder="1" applyProtection="1"/>
    <xf numFmtId="165" fontId="2" fillId="9" borderId="16" xfId="2" applyNumberFormat="1" applyFont="1" applyFill="1" applyBorder="1" applyProtection="1"/>
    <xf numFmtId="164" fontId="2" fillId="9" borderId="18" xfId="1" applyNumberFormat="1" applyFont="1" applyFill="1" applyBorder="1" applyProtection="1"/>
    <xf numFmtId="164" fontId="3" fillId="10" borderId="0" xfId="1" applyNumberFormat="1" applyFont="1" applyFill="1"/>
    <xf numFmtId="0" fontId="2" fillId="11" borderId="5" xfId="0" applyFont="1" applyFill="1" applyBorder="1" applyAlignment="1" applyProtection="1">
      <alignment horizontal="left"/>
    </xf>
    <xf numFmtId="44" fontId="14" fillId="11" borderId="5" xfId="2" applyFont="1" applyFill="1" applyBorder="1" applyAlignment="1" applyProtection="1">
      <alignment horizontal="left"/>
    </xf>
    <xf numFmtId="43" fontId="2" fillId="11" borderId="6" xfId="1" applyFont="1" applyFill="1" applyBorder="1"/>
    <xf numFmtId="165" fontId="2" fillId="11" borderId="6" xfId="2" applyNumberFormat="1" applyFont="1" applyFill="1" applyBorder="1"/>
    <xf numFmtId="44" fontId="14" fillId="11" borderId="19" xfId="2" applyFont="1" applyFill="1" applyBorder="1" applyAlignment="1" applyProtection="1">
      <alignment horizontal="left"/>
    </xf>
    <xf numFmtId="43" fontId="2" fillId="11" borderId="5" xfId="1" applyFont="1" applyFill="1" applyBorder="1"/>
    <xf numFmtId="165" fontId="2" fillId="11" borderId="11" xfId="2" applyNumberFormat="1" applyFont="1" applyFill="1" applyBorder="1"/>
    <xf numFmtId="43" fontId="2" fillId="11" borderId="21" xfId="1" applyFont="1" applyFill="1" applyBorder="1"/>
    <xf numFmtId="164" fontId="2" fillId="11" borderId="6" xfId="1" applyNumberFormat="1" applyFont="1" applyFill="1" applyBorder="1"/>
    <xf numFmtId="164" fontId="2" fillId="12" borderId="6" xfId="1" applyNumberFormat="1" applyFont="1" applyFill="1" applyBorder="1"/>
    <xf numFmtId="164" fontId="2" fillId="13" borderId="6" xfId="1" applyNumberFormat="1" applyFont="1" applyFill="1" applyBorder="1"/>
    <xf numFmtId="164" fontId="5" fillId="0" borderId="1" xfId="1" applyNumberFormat="1" applyFont="1" applyFill="1" applyBorder="1" applyProtection="1"/>
    <xf numFmtId="164" fontId="6" fillId="9" borderId="17" xfId="1" applyNumberFormat="1" applyFont="1" applyFill="1" applyBorder="1" applyProtection="1"/>
    <xf numFmtId="164" fontId="6" fillId="9" borderId="4" xfId="1" applyNumberFormat="1" applyFont="1" applyFill="1" applyBorder="1" applyProtection="1"/>
    <xf numFmtId="44" fontId="2" fillId="9" borderId="4" xfId="2" applyFont="1" applyFill="1" applyBorder="1" applyProtection="1"/>
    <xf numFmtId="43" fontId="2" fillId="9" borderId="18" xfId="1" applyFont="1" applyFill="1" applyBorder="1" applyProtection="1"/>
    <xf numFmtId="44" fontId="2" fillId="11" borderId="5" xfId="2" applyFont="1" applyFill="1" applyBorder="1" applyAlignment="1" applyProtection="1">
      <alignment horizontal="left"/>
    </xf>
    <xf numFmtId="44" fontId="2" fillId="11" borderId="19" xfId="2" applyFont="1" applyFill="1" applyBorder="1" applyAlignment="1" applyProtection="1">
      <alignment horizontal="left"/>
    </xf>
    <xf numFmtId="44" fontId="2" fillId="9" borderId="20" xfId="2" applyFont="1" applyFill="1" applyBorder="1"/>
    <xf numFmtId="0" fontId="2" fillId="11" borderId="15" xfId="0" applyFont="1" applyFill="1" applyBorder="1" applyAlignment="1" applyProtection="1">
      <alignment horizontal="left"/>
    </xf>
    <xf numFmtId="164" fontId="2" fillId="11" borderId="5" xfId="1" applyNumberFormat="1" applyFont="1" applyFill="1" applyBorder="1"/>
    <xf numFmtId="164" fontId="2" fillId="11" borderId="11" xfId="1" applyNumberFormat="1" applyFont="1" applyFill="1" applyBorder="1"/>
    <xf numFmtId="164" fontId="2" fillId="11" borderId="21" xfId="1" applyNumberFormat="1" applyFont="1" applyFill="1" applyBorder="1"/>
    <xf numFmtId="0" fontId="3" fillId="0" borderId="13" xfId="0" applyFont="1" applyBorder="1"/>
    <xf numFmtId="44" fontId="18" fillId="0" borderId="1" xfId="2" applyFont="1" applyFill="1" applyBorder="1" applyProtection="1"/>
    <xf numFmtId="44" fontId="18" fillId="0" borderId="8" xfId="2" applyFont="1" applyFill="1" applyBorder="1" applyProtection="1"/>
    <xf numFmtId="43" fontId="19" fillId="9" borderId="18" xfId="1" applyFont="1" applyFill="1" applyBorder="1" applyProtection="1"/>
    <xf numFmtId="164" fontId="2" fillId="7" borderId="18" xfId="1" applyNumberFormat="1" applyFont="1" applyFill="1" applyBorder="1" applyProtection="1"/>
    <xf numFmtId="44" fontId="12" fillId="4" borderId="18" xfId="2" applyFont="1" applyFill="1" applyBorder="1"/>
    <xf numFmtId="0" fontId="3" fillId="0" borderId="1" xfId="0" applyFont="1" applyBorder="1"/>
    <xf numFmtId="0" fontId="2" fillId="0" borderId="3" xfId="0" applyFont="1" applyBorder="1" applyAlignment="1" applyProtection="1">
      <alignment horizontal="center"/>
    </xf>
    <xf numFmtId="0" fontId="2" fillId="12" borderId="0" xfId="0" applyFont="1" applyFill="1" applyBorder="1"/>
    <xf numFmtId="43" fontId="2" fillId="9" borderId="4" xfId="1" applyFont="1" applyFill="1" applyBorder="1" applyProtection="1"/>
    <xf numFmtId="165" fontId="2" fillId="13" borderId="6" xfId="2" applyNumberFormat="1" applyFont="1" applyFill="1" applyBorder="1"/>
    <xf numFmtId="164" fontId="5" fillId="0" borderId="8" xfId="1" applyNumberFormat="1" applyFont="1" applyFill="1" applyBorder="1" applyProtection="1"/>
    <xf numFmtId="10" fontId="3" fillId="0" borderId="0" xfId="3" applyNumberFormat="1" applyFont="1" applyBorder="1"/>
    <xf numFmtId="164" fontId="6" fillId="9" borderId="18" xfId="1" applyNumberFormat="1" applyFont="1" applyFill="1" applyBorder="1" applyProtection="1"/>
    <xf numFmtId="164" fontId="2" fillId="11" borderId="33" xfId="1" applyNumberFormat="1" applyFont="1" applyFill="1" applyBorder="1"/>
    <xf numFmtId="164" fontId="2" fillId="11" borderId="34" xfId="1" applyNumberFormat="1" applyFont="1" applyFill="1" applyBorder="1"/>
    <xf numFmtId="164" fontId="2" fillId="11" borderId="35" xfId="1" applyNumberFormat="1" applyFont="1" applyFill="1" applyBorder="1"/>
    <xf numFmtId="164" fontId="2" fillId="12" borderId="35" xfId="1" applyNumberFormat="1" applyFont="1" applyFill="1" applyBorder="1"/>
    <xf numFmtId="0" fontId="3" fillId="0" borderId="36" xfId="0" applyFont="1" applyFill="1" applyBorder="1"/>
    <xf numFmtId="0" fontId="3" fillId="0" borderId="35" xfId="0" applyFont="1" applyFill="1" applyBorder="1"/>
    <xf numFmtId="164" fontId="3" fillId="0" borderId="37" xfId="0" applyNumberFormat="1" applyFont="1" applyFill="1" applyBorder="1"/>
    <xf numFmtId="0" fontId="3" fillId="0" borderId="38" xfId="0" applyFont="1" applyFill="1" applyBorder="1"/>
    <xf numFmtId="0" fontId="3" fillId="0" borderId="24" xfId="0" applyFont="1" applyFill="1" applyBorder="1"/>
    <xf numFmtId="164" fontId="6" fillId="11" borderId="39" xfId="0" applyNumberFormat="1" applyFont="1" applyFill="1" applyBorder="1"/>
    <xf numFmtId="16" fontId="3" fillId="0" borderId="40" xfId="0" quotePrefix="1" applyNumberFormat="1" applyFont="1" applyBorder="1" applyAlignment="1">
      <alignment horizontal="center"/>
    </xf>
    <xf numFmtId="0" fontId="2" fillId="0" borderId="24" xfId="0" applyFont="1" applyBorder="1"/>
    <xf numFmtId="0" fontId="2" fillId="0" borderId="41" xfId="0" applyFont="1" applyBorder="1" applyAlignment="1">
      <alignment horizontal="center"/>
    </xf>
    <xf numFmtId="0" fontId="2" fillId="0" borderId="24" xfId="0" applyFont="1" applyBorder="1" applyAlignment="1">
      <alignment horizontal="right"/>
    </xf>
    <xf numFmtId="44" fontId="2" fillId="0" borderId="24" xfId="2" applyFont="1" applyBorder="1" applyAlignment="1">
      <alignment horizontal="right"/>
    </xf>
    <xf numFmtId="0" fontId="2" fillId="0" borderId="38" xfId="0" applyFont="1" applyBorder="1" applyAlignment="1">
      <alignment horizontal="right"/>
    </xf>
    <xf numFmtId="0" fontId="2" fillId="0" borderId="42" xfId="0" applyFont="1" applyBorder="1" applyAlignment="1">
      <alignment horizontal="right"/>
    </xf>
    <xf numFmtId="44" fontId="2" fillId="0" borderId="43" xfId="2" applyFont="1" applyBorder="1" applyAlignment="1">
      <alignment horizontal="right"/>
    </xf>
    <xf numFmtId="0" fontId="2" fillId="0" borderId="43" xfId="0" applyFont="1" applyBorder="1" applyAlignment="1">
      <alignment horizontal="right"/>
    </xf>
    <xf numFmtId="0" fontId="3" fillId="12" borderId="0" xfId="0" applyFont="1" applyFill="1"/>
    <xf numFmtId="0" fontId="3" fillId="0" borderId="44" xfId="0" applyFont="1" applyBorder="1" applyAlignment="1">
      <alignment horizontal="right"/>
    </xf>
    <xf numFmtId="0" fontId="3" fillId="0" borderId="23" xfId="0" applyFont="1" applyBorder="1" applyAlignment="1">
      <alignment horizontal="right"/>
    </xf>
    <xf numFmtId="164" fontId="3" fillId="0" borderId="45" xfId="1" applyNumberFormat="1" applyFont="1" applyBorder="1" applyAlignment="1">
      <alignment horizontal="right"/>
    </xf>
    <xf numFmtId="0" fontId="3" fillId="0" borderId="25" xfId="0" applyFont="1" applyBorder="1" applyAlignment="1">
      <alignment horizontal="right"/>
    </xf>
    <xf numFmtId="164" fontId="3" fillId="0" borderId="46" xfId="0" applyNumberFormat="1" applyFont="1" applyBorder="1"/>
    <xf numFmtId="164" fontId="3" fillId="0" borderId="25" xfId="0" applyNumberFormat="1" applyFont="1" applyBorder="1"/>
    <xf numFmtId="44" fontId="3" fillId="0" borderId="23" xfId="2" applyFont="1" applyBorder="1"/>
    <xf numFmtId="164" fontId="3" fillId="0" borderId="47" xfId="0" applyNumberFormat="1" applyFont="1" applyBorder="1"/>
    <xf numFmtId="164" fontId="3" fillId="0" borderId="23" xfId="0" applyNumberFormat="1" applyFont="1" applyBorder="1"/>
    <xf numFmtId="164" fontId="3" fillId="0" borderId="23" xfId="1" applyNumberFormat="1" applyFont="1" applyBorder="1"/>
    <xf numFmtId="0" fontId="3" fillId="0" borderId="48" xfId="0" applyFont="1" applyBorder="1" applyAlignment="1">
      <alignment horizontal="right"/>
    </xf>
    <xf numFmtId="164" fontId="3" fillId="0" borderId="49" xfId="1" applyNumberFormat="1" applyFont="1" applyBorder="1" applyAlignment="1">
      <alignment horizontal="right"/>
    </xf>
    <xf numFmtId="44" fontId="3" fillId="0" borderId="48" xfId="2" applyFont="1" applyBorder="1"/>
    <xf numFmtId="164" fontId="3" fillId="0" borderId="50" xfId="0" applyNumberFormat="1" applyFont="1" applyBorder="1"/>
    <xf numFmtId="165" fontId="3" fillId="0" borderId="51" xfId="2" applyNumberFormat="1" applyFont="1" applyBorder="1"/>
    <xf numFmtId="44" fontId="3" fillId="0" borderId="52" xfId="2" applyFont="1" applyBorder="1"/>
    <xf numFmtId="164" fontId="3" fillId="0" borderId="48" xfId="0" applyNumberFormat="1" applyFont="1" applyBorder="1"/>
    <xf numFmtId="164" fontId="3" fillId="0" borderId="52" xfId="0" applyNumberFormat="1" applyFont="1" applyBorder="1"/>
    <xf numFmtId="164" fontId="3" fillId="0" borderId="48" xfId="1" applyNumberFormat="1" applyFont="1" applyBorder="1"/>
    <xf numFmtId="0" fontId="3" fillId="9" borderId="17" xfId="0" applyFont="1" applyFill="1" applyBorder="1"/>
    <xf numFmtId="164" fontId="3" fillId="9" borderId="53" xfId="1" applyNumberFormat="1" applyFont="1" applyFill="1" applyBorder="1"/>
    <xf numFmtId="44" fontId="3" fillId="9" borderId="17" xfId="2" applyFont="1" applyFill="1" applyBorder="1"/>
    <xf numFmtId="0" fontId="3" fillId="9" borderId="4" xfId="0" applyFont="1" applyFill="1" applyBorder="1"/>
    <xf numFmtId="165" fontId="3" fillId="9" borderId="16" xfId="0" applyNumberFormat="1" applyFont="1" applyFill="1" applyBorder="1"/>
    <xf numFmtId="44" fontId="3" fillId="9" borderId="18" xfId="2" applyFont="1" applyFill="1" applyBorder="1"/>
    <xf numFmtId="0" fontId="3" fillId="9" borderId="18" xfId="0" applyFont="1" applyFill="1" applyBorder="1"/>
    <xf numFmtId="164" fontId="3" fillId="9" borderId="17" xfId="1" applyNumberFormat="1" applyFont="1" applyFill="1" applyBorder="1"/>
    <xf numFmtId="164" fontId="3" fillId="0" borderId="44" xfId="1" applyNumberFormat="1" applyFont="1" applyBorder="1" applyAlignment="1">
      <alignment horizontal="right"/>
    </xf>
    <xf numFmtId="0" fontId="3" fillId="9" borderId="0" xfId="0" applyFont="1" applyFill="1" applyBorder="1"/>
    <xf numFmtId="164" fontId="3" fillId="9" borderId="40" xfId="1" applyNumberFormat="1" applyFont="1" applyFill="1" applyBorder="1"/>
    <xf numFmtId="44" fontId="3" fillId="9" borderId="0" xfId="2" applyFont="1" applyFill="1" applyBorder="1"/>
    <xf numFmtId="0" fontId="3" fillId="9" borderId="1" xfId="0" applyFont="1" applyFill="1" applyBorder="1"/>
    <xf numFmtId="165" fontId="3" fillId="9" borderId="10" xfId="0" applyNumberFormat="1" applyFont="1" applyFill="1" applyBorder="1"/>
    <xf numFmtId="44" fontId="3" fillId="9" borderId="8" xfId="2" applyFont="1" applyFill="1" applyBorder="1"/>
    <xf numFmtId="0" fontId="3" fillId="9" borderId="8" xfId="0" applyFont="1" applyFill="1" applyBorder="1"/>
    <xf numFmtId="164" fontId="3" fillId="9" borderId="0" xfId="1" applyNumberFormat="1" applyFont="1" applyFill="1" applyBorder="1"/>
    <xf numFmtId="164" fontId="3" fillId="0" borderId="40" xfId="1" applyNumberFormat="1" applyFont="1" applyBorder="1"/>
    <xf numFmtId="0" fontId="21" fillId="0" borderId="0" xfId="0" applyFont="1" applyBorder="1"/>
    <xf numFmtId="0" fontId="3" fillId="0" borderId="33" xfId="0" applyFont="1" applyBorder="1"/>
    <xf numFmtId="0" fontId="3" fillId="0" borderId="34" xfId="0" applyFont="1" applyBorder="1"/>
    <xf numFmtId="43" fontId="21" fillId="0" borderId="0" xfId="1" applyFont="1" applyBorder="1"/>
    <xf numFmtId="0" fontId="3" fillId="13" borderId="23" xfId="0" applyFont="1" applyFill="1" applyBorder="1" applyAlignment="1">
      <alignment horizontal="right"/>
    </xf>
    <xf numFmtId="43" fontId="21" fillId="11" borderId="0" xfId="1" applyFont="1" applyFill="1" applyBorder="1"/>
    <xf numFmtId="0" fontId="3" fillId="13" borderId="30" xfId="0" applyFont="1" applyFill="1" applyBorder="1" applyAlignment="1">
      <alignment horizontal="right"/>
    </xf>
    <xf numFmtId="165" fontId="3" fillId="0" borderId="48" xfId="2" applyNumberFormat="1" applyFont="1" applyBorder="1"/>
    <xf numFmtId="0" fontId="2" fillId="9" borderId="17" xfId="0" applyFont="1" applyFill="1" applyBorder="1"/>
    <xf numFmtId="165" fontId="2" fillId="9" borderId="53" xfId="0" applyNumberFormat="1" applyFont="1" applyFill="1" applyBorder="1"/>
    <xf numFmtId="44" fontId="2" fillId="9" borderId="17" xfId="2" applyFont="1" applyFill="1" applyBorder="1"/>
    <xf numFmtId="0" fontId="2" fillId="9" borderId="4" xfId="0" applyFont="1" applyFill="1" applyBorder="1"/>
    <xf numFmtId="165" fontId="2" fillId="9" borderId="16" xfId="0" applyNumberFormat="1" applyFont="1" applyFill="1" applyBorder="1"/>
    <xf numFmtId="44" fontId="2" fillId="9" borderId="18" xfId="2" applyFont="1" applyFill="1" applyBorder="1"/>
    <xf numFmtId="165" fontId="2" fillId="9" borderId="17" xfId="0" applyNumberFormat="1" applyFont="1" applyFill="1" applyBorder="1"/>
    <xf numFmtId="0" fontId="2" fillId="9" borderId="18" xfId="0" applyFont="1" applyFill="1" applyBorder="1"/>
    <xf numFmtId="164" fontId="2" fillId="9" borderId="17" xfId="1" applyNumberFormat="1" applyFont="1" applyFill="1" applyBorder="1"/>
    <xf numFmtId="43" fontId="21" fillId="0" borderId="0" xfId="0" applyNumberFormat="1" applyFont="1" applyBorder="1"/>
    <xf numFmtId="165" fontId="11" fillId="0" borderId="8" xfId="2" applyNumberFormat="1" applyFont="1" applyFill="1" applyBorder="1" applyProtection="1"/>
    <xf numFmtId="164" fontId="11" fillId="0" borderId="8" xfId="1" applyNumberFormat="1" applyFont="1" applyFill="1" applyBorder="1" applyProtection="1"/>
    <xf numFmtId="43" fontId="3" fillId="0" borderId="0" xfId="1" applyFont="1"/>
    <xf numFmtId="164" fontId="3" fillId="0" borderId="22" xfId="0" applyNumberFormat="1" applyFont="1" applyBorder="1"/>
    <xf numFmtId="164" fontId="16" fillId="0" borderId="8" xfId="1" applyNumberFormat="1" applyFont="1" applyFill="1" applyBorder="1" applyProtection="1"/>
    <xf numFmtId="164" fontId="22" fillId="9" borderId="18" xfId="1" applyNumberFormat="1" applyFont="1" applyFill="1" applyBorder="1" applyProtection="1"/>
    <xf numFmtId="0" fontId="16" fillId="0" borderId="0" xfId="0" applyFont="1"/>
    <xf numFmtId="164" fontId="2" fillId="10" borderId="6" xfId="1" applyNumberFormat="1" applyFont="1" applyFill="1" applyBorder="1"/>
    <xf numFmtId="165" fontId="3" fillId="0" borderId="8" xfId="2" applyNumberFormat="1" applyFont="1" applyFill="1" applyBorder="1" applyProtection="1"/>
    <xf numFmtId="164" fontId="12" fillId="8" borderId="4" xfId="1" applyNumberFormat="1" applyFont="1" applyFill="1" applyBorder="1" applyProtection="1"/>
    <xf numFmtId="0" fontId="2" fillId="14" borderId="5" xfId="0" applyFont="1" applyFill="1" applyBorder="1" applyAlignment="1" applyProtection="1">
      <alignment horizontal="left"/>
    </xf>
    <xf numFmtId="44" fontId="14" fillId="14" borderId="5" xfId="2" applyFont="1" applyFill="1" applyBorder="1" applyAlignment="1" applyProtection="1">
      <alignment horizontal="left"/>
    </xf>
    <xf numFmtId="43" fontId="2" fillId="14" borderId="6" xfId="1" applyFont="1" applyFill="1" applyBorder="1"/>
    <xf numFmtId="165" fontId="2" fillId="14" borderId="6" xfId="2" applyNumberFormat="1" applyFont="1" applyFill="1" applyBorder="1"/>
    <xf numFmtId="44" fontId="14" fillId="14" borderId="19" xfId="2" applyFont="1" applyFill="1" applyBorder="1" applyAlignment="1" applyProtection="1">
      <alignment horizontal="left"/>
    </xf>
    <xf numFmtId="43" fontId="2" fillId="14" borderId="5" xfId="1" applyFont="1" applyFill="1" applyBorder="1"/>
    <xf numFmtId="165" fontId="2" fillId="14" borderId="11" xfId="2" applyNumberFormat="1" applyFont="1" applyFill="1" applyBorder="1"/>
    <xf numFmtId="43" fontId="2" fillId="14" borderId="21" xfId="1" applyFont="1" applyFill="1" applyBorder="1"/>
    <xf numFmtId="164" fontId="2" fillId="14" borderId="6" xfId="1" applyNumberFormat="1" applyFont="1" applyFill="1" applyBorder="1"/>
    <xf numFmtId="44" fontId="2" fillId="14" borderId="5" xfId="2" applyFont="1" applyFill="1" applyBorder="1" applyAlignment="1" applyProtection="1">
      <alignment horizontal="left"/>
    </xf>
    <xf numFmtId="44" fontId="2" fillId="14" borderId="19" xfId="2" applyFont="1" applyFill="1" applyBorder="1" applyAlignment="1" applyProtection="1">
      <alignment horizontal="left"/>
    </xf>
    <xf numFmtId="164" fontId="11" fillId="6" borderId="8" xfId="1" applyNumberFormat="1" applyFont="1" applyFill="1" applyBorder="1" applyProtection="1"/>
    <xf numFmtId="164" fontId="12" fillId="8" borderId="18" xfId="1" applyNumberFormat="1" applyFont="1" applyFill="1" applyBorder="1" applyProtection="1"/>
    <xf numFmtId="165" fontId="11" fillId="0" borderId="10" xfId="2" applyNumberFormat="1" applyFont="1" applyFill="1" applyBorder="1" applyProtection="1"/>
    <xf numFmtId="0" fontId="2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 applyProtection="1">
      <alignment horizontal="center"/>
    </xf>
    <xf numFmtId="0" fontId="2" fillId="0" borderId="10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4" fillId="0" borderId="0" xfId="0" applyFont="1" applyAlignment="1">
      <alignment horizontal="center"/>
    </xf>
    <xf numFmtId="0" fontId="10" fillId="2" borderId="8" xfId="0" applyFont="1" applyFill="1" applyBorder="1" applyAlignment="1" applyProtection="1">
      <alignment horizontal="center"/>
    </xf>
    <xf numFmtId="0" fontId="10" fillId="2" borderId="0" xfId="0" applyFont="1" applyFill="1" applyBorder="1" applyAlignment="1" applyProtection="1">
      <alignment horizontal="center"/>
    </xf>
    <xf numFmtId="0" fontId="10" fillId="2" borderId="10" xfId="0" applyFont="1" applyFill="1" applyBorder="1" applyAlignment="1" applyProtection="1">
      <alignment horizontal="center"/>
    </xf>
    <xf numFmtId="0" fontId="10" fillId="2" borderId="1" xfId="0" applyFont="1" applyFill="1" applyBorder="1" applyAlignment="1" applyProtection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colors>
    <mruColors>
      <color rgb="FF15184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0" sqref="C20"/>
    </sheetView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8"/>
  <sheetViews>
    <sheetView workbookViewId="0">
      <selection activeCell="D18" sqref="D18"/>
    </sheetView>
  </sheetViews>
  <sheetFormatPr defaultRowHeight="12" x14ac:dyDescent="0.2"/>
  <cols>
    <col min="1" max="1" width="13.7109375" style="2" customWidth="1"/>
    <col min="2" max="2" width="12.28515625" style="2" customWidth="1"/>
    <col min="3" max="3" width="11.7109375" style="2" customWidth="1"/>
    <col min="4" max="4" width="11.28515625" style="2" customWidth="1"/>
    <col min="5" max="6" width="12.28515625" style="2" customWidth="1"/>
    <col min="7" max="7" width="10.85546875" style="2" customWidth="1"/>
    <col min="8" max="8" width="11.7109375" style="2" customWidth="1"/>
    <col min="9" max="9" width="11.42578125" style="2" customWidth="1"/>
    <col min="10" max="10" width="11.7109375" style="2" customWidth="1"/>
    <col min="11" max="11" width="11.42578125" style="2" customWidth="1"/>
    <col min="12" max="13" width="11" style="2" customWidth="1"/>
    <col min="14" max="14" width="9.28515625" style="2" customWidth="1"/>
    <col min="15" max="15" width="10.7109375" style="2" bestFit="1" customWidth="1"/>
    <col min="16" max="27" width="9.140625" style="2"/>
    <col min="28" max="28" width="2" style="2" customWidth="1"/>
    <col min="29" max="256" width="9.140625" style="2"/>
    <col min="257" max="257" width="13.7109375" style="2" customWidth="1"/>
    <col min="258" max="258" width="12.28515625" style="2" customWidth="1"/>
    <col min="259" max="259" width="11.7109375" style="2" customWidth="1"/>
    <col min="260" max="260" width="11.28515625" style="2" customWidth="1"/>
    <col min="261" max="262" width="12.28515625" style="2" customWidth="1"/>
    <col min="263" max="263" width="10.85546875" style="2" customWidth="1"/>
    <col min="264" max="264" width="11.7109375" style="2" customWidth="1"/>
    <col min="265" max="265" width="11.42578125" style="2" customWidth="1"/>
    <col min="266" max="266" width="11.7109375" style="2" customWidth="1"/>
    <col min="267" max="267" width="11.42578125" style="2" customWidth="1"/>
    <col min="268" max="269" width="11" style="2" customWidth="1"/>
    <col min="270" max="270" width="9.28515625" style="2" customWidth="1"/>
    <col min="271" max="271" width="10.7109375" style="2" bestFit="1" customWidth="1"/>
    <col min="272" max="283" width="9.140625" style="2"/>
    <col min="284" max="284" width="2" style="2" customWidth="1"/>
    <col min="285" max="512" width="9.140625" style="2"/>
    <col min="513" max="513" width="13.7109375" style="2" customWidth="1"/>
    <col min="514" max="514" width="12.28515625" style="2" customWidth="1"/>
    <col min="515" max="515" width="11.7109375" style="2" customWidth="1"/>
    <col min="516" max="516" width="11.28515625" style="2" customWidth="1"/>
    <col min="517" max="518" width="12.28515625" style="2" customWidth="1"/>
    <col min="519" max="519" width="10.85546875" style="2" customWidth="1"/>
    <col min="520" max="520" width="11.7109375" style="2" customWidth="1"/>
    <col min="521" max="521" width="11.42578125" style="2" customWidth="1"/>
    <col min="522" max="522" width="11.7109375" style="2" customWidth="1"/>
    <col min="523" max="523" width="11.42578125" style="2" customWidth="1"/>
    <col min="524" max="525" width="11" style="2" customWidth="1"/>
    <col min="526" max="526" width="9.28515625" style="2" customWidth="1"/>
    <col min="527" max="527" width="10.7109375" style="2" bestFit="1" customWidth="1"/>
    <col min="528" max="539" width="9.140625" style="2"/>
    <col min="540" max="540" width="2" style="2" customWidth="1"/>
    <col min="541" max="768" width="9.140625" style="2"/>
    <col min="769" max="769" width="13.7109375" style="2" customWidth="1"/>
    <col min="770" max="770" width="12.28515625" style="2" customWidth="1"/>
    <col min="771" max="771" width="11.7109375" style="2" customWidth="1"/>
    <col min="772" max="772" width="11.28515625" style="2" customWidth="1"/>
    <col min="773" max="774" width="12.28515625" style="2" customWidth="1"/>
    <col min="775" max="775" width="10.85546875" style="2" customWidth="1"/>
    <col min="776" max="776" width="11.7109375" style="2" customWidth="1"/>
    <col min="777" max="777" width="11.42578125" style="2" customWidth="1"/>
    <col min="778" max="778" width="11.7109375" style="2" customWidth="1"/>
    <col min="779" max="779" width="11.42578125" style="2" customWidth="1"/>
    <col min="780" max="781" width="11" style="2" customWidth="1"/>
    <col min="782" max="782" width="9.28515625" style="2" customWidth="1"/>
    <col min="783" max="783" width="10.7109375" style="2" bestFit="1" customWidth="1"/>
    <col min="784" max="795" width="9.140625" style="2"/>
    <col min="796" max="796" width="2" style="2" customWidth="1"/>
    <col min="797" max="1024" width="9.140625" style="2"/>
    <col min="1025" max="1025" width="13.7109375" style="2" customWidth="1"/>
    <col min="1026" max="1026" width="12.28515625" style="2" customWidth="1"/>
    <col min="1027" max="1027" width="11.7109375" style="2" customWidth="1"/>
    <col min="1028" max="1028" width="11.28515625" style="2" customWidth="1"/>
    <col min="1029" max="1030" width="12.28515625" style="2" customWidth="1"/>
    <col min="1031" max="1031" width="10.85546875" style="2" customWidth="1"/>
    <col min="1032" max="1032" width="11.7109375" style="2" customWidth="1"/>
    <col min="1033" max="1033" width="11.42578125" style="2" customWidth="1"/>
    <col min="1034" max="1034" width="11.7109375" style="2" customWidth="1"/>
    <col min="1035" max="1035" width="11.42578125" style="2" customWidth="1"/>
    <col min="1036" max="1037" width="11" style="2" customWidth="1"/>
    <col min="1038" max="1038" width="9.28515625" style="2" customWidth="1"/>
    <col min="1039" max="1039" width="10.7109375" style="2" bestFit="1" customWidth="1"/>
    <col min="1040" max="1051" width="9.140625" style="2"/>
    <col min="1052" max="1052" width="2" style="2" customWidth="1"/>
    <col min="1053" max="1280" width="9.140625" style="2"/>
    <col min="1281" max="1281" width="13.7109375" style="2" customWidth="1"/>
    <col min="1282" max="1282" width="12.28515625" style="2" customWidth="1"/>
    <col min="1283" max="1283" width="11.7109375" style="2" customWidth="1"/>
    <col min="1284" max="1284" width="11.28515625" style="2" customWidth="1"/>
    <col min="1285" max="1286" width="12.28515625" style="2" customWidth="1"/>
    <col min="1287" max="1287" width="10.85546875" style="2" customWidth="1"/>
    <col min="1288" max="1288" width="11.7109375" style="2" customWidth="1"/>
    <col min="1289" max="1289" width="11.42578125" style="2" customWidth="1"/>
    <col min="1290" max="1290" width="11.7109375" style="2" customWidth="1"/>
    <col min="1291" max="1291" width="11.42578125" style="2" customWidth="1"/>
    <col min="1292" max="1293" width="11" style="2" customWidth="1"/>
    <col min="1294" max="1294" width="9.28515625" style="2" customWidth="1"/>
    <col min="1295" max="1295" width="10.7109375" style="2" bestFit="1" customWidth="1"/>
    <col min="1296" max="1307" width="9.140625" style="2"/>
    <col min="1308" max="1308" width="2" style="2" customWidth="1"/>
    <col min="1309" max="1536" width="9.140625" style="2"/>
    <col min="1537" max="1537" width="13.7109375" style="2" customWidth="1"/>
    <col min="1538" max="1538" width="12.28515625" style="2" customWidth="1"/>
    <col min="1539" max="1539" width="11.7109375" style="2" customWidth="1"/>
    <col min="1540" max="1540" width="11.28515625" style="2" customWidth="1"/>
    <col min="1541" max="1542" width="12.28515625" style="2" customWidth="1"/>
    <col min="1543" max="1543" width="10.85546875" style="2" customWidth="1"/>
    <col min="1544" max="1544" width="11.7109375" style="2" customWidth="1"/>
    <col min="1545" max="1545" width="11.42578125" style="2" customWidth="1"/>
    <col min="1546" max="1546" width="11.7109375" style="2" customWidth="1"/>
    <col min="1547" max="1547" width="11.42578125" style="2" customWidth="1"/>
    <col min="1548" max="1549" width="11" style="2" customWidth="1"/>
    <col min="1550" max="1550" width="9.28515625" style="2" customWidth="1"/>
    <col min="1551" max="1551" width="10.7109375" style="2" bestFit="1" customWidth="1"/>
    <col min="1552" max="1563" width="9.140625" style="2"/>
    <col min="1564" max="1564" width="2" style="2" customWidth="1"/>
    <col min="1565" max="1792" width="9.140625" style="2"/>
    <col min="1793" max="1793" width="13.7109375" style="2" customWidth="1"/>
    <col min="1794" max="1794" width="12.28515625" style="2" customWidth="1"/>
    <col min="1795" max="1795" width="11.7109375" style="2" customWidth="1"/>
    <col min="1796" max="1796" width="11.28515625" style="2" customWidth="1"/>
    <col min="1797" max="1798" width="12.28515625" style="2" customWidth="1"/>
    <col min="1799" max="1799" width="10.85546875" style="2" customWidth="1"/>
    <col min="1800" max="1800" width="11.7109375" style="2" customWidth="1"/>
    <col min="1801" max="1801" width="11.42578125" style="2" customWidth="1"/>
    <col min="1802" max="1802" width="11.7109375" style="2" customWidth="1"/>
    <col min="1803" max="1803" width="11.42578125" style="2" customWidth="1"/>
    <col min="1804" max="1805" width="11" style="2" customWidth="1"/>
    <col min="1806" max="1806" width="9.28515625" style="2" customWidth="1"/>
    <col min="1807" max="1807" width="10.7109375" style="2" bestFit="1" customWidth="1"/>
    <col min="1808" max="1819" width="9.140625" style="2"/>
    <col min="1820" max="1820" width="2" style="2" customWidth="1"/>
    <col min="1821" max="2048" width="9.140625" style="2"/>
    <col min="2049" max="2049" width="13.7109375" style="2" customWidth="1"/>
    <col min="2050" max="2050" width="12.28515625" style="2" customWidth="1"/>
    <col min="2051" max="2051" width="11.7109375" style="2" customWidth="1"/>
    <col min="2052" max="2052" width="11.28515625" style="2" customWidth="1"/>
    <col min="2053" max="2054" width="12.28515625" style="2" customWidth="1"/>
    <col min="2055" max="2055" width="10.85546875" style="2" customWidth="1"/>
    <col min="2056" max="2056" width="11.7109375" style="2" customWidth="1"/>
    <col min="2057" max="2057" width="11.42578125" style="2" customWidth="1"/>
    <col min="2058" max="2058" width="11.7109375" style="2" customWidth="1"/>
    <col min="2059" max="2059" width="11.42578125" style="2" customWidth="1"/>
    <col min="2060" max="2061" width="11" style="2" customWidth="1"/>
    <col min="2062" max="2062" width="9.28515625" style="2" customWidth="1"/>
    <col min="2063" max="2063" width="10.7109375" style="2" bestFit="1" customWidth="1"/>
    <col min="2064" max="2075" width="9.140625" style="2"/>
    <col min="2076" max="2076" width="2" style="2" customWidth="1"/>
    <col min="2077" max="2304" width="9.140625" style="2"/>
    <col min="2305" max="2305" width="13.7109375" style="2" customWidth="1"/>
    <col min="2306" max="2306" width="12.28515625" style="2" customWidth="1"/>
    <col min="2307" max="2307" width="11.7109375" style="2" customWidth="1"/>
    <col min="2308" max="2308" width="11.28515625" style="2" customWidth="1"/>
    <col min="2309" max="2310" width="12.28515625" style="2" customWidth="1"/>
    <col min="2311" max="2311" width="10.85546875" style="2" customWidth="1"/>
    <col min="2312" max="2312" width="11.7109375" style="2" customWidth="1"/>
    <col min="2313" max="2313" width="11.42578125" style="2" customWidth="1"/>
    <col min="2314" max="2314" width="11.7109375" style="2" customWidth="1"/>
    <col min="2315" max="2315" width="11.42578125" style="2" customWidth="1"/>
    <col min="2316" max="2317" width="11" style="2" customWidth="1"/>
    <col min="2318" max="2318" width="9.28515625" style="2" customWidth="1"/>
    <col min="2319" max="2319" width="10.7109375" style="2" bestFit="1" customWidth="1"/>
    <col min="2320" max="2331" width="9.140625" style="2"/>
    <col min="2332" max="2332" width="2" style="2" customWidth="1"/>
    <col min="2333" max="2560" width="9.140625" style="2"/>
    <col min="2561" max="2561" width="13.7109375" style="2" customWidth="1"/>
    <col min="2562" max="2562" width="12.28515625" style="2" customWidth="1"/>
    <col min="2563" max="2563" width="11.7109375" style="2" customWidth="1"/>
    <col min="2564" max="2564" width="11.28515625" style="2" customWidth="1"/>
    <col min="2565" max="2566" width="12.28515625" style="2" customWidth="1"/>
    <col min="2567" max="2567" width="10.85546875" style="2" customWidth="1"/>
    <col min="2568" max="2568" width="11.7109375" style="2" customWidth="1"/>
    <col min="2569" max="2569" width="11.42578125" style="2" customWidth="1"/>
    <col min="2570" max="2570" width="11.7109375" style="2" customWidth="1"/>
    <col min="2571" max="2571" width="11.42578125" style="2" customWidth="1"/>
    <col min="2572" max="2573" width="11" style="2" customWidth="1"/>
    <col min="2574" max="2574" width="9.28515625" style="2" customWidth="1"/>
    <col min="2575" max="2575" width="10.7109375" style="2" bestFit="1" customWidth="1"/>
    <col min="2576" max="2587" width="9.140625" style="2"/>
    <col min="2588" max="2588" width="2" style="2" customWidth="1"/>
    <col min="2589" max="2816" width="9.140625" style="2"/>
    <col min="2817" max="2817" width="13.7109375" style="2" customWidth="1"/>
    <col min="2818" max="2818" width="12.28515625" style="2" customWidth="1"/>
    <col min="2819" max="2819" width="11.7109375" style="2" customWidth="1"/>
    <col min="2820" max="2820" width="11.28515625" style="2" customWidth="1"/>
    <col min="2821" max="2822" width="12.28515625" style="2" customWidth="1"/>
    <col min="2823" max="2823" width="10.85546875" style="2" customWidth="1"/>
    <col min="2824" max="2824" width="11.7109375" style="2" customWidth="1"/>
    <col min="2825" max="2825" width="11.42578125" style="2" customWidth="1"/>
    <col min="2826" max="2826" width="11.7109375" style="2" customWidth="1"/>
    <col min="2827" max="2827" width="11.42578125" style="2" customWidth="1"/>
    <col min="2828" max="2829" width="11" style="2" customWidth="1"/>
    <col min="2830" max="2830" width="9.28515625" style="2" customWidth="1"/>
    <col min="2831" max="2831" width="10.7109375" style="2" bestFit="1" customWidth="1"/>
    <col min="2832" max="2843" width="9.140625" style="2"/>
    <col min="2844" max="2844" width="2" style="2" customWidth="1"/>
    <col min="2845" max="3072" width="9.140625" style="2"/>
    <col min="3073" max="3073" width="13.7109375" style="2" customWidth="1"/>
    <col min="3074" max="3074" width="12.28515625" style="2" customWidth="1"/>
    <col min="3075" max="3075" width="11.7109375" style="2" customWidth="1"/>
    <col min="3076" max="3076" width="11.28515625" style="2" customWidth="1"/>
    <col min="3077" max="3078" width="12.28515625" style="2" customWidth="1"/>
    <col min="3079" max="3079" width="10.85546875" style="2" customWidth="1"/>
    <col min="3080" max="3080" width="11.7109375" style="2" customWidth="1"/>
    <col min="3081" max="3081" width="11.42578125" style="2" customWidth="1"/>
    <col min="3082" max="3082" width="11.7109375" style="2" customWidth="1"/>
    <col min="3083" max="3083" width="11.42578125" style="2" customWidth="1"/>
    <col min="3084" max="3085" width="11" style="2" customWidth="1"/>
    <col min="3086" max="3086" width="9.28515625" style="2" customWidth="1"/>
    <col min="3087" max="3087" width="10.7109375" style="2" bestFit="1" customWidth="1"/>
    <col min="3088" max="3099" width="9.140625" style="2"/>
    <col min="3100" max="3100" width="2" style="2" customWidth="1"/>
    <col min="3101" max="3328" width="9.140625" style="2"/>
    <col min="3329" max="3329" width="13.7109375" style="2" customWidth="1"/>
    <col min="3330" max="3330" width="12.28515625" style="2" customWidth="1"/>
    <col min="3331" max="3331" width="11.7109375" style="2" customWidth="1"/>
    <col min="3332" max="3332" width="11.28515625" style="2" customWidth="1"/>
    <col min="3333" max="3334" width="12.28515625" style="2" customWidth="1"/>
    <col min="3335" max="3335" width="10.85546875" style="2" customWidth="1"/>
    <col min="3336" max="3336" width="11.7109375" style="2" customWidth="1"/>
    <col min="3337" max="3337" width="11.42578125" style="2" customWidth="1"/>
    <col min="3338" max="3338" width="11.7109375" style="2" customWidth="1"/>
    <col min="3339" max="3339" width="11.42578125" style="2" customWidth="1"/>
    <col min="3340" max="3341" width="11" style="2" customWidth="1"/>
    <col min="3342" max="3342" width="9.28515625" style="2" customWidth="1"/>
    <col min="3343" max="3343" width="10.7109375" style="2" bestFit="1" customWidth="1"/>
    <col min="3344" max="3355" width="9.140625" style="2"/>
    <col min="3356" max="3356" width="2" style="2" customWidth="1"/>
    <col min="3357" max="3584" width="9.140625" style="2"/>
    <col min="3585" max="3585" width="13.7109375" style="2" customWidth="1"/>
    <col min="3586" max="3586" width="12.28515625" style="2" customWidth="1"/>
    <col min="3587" max="3587" width="11.7109375" style="2" customWidth="1"/>
    <col min="3588" max="3588" width="11.28515625" style="2" customWidth="1"/>
    <col min="3589" max="3590" width="12.28515625" style="2" customWidth="1"/>
    <col min="3591" max="3591" width="10.85546875" style="2" customWidth="1"/>
    <col min="3592" max="3592" width="11.7109375" style="2" customWidth="1"/>
    <col min="3593" max="3593" width="11.42578125" style="2" customWidth="1"/>
    <col min="3594" max="3594" width="11.7109375" style="2" customWidth="1"/>
    <col min="3595" max="3595" width="11.42578125" style="2" customWidth="1"/>
    <col min="3596" max="3597" width="11" style="2" customWidth="1"/>
    <col min="3598" max="3598" width="9.28515625" style="2" customWidth="1"/>
    <col min="3599" max="3599" width="10.7109375" style="2" bestFit="1" customWidth="1"/>
    <col min="3600" max="3611" width="9.140625" style="2"/>
    <col min="3612" max="3612" width="2" style="2" customWidth="1"/>
    <col min="3613" max="3840" width="9.140625" style="2"/>
    <col min="3841" max="3841" width="13.7109375" style="2" customWidth="1"/>
    <col min="3842" max="3842" width="12.28515625" style="2" customWidth="1"/>
    <col min="3843" max="3843" width="11.7109375" style="2" customWidth="1"/>
    <col min="3844" max="3844" width="11.28515625" style="2" customWidth="1"/>
    <col min="3845" max="3846" width="12.28515625" style="2" customWidth="1"/>
    <col min="3847" max="3847" width="10.85546875" style="2" customWidth="1"/>
    <col min="3848" max="3848" width="11.7109375" style="2" customWidth="1"/>
    <col min="3849" max="3849" width="11.42578125" style="2" customWidth="1"/>
    <col min="3850" max="3850" width="11.7109375" style="2" customWidth="1"/>
    <col min="3851" max="3851" width="11.42578125" style="2" customWidth="1"/>
    <col min="3852" max="3853" width="11" style="2" customWidth="1"/>
    <col min="3854" max="3854" width="9.28515625" style="2" customWidth="1"/>
    <col min="3855" max="3855" width="10.7109375" style="2" bestFit="1" customWidth="1"/>
    <col min="3856" max="3867" width="9.140625" style="2"/>
    <col min="3868" max="3868" width="2" style="2" customWidth="1"/>
    <col min="3869" max="4096" width="9.140625" style="2"/>
    <col min="4097" max="4097" width="13.7109375" style="2" customWidth="1"/>
    <col min="4098" max="4098" width="12.28515625" style="2" customWidth="1"/>
    <col min="4099" max="4099" width="11.7109375" style="2" customWidth="1"/>
    <col min="4100" max="4100" width="11.28515625" style="2" customWidth="1"/>
    <col min="4101" max="4102" width="12.28515625" style="2" customWidth="1"/>
    <col min="4103" max="4103" width="10.85546875" style="2" customWidth="1"/>
    <col min="4104" max="4104" width="11.7109375" style="2" customWidth="1"/>
    <col min="4105" max="4105" width="11.42578125" style="2" customWidth="1"/>
    <col min="4106" max="4106" width="11.7109375" style="2" customWidth="1"/>
    <col min="4107" max="4107" width="11.42578125" style="2" customWidth="1"/>
    <col min="4108" max="4109" width="11" style="2" customWidth="1"/>
    <col min="4110" max="4110" width="9.28515625" style="2" customWidth="1"/>
    <col min="4111" max="4111" width="10.7109375" style="2" bestFit="1" customWidth="1"/>
    <col min="4112" max="4123" width="9.140625" style="2"/>
    <col min="4124" max="4124" width="2" style="2" customWidth="1"/>
    <col min="4125" max="4352" width="9.140625" style="2"/>
    <col min="4353" max="4353" width="13.7109375" style="2" customWidth="1"/>
    <col min="4354" max="4354" width="12.28515625" style="2" customWidth="1"/>
    <col min="4355" max="4355" width="11.7109375" style="2" customWidth="1"/>
    <col min="4356" max="4356" width="11.28515625" style="2" customWidth="1"/>
    <col min="4357" max="4358" width="12.28515625" style="2" customWidth="1"/>
    <col min="4359" max="4359" width="10.85546875" style="2" customWidth="1"/>
    <col min="4360" max="4360" width="11.7109375" style="2" customWidth="1"/>
    <col min="4361" max="4361" width="11.42578125" style="2" customWidth="1"/>
    <col min="4362" max="4362" width="11.7109375" style="2" customWidth="1"/>
    <col min="4363" max="4363" width="11.42578125" style="2" customWidth="1"/>
    <col min="4364" max="4365" width="11" style="2" customWidth="1"/>
    <col min="4366" max="4366" width="9.28515625" style="2" customWidth="1"/>
    <col min="4367" max="4367" width="10.7109375" style="2" bestFit="1" customWidth="1"/>
    <col min="4368" max="4379" width="9.140625" style="2"/>
    <col min="4380" max="4380" width="2" style="2" customWidth="1"/>
    <col min="4381" max="4608" width="9.140625" style="2"/>
    <col min="4609" max="4609" width="13.7109375" style="2" customWidth="1"/>
    <col min="4610" max="4610" width="12.28515625" style="2" customWidth="1"/>
    <col min="4611" max="4611" width="11.7109375" style="2" customWidth="1"/>
    <col min="4612" max="4612" width="11.28515625" style="2" customWidth="1"/>
    <col min="4613" max="4614" width="12.28515625" style="2" customWidth="1"/>
    <col min="4615" max="4615" width="10.85546875" style="2" customWidth="1"/>
    <col min="4616" max="4616" width="11.7109375" style="2" customWidth="1"/>
    <col min="4617" max="4617" width="11.42578125" style="2" customWidth="1"/>
    <col min="4618" max="4618" width="11.7109375" style="2" customWidth="1"/>
    <col min="4619" max="4619" width="11.42578125" style="2" customWidth="1"/>
    <col min="4620" max="4621" width="11" style="2" customWidth="1"/>
    <col min="4622" max="4622" width="9.28515625" style="2" customWidth="1"/>
    <col min="4623" max="4623" width="10.7109375" style="2" bestFit="1" customWidth="1"/>
    <col min="4624" max="4635" width="9.140625" style="2"/>
    <col min="4636" max="4636" width="2" style="2" customWidth="1"/>
    <col min="4637" max="4864" width="9.140625" style="2"/>
    <col min="4865" max="4865" width="13.7109375" style="2" customWidth="1"/>
    <col min="4866" max="4866" width="12.28515625" style="2" customWidth="1"/>
    <col min="4867" max="4867" width="11.7109375" style="2" customWidth="1"/>
    <col min="4868" max="4868" width="11.28515625" style="2" customWidth="1"/>
    <col min="4869" max="4870" width="12.28515625" style="2" customWidth="1"/>
    <col min="4871" max="4871" width="10.85546875" style="2" customWidth="1"/>
    <col min="4872" max="4872" width="11.7109375" style="2" customWidth="1"/>
    <col min="4873" max="4873" width="11.42578125" style="2" customWidth="1"/>
    <col min="4874" max="4874" width="11.7109375" style="2" customWidth="1"/>
    <col min="4875" max="4875" width="11.42578125" style="2" customWidth="1"/>
    <col min="4876" max="4877" width="11" style="2" customWidth="1"/>
    <col min="4878" max="4878" width="9.28515625" style="2" customWidth="1"/>
    <col min="4879" max="4879" width="10.7109375" style="2" bestFit="1" customWidth="1"/>
    <col min="4880" max="4891" width="9.140625" style="2"/>
    <col min="4892" max="4892" width="2" style="2" customWidth="1"/>
    <col min="4893" max="5120" width="9.140625" style="2"/>
    <col min="5121" max="5121" width="13.7109375" style="2" customWidth="1"/>
    <col min="5122" max="5122" width="12.28515625" style="2" customWidth="1"/>
    <col min="5123" max="5123" width="11.7109375" style="2" customWidth="1"/>
    <col min="5124" max="5124" width="11.28515625" style="2" customWidth="1"/>
    <col min="5125" max="5126" width="12.28515625" style="2" customWidth="1"/>
    <col min="5127" max="5127" width="10.85546875" style="2" customWidth="1"/>
    <col min="5128" max="5128" width="11.7109375" style="2" customWidth="1"/>
    <col min="5129" max="5129" width="11.42578125" style="2" customWidth="1"/>
    <col min="5130" max="5130" width="11.7109375" style="2" customWidth="1"/>
    <col min="5131" max="5131" width="11.42578125" style="2" customWidth="1"/>
    <col min="5132" max="5133" width="11" style="2" customWidth="1"/>
    <col min="5134" max="5134" width="9.28515625" style="2" customWidth="1"/>
    <col min="5135" max="5135" width="10.7109375" style="2" bestFit="1" customWidth="1"/>
    <col min="5136" max="5147" width="9.140625" style="2"/>
    <col min="5148" max="5148" width="2" style="2" customWidth="1"/>
    <col min="5149" max="5376" width="9.140625" style="2"/>
    <col min="5377" max="5377" width="13.7109375" style="2" customWidth="1"/>
    <col min="5378" max="5378" width="12.28515625" style="2" customWidth="1"/>
    <col min="5379" max="5379" width="11.7109375" style="2" customWidth="1"/>
    <col min="5380" max="5380" width="11.28515625" style="2" customWidth="1"/>
    <col min="5381" max="5382" width="12.28515625" style="2" customWidth="1"/>
    <col min="5383" max="5383" width="10.85546875" style="2" customWidth="1"/>
    <col min="5384" max="5384" width="11.7109375" style="2" customWidth="1"/>
    <col min="5385" max="5385" width="11.42578125" style="2" customWidth="1"/>
    <col min="5386" max="5386" width="11.7109375" style="2" customWidth="1"/>
    <col min="5387" max="5387" width="11.42578125" style="2" customWidth="1"/>
    <col min="5388" max="5389" width="11" style="2" customWidth="1"/>
    <col min="5390" max="5390" width="9.28515625" style="2" customWidth="1"/>
    <col min="5391" max="5391" width="10.7109375" style="2" bestFit="1" customWidth="1"/>
    <col min="5392" max="5403" width="9.140625" style="2"/>
    <col min="5404" max="5404" width="2" style="2" customWidth="1"/>
    <col min="5405" max="5632" width="9.140625" style="2"/>
    <col min="5633" max="5633" width="13.7109375" style="2" customWidth="1"/>
    <col min="5634" max="5634" width="12.28515625" style="2" customWidth="1"/>
    <col min="5635" max="5635" width="11.7109375" style="2" customWidth="1"/>
    <col min="5636" max="5636" width="11.28515625" style="2" customWidth="1"/>
    <col min="5637" max="5638" width="12.28515625" style="2" customWidth="1"/>
    <col min="5639" max="5639" width="10.85546875" style="2" customWidth="1"/>
    <col min="5640" max="5640" width="11.7109375" style="2" customWidth="1"/>
    <col min="5641" max="5641" width="11.42578125" style="2" customWidth="1"/>
    <col min="5642" max="5642" width="11.7109375" style="2" customWidth="1"/>
    <col min="5643" max="5643" width="11.42578125" style="2" customWidth="1"/>
    <col min="5644" max="5645" width="11" style="2" customWidth="1"/>
    <col min="5646" max="5646" width="9.28515625" style="2" customWidth="1"/>
    <col min="5647" max="5647" width="10.7109375" style="2" bestFit="1" customWidth="1"/>
    <col min="5648" max="5659" width="9.140625" style="2"/>
    <col min="5660" max="5660" width="2" style="2" customWidth="1"/>
    <col min="5661" max="5888" width="9.140625" style="2"/>
    <col min="5889" max="5889" width="13.7109375" style="2" customWidth="1"/>
    <col min="5890" max="5890" width="12.28515625" style="2" customWidth="1"/>
    <col min="5891" max="5891" width="11.7109375" style="2" customWidth="1"/>
    <col min="5892" max="5892" width="11.28515625" style="2" customWidth="1"/>
    <col min="5893" max="5894" width="12.28515625" style="2" customWidth="1"/>
    <col min="5895" max="5895" width="10.85546875" style="2" customWidth="1"/>
    <col min="5896" max="5896" width="11.7109375" style="2" customWidth="1"/>
    <col min="5897" max="5897" width="11.42578125" style="2" customWidth="1"/>
    <col min="5898" max="5898" width="11.7109375" style="2" customWidth="1"/>
    <col min="5899" max="5899" width="11.42578125" style="2" customWidth="1"/>
    <col min="5900" max="5901" width="11" style="2" customWidth="1"/>
    <col min="5902" max="5902" width="9.28515625" style="2" customWidth="1"/>
    <col min="5903" max="5903" width="10.7109375" style="2" bestFit="1" customWidth="1"/>
    <col min="5904" max="5915" width="9.140625" style="2"/>
    <col min="5916" max="5916" width="2" style="2" customWidth="1"/>
    <col min="5917" max="6144" width="9.140625" style="2"/>
    <col min="6145" max="6145" width="13.7109375" style="2" customWidth="1"/>
    <col min="6146" max="6146" width="12.28515625" style="2" customWidth="1"/>
    <col min="6147" max="6147" width="11.7109375" style="2" customWidth="1"/>
    <col min="6148" max="6148" width="11.28515625" style="2" customWidth="1"/>
    <col min="6149" max="6150" width="12.28515625" style="2" customWidth="1"/>
    <col min="6151" max="6151" width="10.85546875" style="2" customWidth="1"/>
    <col min="6152" max="6152" width="11.7109375" style="2" customWidth="1"/>
    <col min="6153" max="6153" width="11.42578125" style="2" customWidth="1"/>
    <col min="6154" max="6154" width="11.7109375" style="2" customWidth="1"/>
    <col min="6155" max="6155" width="11.42578125" style="2" customWidth="1"/>
    <col min="6156" max="6157" width="11" style="2" customWidth="1"/>
    <col min="6158" max="6158" width="9.28515625" style="2" customWidth="1"/>
    <col min="6159" max="6159" width="10.7109375" style="2" bestFit="1" customWidth="1"/>
    <col min="6160" max="6171" width="9.140625" style="2"/>
    <col min="6172" max="6172" width="2" style="2" customWidth="1"/>
    <col min="6173" max="6400" width="9.140625" style="2"/>
    <col min="6401" max="6401" width="13.7109375" style="2" customWidth="1"/>
    <col min="6402" max="6402" width="12.28515625" style="2" customWidth="1"/>
    <col min="6403" max="6403" width="11.7109375" style="2" customWidth="1"/>
    <col min="6404" max="6404" width="11.28515625" style="2" customWidth="1"/>
    <col min="6405" max="6406" width="12.28515625" style="2" customWidth="1"/>
    <col min="6407" max="6407" width="10.85546875" style="2" customWidth="1"/>
    <col min="6408" max="6408" width="11.7109375" style="2" customWidth="1"/>
    <col min="6409" max="6409" width="11.42578125" style="2" customWidth="1"/>
    <col min="6410" max="6410" width="11.7109375" style="2" customWidth="1"/>
    <col min="6411" max="6411" width="11.42578125" style="2" customWidth="1"/>
    <col min="6412" max="6413" width="11" style="2" customWidth="1"/>
    <col min="6414" max="6414" width="9.28515625" style="2" customWidth="1"/>
    <col min="6415" max="6415" width="10.7109375" style="2" bestFit="1" customWidth="1"/>
    <col min="6416" max="6427" width="9.140625" style="2"/>
    <col min="6428" max="6428" width="2" style="2" customWidth="1"/>
    <col min="6429" max="6656" width="9.140625" style="2"/>
    <col min="6657" max="6657" width="13.7109375" style="2" customWidth="1"/>
    <col min="6658" max="6658" width="12.28515625" style="2" customWidth="1"/>
    <col min="6659" max="6659" width="11.7109375" style="2" customWidth="1"/>
    <col min="6660" max="6660" width="11.28515625" style="2" customWidth="1"/>
    <col min="6661" max="6662" width="12.28515625" style="2" customWidth="1"/>
    <col min="6663" max="6663" width="10.85546875" style="2" customWidth="1"/>
    <col min="6664" max="6664" width="11.7109375" style="2" customWidth="1"/>
    <col min="6665" max="6665" width="11.42578125" style="2" customWidth="1"/>
    <col min="6666" max="6666" width="11.7109375" style="2" customWidth="1"/>
    <col min="6667" max="6667" width="11.42578125" style="2" customWidth="1"/>
    <col min="6668" max="6669" width="11" style="2" customWidth="1"/>
    <col min="6670" max="6670" width="9.28515625" style="2" customWidth="1"/>
    <col min="6671" max="6671" width="10.7109375" style="2" bestFit="1" customWidth="1"/>
    <col min="6672" max="6683" width="9.140625" style="2"/>
    <col min="6684" max="6684" width="2" style="2" customWidth="1"/>
    <col min="6685" max="6912" width="9.140625" style="2"/>
    <col min="6913" max="6913" width="13.7109375" style="2" customWidth="1"/>
    <col min="6914" max="6914" width="12.28515625" style="2" customWidth="1"/>
    <col min="6915" max="6915" width="11.7109375" style="2" customWidth="1"/>
    <col min="6916" max="6916" width="11.28515625" style="2" customWidth="1"/>
    <col min="6917" max="6918" width="12.28515625" style="2" customWidth="1"/>
    <col min="6919" max="6919" width="10.85546875" style="2" customWidth="1"/>
    <col min="6920" max="6920" width="11.7109375" style="2" customWidth="1"/>
    <col min="6921" max="6921" width="11.42578125" style="2" customWidth="1"/>
    <col min="6922" max="6922" width="11.7109375" style="2" customWidth="1"/>
    <col min="6923" max="6923" width="11.42578125" style="2" customWidth="1"/>
    <col min="6924" max="6925" width="11" style="2" customWidth="1"/>
    <col min="6926" max="6926" width="9.28515625" style="2" customWidth="1"/>
    <col min="6927" max="6927" width="10.7109375" style="2" bestFit="1" customWidth="1"/>
    <col min="6928" max="6939" width="9.140625" style="2"/>
    <col min="6940" max="6940" width="2" style="2" customWidth="1"/>
    <col min="6941" max="7168" width="9.140625" style="2"/>
    <col min="7169" max="7169" width="13.7109375" style="2" customWidth="1"/>
    <col min="7170" max="7170" width="12.28515625" style="2" customWidth="1"/>
    <col min="7171" max="7171" width="11.7109375" style="2" customWidth="1"/>
    <col min="7172" max="7172" width="11.28515625" style="2" customWidth="1"/>
    <col min="7173" max="7174" width="12.28515625" style="2" customWidth="1"/>
    <col min="7175" max="7175" width="10.85546875" style="2" customWidth="1"/>
    <col min="7176" max="7176" width="11.7109375" style="2" customWidth="1"/>
    <col min="7177" max="7177" width="11.42578125" style="2" customWidth="1"/>
    <col min="7178" max="7178" width="11.7109375" style="2" customWidth="1"/>
    <col min="7179" max="7179" width="11.42578125" style="2" customWidth="1"/>
    <col min="7180" max="7181" width="11" style="2" customWidth="1"/>
    <col min="7182" max="7182" width="9.28515625" style="2" customWidth="1"/>
    <col min="7183" max="7183" width="10.7109375" style="2" bestFit="1" customWidth="1"/>
    <col min="7184" max="7195" width="9.140625" style="2"/>
    <col min="7196" max="7196" width="2" style="2" customWidth="1"/>
    <col min="7197" max="7424" width="9.140625" style="2"/>
    <col min="7425" max="7425" width="13.7109375" style="2" customWidth="1"/>
    <col min="7426" max="7426" width="12.28515625" style="2" customWidth="1"/>
    <col min="7427" max="7427" width="11.7109375" style="2" customWidth="1"/>
    <col min="7428" max="7428" width="11.28515625" style="2" customWidth="1"/>
    <col min="7429" max="7430" width="12.28515625" style="2" customWidth="1"/>
    <col min="7431" max="7431" width="10.85546875" style="2" customWidth="1"/>
    <col min="7432" max="7432" width="11.7109375" style="2" customWidth="1"/>
    <col min="7433" max="7433" width="11.42578125" style="2" customWidth="1"/>
    <col min="7434" max="7434" width="11.7109375" style="2" customWidth="1"/>
    <col min="7435" max="7435" width="11.42578125" style="2" customWidth="1"/>
    <col min="7436" max="7437" width="11" style="2" customWidth="1"/>
    <col min="7438" max="7438" width="9.28515625" style="2" customWidth="1"/>
    <col min="7439" max="7439" width="10.7109375" style="2" bestFit="1" customWidth="1"/>
    <col min="7440" max="7451" width="9.140625" style="2"/>
    <col min="7452" max="7452" width="2" style="2" customWidth="1"/>
    <col min="7453" max="7680" width="9.140625" style="2"/>
    <col min="7681" max="7681" width="13.7109375" style="2" customWidth="1"/>
    <col min="7682" max="7682" width="12.28515625" style="2" customWidth="1"/>
    <col min="7683" max="7683" width="11.7109375" style="2" customWidth="1"/>
    <col min="7684" max="7684" width="11.28515625" style="2" customWidth="1"/>
    <col min="7685" max="7686" width="12.28515625" style="2" customWidth="1"/>
    <col min="7687" max="7687" width="10.85546875" style="2" customWidth="1"/>
    <col min="7688" max="7688" width="11.7109375" style="2" customWidth="1"/>
    <col min="7689" max="7689" width="11.42578125" style="2" customWidth="1"/>
    <col min="7690" max="7690" width="11.7109375" style="2" customWidth="1"/>
    <col min="7691" max="7691" width="11.42578125" style="2" customWidth="1"/>
    <col min="7692" max="7693" width="11" style="2" customWidth="1"/>
    <col min="7694" max="7694" width="9.28515625" style="2" customWidth="1"/>
    <col min="7695" max="7695" width="10.7109375" style="2" bestFit="1" customWidth="1"/>
    <col min="7696" max="7707" width="9.140625" style="2"/>
    <col min="7708" max="7708" width="2" style="2" customWidth="1"/>
    <col min="7709" max="7936" width="9.140625" style="2"/>
    <col min="7937" max="7937" width="13.7109375" style="2" customWidth="1"/>
    <col min="7938" max="7938" width="12.28515625" style="2" customWidth="1"/>
    <col min="7939" max="7939" width="11.7109375" style="2" customWidth="1"/>
    <col min="7940" max="7940" width="11.28515625" style="2" customWidth="1"/>
    <col min="7941" max="7942" width="12.28515625" style="2" customWidth="1"/>
    <col min="7943" max="7943" width="10.85546875" style="2" customWidth="1"/>
    <col min="7944" max="7944" width="11.7109375" style="2" customWidth="1"/>
    <col min="7945" max="7945" width="11.42578125" style="2" customWidth="1"/>
    <col min="7946" max="7946" width="11.7109375" style="2" customWidth="1"/>
    <col min="7947" max="7947" width="11.42578125" style="2" customWidth="1"/>
    <col min="7948" max="7949" width="11" style="2" customWidth="1"/>
    <col min="7950" max="7950" width="9.28515625" style="2" customWidth="1"/>
    <col min="7951" max="7951" width="10.7109375" style="2" bestFit="1" customWidth="1"/>
    <col min="7952" max="7963" width="9.140625" style="2"/>
    <col min="7964" max="7964" width="2" style="2" customWidth="1"/>
    <col min="7965" max="8192" width="9.140625" style="2"/>
    <col min="8193" max="8193" width="13.7109375" style="2" customWidth="1"/>
    <col min="8194" max="8194" width="12.28515625" style="2" customWidth="1"/>
    <col min="8195" max="8195" width="11.7109375" style="2" customWidth="1"/>
    <col min="8196" max="8196" width="11.28515625" style="2" customWidth="1"/>
    <col min="8197" max="8198" width="12.28515625" style="2" customWidth="1"/>
    <col min="8199" max="8199" width="10.85546875" style="2" customWidth="1"/>
    <col min="8200" max="8200" width="11.7109375" style="2" customWidth="1"/>
    <col min="8201" max="8201" width="11.42578125" style="2" customWidth="1"/>
    <col min="8202" max="8202" width="11.7109375" style="2" customWidth="1"/>
    <col min="8203" max="8203" width="11.42578125" style="2" customWidth="1"/>
    <col min="8204" max="8205" width="11" style="2" customWidth="1"/>
    <col min="8206" max="8206" width="9.28515625" style="2" customWidth="1"/>
    <col min="8207" max="8207" width="10.7109375" style="2" bestFit="1" customWidth="1"/>
    <col min="8208" max="8219" width="9.140625" style="2"/>
    <col min="8220" max="8220" width="2" style="2" customWidth="1"/>
    <col min="8221" max="8448" width="9.140625" style="2"/>
    <col min="8449" max="8449" width="13.7109375" style="2" customWidth="1"/>
    <col min="8450" max="8450" width="12.28515625" style="2" customWidth="1"/>
    <col min="8451" max="8451" width="11.7109375" style="2" customWidth="1"/>
    <col min="8452" max="8452" width="11.28515625" style="2" customWidth="1"/>
    <col min="8453" max="8454" width="12.28515625" style="2" customWidth="1"/>
    <col min="8455" max="8455" width="10.85546875" style="2" customWidth="1"/>
    <col min="8456" max="8456" width="11.7109375" style="2" customWidth="1"/>
    <col min="8457" max="8457" width="11.42578125" style="2" customWidth="1"/>
    <col min="8458" max="8458" width="11.7109375" style="2" customWidth="1"/>
    <col min="8459" max="8459" width="11.42578125" style="2" customWidth="1"/>
    <col min="8460" max="8461" width="11" style="2" customWidth="1"/>
    <col min="8462" max="8462" width="9.28515625" style="2" customWidth="1"/>
    <col min="8463" max="8463" width="10.7109375" style="2" bestFit="1" customWidth="1"/>
    <col min="8464" max="8475" width="9.140625" style="2"/>
    <col min="8476" max="8476" width="2" style="2" customWidth="1"/>
    <col min="8477" max="8704" width="9.140625" style="2"/>
    <col min="8705" max="8705" width="13.7109375" style="2" customWidth="1"/>
    <col min="8706" max="8706" width="12.28515625" style="2" customWidth="1"/>
    <col min="8707" max="8707" width="11.7109375" style="2" customWidth="1"/>
    <col min="8708" max="8708" width="11.28515625" style="2" customWidth="1"/>
    <col min="8709" max="8710" width="12.28515625" style="2" customWidth="1"/>
    <col min="8711" max="8711" width="10.85546875" style="2" customWidth="1"/>
    <col min="8712" max="8712" width="11.7109375" style="2" customWidth="1"/>
    <col min="8713" max="8713" width="11.42578125" style="2" customWidth="1"/>
    <col min="8714" max="8714" width="11.7109375" style="2" customWidth="1"/>
    <col min="8715" max="8715" width="11.42578125" style="2" customWidth="1"/>
    <col min="8716" max="8717" width="11" style="2" customWidth="1"/>
    <col min="8718" max="8718" width="9.28515625" style="2" customWidth="1"/>
    <col min="8719" max="8719" width="10.7109375" style="2" bestFit="1" customWidth="1"/>
    <col min="8720" max="8731" width="9.140625" style="2"/>
    <col min="8732" max="8732" width="2" style="2" customWidth="1"/>
    <col min="8733" max="8960" width="9.140625" style="2"/>
    <col min="8961" max="8961" width="13.7109375" style="2" customWidth="1"/>
    <col min="8962" max="8962" width="12.28515625" style="2" customWidth="1"/>
    <col min="8963" max="8963" width="11.7109375" style="2" customWidth="1"/>
    <col min="8964" max="8964" width="11.28515625" style="2" customWidth="1"/>
    <col min="8965" max="8966" width="12.28515625" style="2" customWidth="1"/>
    <col min="8967" max="8967" width="10.85546875" style="2" customWidth="1"/>
    <col min="8968" max="8968" width="11.7109375" style="2" customWidth="1"/>
    <col min="8969" max="8969" width="11.42578125" style="2" customWidth="1"/>
    <col min="8970" max="8970" width="11.7109375" style="2" customWidth="1"/>
    <col min="8971" max="8971" width="11.42578125" style="2" customWidth="1"/>
    <col min="8972" max="8973" width="11" style="2" customWidth="1"/>
    <col min="8974" max="8974" width="9.28515625" style="2" customWidth="1"/>
    <col min="8975" max="8975" width="10.7109375" style="2" bestFit="1" customWidth="1"/>
    <col min="8976" max="8987" width="9.140625" style="2"/>
    <col min="8988" max="8988" width="2" style="2" customWidth="1"/>
    <col min="8989" max="9216" width="9.140625" style="2"/>
    <col min="9217" max="9217" width="13.7109375" style="2" customWidth="1"/>
    <col min="9218" max="9218" width="12.28515625" style="2" customWidth="1"/>
    <col min="9219" max="9219" width="11.7109375" style="2" customWidth="1"/>
    <col min="9220" max="9220" width="11.28515625" style="2" customWidth="1"/>
    <col min="9221" max="9222" width="12.28515625" style="2" customWidth="1"/>
    <col min="9223" max="9223" width="10.85546875" style="2" customWidth="1"/>
    <col min="9224" max="9224" width="11.7109375" style="2" customWidth="1"/>
    <col min="9225" max="9225" width="11.42578125" style="2" customWidth="1"/>
    <col min="9226" max="9226" width="11.7109375" style="2" customWidth="1"/>
    <col min="9227" max="9227" width="11.42578125" style="2" customWidth="1"/>
    <col min="9228" max="9229" width="11" style="2" customWidth="1"/>
    <col min="9230" max="9230" width="9.28515625" style="2" customWidth="1"/>
    <col min="9231" max="9231" width="10.7109375" style="2" bestFit="1" customWidth="1"/>
    <col min="9232" max="9243" width="9.140625" style="2"/>
    <col min="9244" max="9244" width="2" style="2" customWidth="1"/>
    <col min="9245" max="9472" width="9.140625" style="2"/>
    <col min="9473" max="9473" width="13.7109375" style="2" customWidth="1"/>
    <col min="9474" max="9474" width="12.28515625" style="2" customWidth="1"/>
    <col min="9475" max="9475" width="11.7109375" style="2" customWidth="1"/>
    <col min="9476" max="9476" width="11.28515625" style="2" customWidth="1"/>
    <col min="9477" max="9478" width="12.28515625" style="2" customWidth="1"/>
    <col min="9479" max="9479" width="10.85546875" style="2" customWidth="1"/>
    <col min="9480" max="9480" width="11.7109375" style="2" customWidth="1"/>
    <col min="9481" max="9481" width="11.42578125" style="2" customWidth="1"/>
    <col min="9482" max="9482" width="11.7109375" style="2" customWidth="1"/>
    <col min="9483" max="9483" width="11.42578125" style="2" customWidth="1"/>
    <col min="9484" max="9485" width="11" style="2" customWidth="1"/>
    <col min="9486" max="9486" width="9.28515625" style="2" customWidth="1"/>
    <col min="9487" max="9487" width="10.7109375" style="2" bestFit="1" customWidth="1"/>
    <col min="9488" max="9499" width="9.140625" style="2"/>
    <col min="9500" max="9500" width="2" style="2" customWidth="1"/>
    <col min="9501" max="9728" width="9.140625" style="2"/>
    <col min="9729" max="9729" width="13.7109375" style="2" customWidth="1"/>
    <col min="9730" max="9730" width="12.28515625" style="2" customWidth="1"/>
    <col min="9731" max="9731" width="11.7109375" style="2" customWidth="1"/>
    <col min="9732" max="9732" width="11.28515625" style="2" customWidth="1"/>
    <col min="9733" max="9734" width="12.28515625" style="2" customWidth="1"/>
    <col min="9735" max="9735" width="10.85546875" style="2" customWidth="1"/>
    <col min="9736" max="9736" width="11.7109375" style="2" customWidth="1"/>
    <col min="9737" max="9737" width="11.42578125" style="2" customWidth="1"/>
    <col min="9738" max="9738" width="11.7109375" style="2" customWidth="1"/>
    <col min="9739" max="9739" width="11.42578125" style="2" customWidth="1"/>
    <col min="9740" max="9741" width="11" style="2" customWidth="1"/>
    <col min="9742" max="9742" width="9.28515625" style="2" customWidth="1"/>
    <col min="9743" max="9743" width="10.7109375" style="2" bestFit="1" customWidth="1"/>
    <col min="9744" max="9755" width="9.140625" style="2"/>
    <col min="9756" max="9756" width="2" style="2" customWidth="1"/>
    <col min="9757" max="9984" width="9.140625" style="2"/>
    <col min="9985" max="9985" width="13.7109375" style="2" customWidth="1"/>
    <col min="9986" max="9986" width="12.28515625" style="2" customWidth="1"/>
    <col min="9987" max="9987" width="11.7109375" style="2" customWidth="1"/>
    <col min="9988" max="9988" width="11.28515625" style="2" customWidth="1"/>
    <col min="9989" max="9990" width="12.28515625" style="2" customWidth="1"/>
    <col min="9991" max="9991" width="10.85546875" style="2" customWidth="1"/>
    <col min="9992" max="9992" width="11.7109375" style="2" customWidth="1"/>
    <col min="9993" max="9993" width="11.42578125" style="2" customWidth="1"/>
    <col min="9994" max="9994" width="11.7109375" style="2" customWidth="1"/>
    <col min="9995" max="9995" width="11.42578125" style="2" customWidth="1"/>
    <col min="9996" max="9997" width="11" style="2" customWidth="1"/>
    <col min="9998" max="9998" width="9.28515625" style="2" customWidth="1"/>
    <col min="9999" max="9999" width="10.7109375" style="2" bestFit="1" customWidth="1"/>
    <col min="10000" max="10011" width="9.140625" style="2"/>
    <col min="10012" max="10012" width="2" style="2" customWidth="1"/>
    <col min="10013" max="10240" width="9.140625" style="2"/>
    <col min="10241" max="10241" width="13.7109375" style="2" customWidth="1"/>
    <col min="10242" max="10242" width="12.28515625" style="2" customWidth="1"/>
    <col min="10243" max="10243" width="11.7109375" style="2" customWidth="1"/>
    <col min="10244" max="10244" width="11.28515625" style="2" customWidth="1"/>
    <col min="10245" max="10246" width="12.28515625" style="2" customWidth="1"/>
    <col min="10247" max="10247" width="10.85546875" style="2" customWidth="1"/>
    <col min="10248" max="10248" width="11.7109375" style="2" customWidth="1"/>
    <col min="10249" max="10249" width="11.42578125" style="2" customWidth="1"/>
    <col min="10250" max="10250" width="11.7109375" style="2" customWidth="1"/>
    <col min="10251" max="10251" width="11.42578125" style="2" customWidth="1"/>
    <col min="10252" max="10253" width="11" style="2" customWidth="1"/>
    <col min="10254" max="10254" width="9.28515625" style="2" customWidth="1"/>
    <col min="10255" max="10255" width="10.7109375" style="2" bestFit="1" customWidth="1"/>
    <col min="10256" max="10267" width="9.140625" style="2"/>
    <col min="10268" max="10268" width="2" style="2" customWidth="1"/>
    <col min="10269" max="10496" width="9.140625" style="2"/>
    <col min="10497" max="10497" width="13.7109375" style="2" customWidth="1"/>
    <col min="10498" max="10498" width="12.28515625" style="2" customWidth="1"/>
    <col min="10499" max="10499" width="11.7109375" style="2" customWidth="1"/>
    <col min="10500" max="10500" width="11.28515625" style="2" customWidth="1"/>
    <col min="10501" max="10502" width="12.28515625" style="2" customWidth="1"/>
    <col min="10503" max="10503" width="10.85546875" style="2" customWidth="1"/>
    <col min="10504" max="10504" width="11.7109375" style="2" customWidth="1"/>
    <col min="10505" max="10505" width="11.42578125" style="2" customWidth="1"/>
    <col min="10506" max="10506" width="11.7109375" style="2" customWidth="1"/>
    <col min="10507" max="10507" width="11.42578125" style="2" customWidth="1"/>
    <col min="10508" max="10509" width="11" style="2" customWidth="1"/>
    <col min="10510" max="10510" width="9.28515625" style="2" customWidth="1"/>
    <col min="10511" max="10511" width="10.7109375" style="2" bestFit="1" customWidth="1"/>
    <col min="10512" max="10523" width="9.140625" style="2"/>
    <col min="10524" max="10524" width="2" style="2" customWidth="1"/>
    <col min="10525" max="10752" width="9.140625" style="2"/>
    <col min="10753" max="10753" width="13.7109375" style="2" customWidth="1"/>
    <col min="10754" max="10754" width="12.28515625" style="2" customWidth="1"/>
    <col min="10755" max="10755" width="11.7109375" style="2" customWidth="1"/>
    <col min="10756" max="10756" width="11.28515625" style="2" customWidth="1"/>
    <col min="10757" max="10758" width="12.28515625" style="2" customWidth="1"/>
    <col min="10759" max="10759" width="10.85546875" style="2" customWidth="1"/>
    <col min="10760" max="10760" width="11.7109375" style="2" customWidth="1"/>
    <col min="10761" max="10761" width="11.42578125" style="2" customWidth="1"/>
    <col min="10762" max="10762" width="11.7109375" style="2" customWidth="1"/>
    <col min="10763" max="10763" width="11.42578125" style="2" customWidth="1"/>
    <col min="10764" max="10765" width="11" style="2" customWidth="1"/>
    <col min="10766" max="10766" width="9.28515625" style="2" customWidth="1"/>
    <col min="10767" max="10767" width="10.7109375" style="2" bestFit="1" customWidth="1"/>
    <col min="10768" max="10779" width="9.140625" style="2"/>
    <col min="10780" max="10780" width="2" style="2" customWidth="1"/>
    <col min="10781" max="11008" width="9.140625" style="2"/>
    <col min="11009" max="11009" width="13.7109375" style="2" customWidth="1"/>
    <col min="11010" max="11010" width="12.28515625" style="2" customWidth="1"/>
    <col min="11011" max="11011" width="11.7109375" style="2" customWidth="1"/>
    <col min="11012" max="11012" width="11.28515625" style="2" customWidth="1"/>
    <col min="11013" max="11014" width="12.28515625" style="2" customWidth="1"/>
    <col min="11015" max="11015" width="10.85546875" style="2" customWidth="1"/>
    <col min="11016" max="11016" width="11.7109375" style="2" customWidth="1"/>
    <col min="11017" max="11017" width="11.42578125" style="2" customWidth="1"/>
    <col min="11018" max="11018" width="11.7109375" style="2" customWidth="1"/>
    <col min="11019" max="11019" width="11.42578125" style="2" customWidth="1"/>
    <col min="11020" max="11021" width="11" style="2" customWidth="1"/>
    <col min="11022" max="11022" width="9.28515625" style="2" customWidth="1"/>
    <col min="11023" max="11023" width="10.7109375" style="2" bestFit="1" customWidth="1"/>
    <col min="11024" max="11035" width="9.140625" style="2"/>
    <col min="11036" max="11036" width="2" style="2" customWidth="1"/>
    <col min="11037" max="11264" width="9.140625" style="2"/>
    <col min="11265" max="11265" width="13.7109375" style="2" customWidth="1"/>
    <col min="11266" max="11266" width="12.28515625" style="2" customWidth="1"/>
    <col min="11267" max="11267" width="11.7109375" style="2" customWidth="1"/>
    <col min="11268" max="11268" width="11.28515625" style="2" customWidth="1"/>
    <col min="11269" max="11270" width="12.28515625" style="2" customWidth="1"/>
    <col min="11271" max="11271" width="10.85546875" style="2" customWidth="1"/>
    <col min="11272" max="11272" width="11.7109375" style="2" customWidth="1"/>
    <col min="11273" max="11273" width="11.42578125" style="2" customWidth="1"/>
    <col min="11274" max="11274" width="11.7109375" style="2" customWidth="1"/>
    <col min="11275" max="11275" width="11.42578125" style="2" customWidth="1"/>
    <col min="11276" max="11277" width="11" style="2" customWidth="1"/>
    <col min="11278" max="11278" width="9.28515625" style="2" customWidth="1"/>
    <col min="11279" max="11279" width="10.7109375" style="2" bestFit="1" customWidth="1"/>
    <col min="11280" max="11291" width="9.140625" style="2"/>
    <col min="11292" max="11292" width="2" style="2" customWidth="1"/>
    <col min="11293" max="11520" width="9.140625" style="2"/>
    <col min="11521" max="11521" width="13.7109375" style="2" customWidth="1"/>
    <col min="11522" max="11522" width="12.28515625" style="2" customWidth="1"/>
    <col min="11523" max="11523" width="11.7109375" style="2" customWidth="1"/>
    <col min="11524" max="11524" width="11.28515625" style="2" customWidth="1"/>
    <col min="11525" max="11526" width="12.28515625" style="2" customWidth="1"/>
    <col min="11527" max="11527" width="10.85546875" style="2" customWidth="1"/>
    <col min="11528" max="11528" width="11.7109375" style="2" customWidth="1"/>
    <col min="11529" max="11529" width="11.42578125" style="2" customWidth="1"/>
    <col min="11530" max="11530" width="11.7109375" style="2" customWidth="1"/>
    <col min="11531" max="11531" width="11.42578125" style="2" customWidth="1"/>
    <col min="11532" max="11533" width="11" style="2" customWidth="1"/>
    <col min="11534" max="11534" width="9.28515625" style="2" customWidth="1"/>
    <col min="11535" max="11535" width="10.7109375" style="2" bestFit="1" customWidth="1"/>
    <col min="11536" max="11547" width="9.140625" style="2"/>
    <col min="11548" max="11548" width="2" style="2" customWidth="1"/>
    <col min="11549" max="11776" width="9.140625" style="2"/>
    <col min="11777" max="11777" width="13.7109375" style="2" customWidth="1"/>
    <col min="11778" max="11778" width="12.28515625" style="2" customWidth="1"/>
    <col min="11779" max="11779" width="11.7109375" style="2" customWidth="1"/>
    <col min="11780" max="11780" width="11.28515625" style="2" customWidth="1"/>
    <col min="11781" max="11782" width="12.28515625" style="2" customWidth="1"/>
    <col min="11783" max="11783" width="10.85546875" style="2" customWidth="1"/>
    <col min="11784" max="11784" width="11.7109375" style="2" customWidth="1"/>
    <col min="11785" max="11785" width="11.42578125" style="2" customWidth="1"/>
    <col min="11786" max="11786" width="11.7109375" style="2" customWidth="1"/>
    <col min="11787" max="11787" width="11.42578125" style="2" customWidth="1"/>
    <col min="11788" max="11789" width="11" style="2" customWidth="1"/>
    <col min="11790" max="11790" width="9.28515625" style="2" customWidth="1"/>
    <col min="11791" max="11791" width="10.7109375" style="2" bestFit="1" customWidth="1"/>
    <col min="11792" max="11803" width="9.140625" style="2"/>
    <col min="11804" max="11804" width="2" style="2" customWidth="1"/>
    <col min="11805" max="12032" width="9.140625" style="2"/>
    <col min="12033" max="12033" width="13.7109375" style="2" customWidth="1"/>
    <col min="12034" max="12034" width="12.28515625" style="2" customWidth="1"/>
    <col min="12035" max="12035" width="11.7109375" style="2" customWidth="1"/>
    <col min="12036" max="12036" width="11.28515625" style="2" customWidth="1"/>
    <col min="12037" max="12038" width="12.28515625" style="2" customWidth="1"/>
    <col min="12039" max="12039" width="10.85546875" style="2" customWidth="1"/>
    <col min="12040" max="12040" width="11.7109375" style="2" customWidth="1"/>
    <col min="12041" max="12041" width="11.42578125" style="2" customWidth="1"/>
    <col min="12042" max="12042" width="11.7109375" style="2" customWidth="1"/>
    <col min="12043" max="12043" width="11.42578125" style="2" customWidth="1"/>
    <col min="12044" max="12045" width="11" style="2" customWidth="1"/>
    <col min="12046" max="12046" width="9.28515625" style="2" customWidth="1"/>
    <col min="12047" max="12047" width="10.7109375" style="2" bestFit="1" customWidth="1"/>
    <col min="12048" max="12059" width="9.140625" style="2"/>
    <col min="12060" max="12060" width="2" style="2" customWidth="1"/>
    <col min="12061" max="12288" width="9.140625" style="2"/>
    <col min="12289" max="12289" width="13.7109375" style="2" customWidth="1"/>
    <col min="12290" max="12290" width="12.28515625" style="2" customWidth="1"/>
    <col min="12291" max="12291" width="11.7109375" style="2" customWidth="1"/>
    <col min="12292" max="12292" width="11.28515625" style="2" customWidth="1"/>
    <col min="12293" max="12294" width="12.28515625" style="2" customWidth="1"/>
    <col min="12295" max="12295" width="10.85546875" style="2" customWidth="1"/>
    <col min="12296" max="12296" width="11.7109375" style="2" customWidth="1"/>
    <col min="12297" max="12297" width="11.42578125" style="2" customWidth="1"/>
    <col min="12298" max="12298" width="11.7109375" style="2" customWidth="1"/>
    <col min="12299" max="12299" width="11.42578125" style="2" customWidth="1"/>
    <col min="12300" max="12301" width="11" style="2" customWidth="1"/>
    <col min="12302" max="12302" width="9.28515625" style="2" customWidth="1"/>
    <col min="12303" max="12303" width="10.7109375" style="2" bestFit="1" customWidth="1"/>
    <col min="12304" max="12315" width="9.140625" style="2"/>
    <col min="12316" max="12316" width="2" style="2" customWidth="1"/>
    <col min="12317" max="12544" width="9.140625" style="2"/>
    <col min="12545" max="12545" width="13.7109375" style="2" customWidth="1"/>
    <col min="12546" max="12546" width="12.28515625" style="2" customWidth="1"/>
    <col min="12547" max="12547" width="11.7109375" style="2" customWidth="1"/>
    <col min="12548" max="12548" width="11.28515625" style="2" customWidth="1"/>
    <col min="12549" max="12550" width="12.28515625" style="2" customWidth="1"/>
    <col min="12551" max="12551" width="10.85546875" style="2" customWidth="1"/>
    <col min="12552" max="12552" width="11.7109375" style="2" customWidth="1"/>
    <col min="12553" max="12553" width="11.42578125" style="2" customWidth="1"/>
    <col min="12554" max="12554" width="11.7109375" style="2" customWidth="1"/>
    <col min="12555" max="12555" width="11.42578125" style="2" customWidth="1"/>
    <col min="12556" max="12557" width="11" style="2" customWidth="1"/>
    <col min="12558" max="12558" width="9.28515625" style="2" customWidth="1"/>
    <col min="12559" max="12559" width="10.7109375" style="2" bestFit="1" customWidth="1"/>
    <col min="12560" max="12571" width="9.140625" style="2"/>
    <col min="12572" max="12572" width="2" style="2" customWidth="1"/>
    <col min="12573" max="12800" width="9.140625" style="2"/>
    <col min="12801" max="12801" width="13.7109375" style="2" customWidth="1"/>
    <col min="12802" max="12802" width="12.28515625" style="2" customWidth="1"/>
    <col min="12803" max="12803" width="11.7109375" style="2" customWidth="1"/>
    <col min="12804" max="12804" width="11.28515625" style="2" customWidth="1"/>
    <col min="12805" max="12806" width="12.28515625" style="2" customWidth="1"/>
    <col min="12807" max="12807" width="10.85546875" style="2" customWidth="1"/>
    <col min="12808" max="12808" width="11.7109375" style="2" customWidth="1"/>
    <col min="12809" max="12809" width="11.42578125" style="2" customWidth="1"/>
    <col min="12810" max="12810" width="11.7109375" style="2" customWidth="1"/>
    <col min="12811" max="12811" width="11.42578125" style="2" customWidth="1"/>
    <col min="12812" max="12813" width="11" style="2" customWidth="1"/>
    <col min="12814" max="12814" width="9.28515625" style="2" customWidth="1"/>
    <col min="12815" max="12815" width="10.7109375" style="2" bestFit="1" customWidth="1"/>
    <col min="12816" max="12827" width="9.140625" style="2"/>
    <col min="12828" max="12828" width="2" style="2" customWidth="1"/>
    <col min="12829" max="13056" width="9.140625" style="2"/>
    <col min="13057" max="13057" width="13.7109375" style="2" customWidth="1"/>
    <col min="13058" max="13058" width="12.28515625" style="2" customWidth="1"/>
    <col min="13059" max="13059" width="11.7109375" style="2" customWidth="1"/>
    <col min="13060" max="13060" width="11.28515625" style="2" customWidth="1"/>
    <col min="13061" max="13062" width="12.28515625" style="2" customWidth="1"/>
    <col min="13063" max="13063" width="10.85546875" style="2" customWidth="1"/>
    <col min="13064" max="13064" width="11.7109375" style="2" customWidth="1"/>
    <col min="13065" max="13065" width="11.42578125" style="2" customWidth="1"/>
    <col min="13066" max="13066" width="11.7109375" style="2" customWidth="1"/>
    <col min="13067" max="13067" width="11.42578125" style="2" customWidth="1"/>
    <col min="13068" max="13069" width="11" style="2" customWidth="1"/>
    <col min="13070" max="13070" width="9.28515625" style="2" customWidth="1"/>
    <col min="13071" max="13071" width="10.7109375" style="2" bestFit="1" customWidth="1"/>
    <col min="13072" max="13083" width="9.140625" style="2"/>
    <col min="13084" max="13084" width="2" style="2" customWidth="1"/>
    <col min="13085" max="13312" width="9.140625" style="2"/>
    <col min="13313" max="13313" width="13.7109375" style="2" customWidth="1"/>
    <col min="13314" max="13314" width="12.28515625" style="2" customWidth="1"/>
    <col min="13315" max="13315" width="11.7109375" style="2" customWidth="1"/>
    <col min="13316" max="13316" width="11.28515625" style="2" customWidth="1"/>
    <col min="13317" max="13318" width="12.28515625" style="2" customWidth="1"/>
    <col min="13319" max="13319" width="10.85546875" style="2" customWidth="1"/>
    <col min="13320" max="13320" width="11.7109375" style="2" customWidth="1"/>
    <col min="13321" max="13321" width="11.42578125" style="2" customWidth="1"/>
    <col min="13322" max="13322" width="11.7109375" style="2" customWidth="1"/>
    <col min="13323" max="13323" width="11.42578125" style="2" customWidth="1"/>
    <col min="13324" max="13325" width="11" style="2" customWidth="1"/>
    <col min="13326" max="13326" width="9.28515625" style="2" customWidth="1"/>
    <col min="13327" max="13327" width="10.7109375" style="2" bestFit="1" customWidth="1"/>
    <col min="13328" max="13339" width="9.140625" style="2"/>
    <col min="13340" max="13340" width="2" style="2" customWidth="1"/>
    <col min="13341" max="13568" width="9.140625" style="2"/>
    <col min="13569" max="13569" width="13.7109375" style="2" customWidth="1"/>
    <col min="13570" max="13570" width="12.28515625" style="2" customWidth="1"/>
    <col min="13571" max="13571" width="11.7109375" style="2" customWidth="1"/>
    <col min="13572" max="13572" width="11.28515625" style="2" customWidth="1"/>
    <col min="13573" max="13574" width="12.28515625" style="2" customWidth="1"/>
    <col min="13575" max="13575" width="10.85546875" style="2" customWidth="1"/>
    <col min="13576" max="13576" width="11.7109375" style="2" customWidth="1"/>
    <col min="13577" max="13577" width="11.42578125" style="2" customWidth="1"/>
    <col min="13578" max="13578" width="11.7109375" style="2" customWidth="1"/>
    <col min="13579" max="13579" width="11.42578125" style="2" customWidth="1"/>
    <col min="13580" max="13581" width="11" style="2" customWidth="1"/>
    <col min="13582" max="13582" width="9.28515625" style="2" customWidth="1"/>
    <col min="13583" max="13583" width="10.7109375" style="2" bestFit="1" customWidth="1"/>
    <col min="13584" max="13595" width="9.140625" style="2"/>
    <col min="13596" max="13596" width="2" style="2" customWidth="1"/>
    <col min="13597" max="13824" width="9.140625" style="2"/>
    <col min="13825" max="13825" width="13.7109375" style="2" customWidth="1"/>
    <col min="13826" max="13826" width="12.28515625" style="2" customWidth="1"/>
    <col min="13827" max="13827" width="11.7109375" style="2" customWidth="1"/>
    <col min="13828" max="13828" width="11.28515625" style="2" customWidth="1"/>
    <col min="13829" max="13830" width="12.28515625" style="2" customWidth="1"/>
    <col min="13831" max="13831" width="10.85546875" style="2" customWidth="1"/>
    <col min="13832" max="13832" width="11.7109375" style="2" customWidth="1"/>
    <col min="13833" max="13833" width="11.42578125" style="2" customWidth="1"/>
    <col min="13834" max="13834" width="11.7109375" style="2" customWidth="1"/>
    <col min="13835" max="13835" width="11.42578125" style="2" customWidth="1"/>
    <col min="13836" max="13837" width="11" style="2" customWidth="1"/>
    <col min="13838" max="13838" width="9.28515625" style="2" customWidth="1"/>
    <col min="13839" max="13839" width="10.7109375" style="2" bestFit="1" customWidth="1"/>
    <col min="13840" max="13851" width="9.140625" style="2"/>
    <col min="13852" max="13852" width="2" style="2" customWidth="1"/>
    <col min="13853" max="14080" width="9.140625" style="2"/>
    <col min="14081" max="14081" width="13.7109375" style="2" customWidth="1"/>
    <col min="14082" max="14082" width="12.28515625" style="2" customWidth="1"/>
    <col min="14083" max="14083" width="11.7109375" style="2" customWidth="1"/>
    <col min="14084" max="14084" width="11.28515625" style="2" customWidth="1"/>
    <col min="14085" max="14086" width="12.28515625" style="2" customWidth="1"/>
    <col min="14087" max="14087" width="10.85546875" style="2" customWidth="1"/>
    <col min="14088" max="14088" width="11.7109375" style="2" customWidth="1"/>
    <col min="14089" max="14089" width="11.42578125" style="2" customWidth="1"/>
    <col min="14090" max="14090" width="11.7109375" style="2" customWidth="1"/>
    <col min="14091" max="14091" width="11.42578125" style="2" customWidth="1"/>
    <col min="14092" max="14093" width="11" style="2" customWidth="1"/>
    <col min="14094" max="14094" width="9.28515625" style="2" customWidth="1"/>
    <col min="14095" max="14095" width="10.7109375" style="2" bestFit="1" customWidth="1"/>
    <col min="14096" max="14107" width="9.140625" style="2"/>
    <col min="14108" max="14108" width="2" style="2" customWidth="1"/>
    <col min="14109" max="14336" width="9.140625" style="2"/>
    <col min="14337" max="14337" width="13.7109375" style="2" customWidth="1"/>
    <col min="14338" max="14338" width="12.28515625" style="2" customWidth="1"/>
    <col min="14339" max="14339" width="11.7109375" style="2" customWidth="1"/>
    <col min="14340" max="14340" width="11.28515625" style="2" customWidth="1"/>
    <col min="14341" max="14342" width="12.28515625" style="2" customWidth="1"/>
    <col min="14343" max="14343" width="10.85546875" style="2" customWidth="1"/>
    <col min="14344" max="14344" width="11.7109375" style="2" customWidth="1"/>
    <col min="14345" max="14345" width="11.42578125" style="2" customWidth="1"/>
    <col min="14346" max="14346" width="11.7109375" style="2" customWidth="1"/>
    <col min="14347" max="14347" width="11.42578125" style="2" customWidth="1"/>
    <col min="14348" max="14349" width="11" style="2" customWidth="1"/>
    <col min="14350" max="14350" width="9.28515625" style="2" customWidth="1"/>
    <col min="14351" max="14351" width="10.7109375" style="2" bestFit="1" customWidth="1"/>
    <col min="14352" max="14363" width="9.140625" style="2"/>
    <col min="14364" max="14364" width="2" style="2" customWidth="1"/>
    <col min="14365" max="14592" width="9.140625" style="2"/>
    <col min="14593" max="14593" width="13.7109375" style="2" customWidth="1"/>
    <col min="14594" max="14594" width="12.28515625" style="2" customWidth="1"/>
    <col min="14595" max="14595" width="11.7109375" style="2" customWidth="1"/>
    <col min="14596" max="14596" width="11.28515625" style="2" customWidth="1"/>
    <col min="14597" max="14598" width="12.28515625" style="2" customWidth="1"/>
    <col min="14599" max="14599" width="10.85546875" style="2" customWidth="1"/>
    <col min="14600" max="14600" width="11.7109375" style="2" customWidth="1"/>
    <col min="14601" max="14601" width="11.42578125" style="2" customWidth="1"/>
    <col min="14602" max="14602" width="11.7109375" style="2" customWidth="1"/>
    <col min="14603" max="14603" width="11.42578125" style="2" customWidth="1"/>
    <col min="14604" max="14605" width="11" style="2" customWidth="1"/>
    <col min="14606" max="14606" width="9.28515625" style="2" customWidth="1"/>
    <col min="14607" max="14607" width="10.7109375" style="2" bestFit="1" customWidth="1"/>
    <col min="14608" max="14619" width="9.140625" style="2"/>
    <col min="14620" max="14620" width="2" style="2" customWidth="1"/>
    <col min="14621" max="14848" width="9.140625" style="2"/>
    <col min="14849" max="14849" width="13.7109375" style="2" customWidth="1"/>
    <col min="14850" max="14850" width="12.28515625" style="2" customWidth="1"/>
    <col min="14851" max="14851" width="11.7109375" style="2" customWidth="1"/>
    <col min="14852" max="14852" width="11.28515625" style="2" customWidth="1"/>
    <col min="14853" max="14854" width="12.28515625" style="2" customWidth="1"/>
    <col min="14855" max="14855" width="10.85546875" style="2" customWidth="1"/>
    <col min="14856" max="14856" width="11.7109375" style="2" customWidth="1"/>
    <col min="14857" max="14857" width="11.42578125" style="2" customWidth="1"/>
    <col min="14858" max="14858" width="11.7109375" style="2" customWidth="1"/>
    <col min="14859" max="14859" width="11.42578125" style="2" customWidth="1"/>
    <col min="14860" max="14861" width="11" style="2" customWidth="1"/>
    <col min="14862" max="14862" width="9.28515625" style="2" customWidth="1"/>
    <col min="14863" max="14863" width="10.7109375" style="2" bestFit="1" customWidth="1"/>
    <col min="14864" max="14875" width="9.140625" style="2"/>
    <col min="14876" max="14876" width="2" style="2" customWidth="1"/>
    <col min="14877" max="15104" width="9.140625" style="2"/>
    <col min="15105" max="15105" width="13.7109375" style="2" customWidth="1"/>
    <col min="15106" max="15106" width="12.28515625" style="2" customWidth="1"/>
    <col min="15107" max="15107" width="11.7109375" style="2" customWidth="1"/>
    <col min="15108" max="15108" width="11.28515625" style="2" customWidth="1"/>
    <col min="15109" max="15110" width="12.28515625" style="2" customWidth="1"/>
    <col min="15111" max="15111" width="10.85546875" style="2" customWidth="1"/>
    <col min="15112" max="15112" width="11.7109375" style="2" customWidth="1"/>
    <col min="15113" max="15113" width="11.42578125" style="2" customWidth="1"/>
    <col min="15114" max="15114" width="11.7109375" style="2" customWidth="1"/>
    <col min="15115" max="15115" width="11.42578125" style="2" customWidth="1"/>
    <col min="15116" max="15117" width="11" style="2" customWidth="1"/>
    <col min="15118" max="15118" width="9.28515625" style="2" customWidth="1"/>
    <col min="15119" max="15119" width="10.7109375" style="2" bestFit="1" customWidth="1"/>
    <col min="15120" max="15131" width="9.140625" style="2"/>
    <col min="15132" max="15132" width="2" style="2" customWidth="1"/>
    <col min="15133" max="15360" width="9.140625" style="2"/>
    <col min="15361" max="15361" width="13.7109375" style="2" customWidth="1"/>
    <col min="15362" max="15362" width="12.28515625" style="2" customWidth="1"/>
    <col min="15363" max="15363" width="11.7109375" style="2" customWidth="1"/>
    <col min="15364" max="15364" width="11.28515625" style="2" customWidth="1"/>
    <col min="15365" max="15366" width="12.28515625" style="2" customWidth="1"/>
    <col min="15367" max="15367" width="10.85546875" style="2" customWidth="1"/>
    <col min="15368" max="15368" width="11.7109375" style="2" customWidth="1"/>
    <col min="15369" max="15369" width="11.42578125" style="2" customWidth="1"/>
    <col min="15370" max="15370" width="11.7109375" style="2" customWidth="1"/>
    <col min="15371" max="15371" width="11.42578125" style="2" customWidth="1"/>
    <col min="15372" max="15373" width="11" style="2" customWidth="1"/>
    <col min="15374" max="15374" width="9.28515625" style="2" customWidth="1"/>
    <col min="15375" max="15375" width="10.7109375" style="2" bestFit="1" customWidth="1"/>
    <col min="15376" max="15387" width="9.140625" style="2"/>
    <col min="15388" max="15388" width="2" style="2" customWidth="1"/>
    <col min="15389" max="15616" width="9.140625" style="2"/>
    <col min="15617" max="15617" width="13.7109375" style="2" customWidth="1"/>
    <col min="15618" max="15618" width="12.28515625" style="2" customWidth="1"/>
    <col min="15619" max="15619" width="11.7109375" style="2" customWidth="1"/>
    <col min="15620" max="15620" width="11.28515625" style="2" customWidth="1"/>
    <col min="15621" max="15622" width="12.28515625" style="2" customWidth="1"/>
    <col min="15623" max="15623" width="10.85546875" style="2" customWidth="1"/>
    <col min="15624" max="15624" width="11.7109375" style="2" customWidth="1"/>
    <col min="15625" max="15625" width="11.42578125" style="2" customWidth="1"/>
    <col min="15626" max="15626" width="11.7109375" style="2" customWidth="1"/>
    <col min="15627" max="15627" width="11.42578125" style="2" customWidth="1"/>
    <col min="15628" max="15629" width="11" style="2" customWidth="1"/>
    <col min="15630" max="15630" width="9.28515625" style="2" customWidth="1"/>
    <col min="15631" max="15631" width="10.7109375" style="2" bestFit="1" customWidth="1"/>
    <col min="15632" max="15643" width="9.140625" style="2"/>
    <col min="15644" max="15644" width="2" style="2" customWidth="1"/>
    <col min="15645" max="15872" width="9.140625" style="2"/>
    <col min="15873" max="15873" width="13.7109375" style="2" customWidth="1"/>
    <col min="15874" max="15874" width="12.28515625" style="2" customWidth="1"/>
    <col min="15875" max="15875" width="11.7109375" style="2" customWidth="1"/>
    <col min="15876" max="15876" width="11.28515625" style="2" customWidth="1"/>
    <col min="15877" max="15878" width="12.28515625" style="2" customWidth="1"/>
    <col min="15879" max="15879" width="10.85546875" style="2" customWidth="1"/>
    <col min="15880" max="15880" width="11.7109375" style="2" customWidth="1"/>
    <col min="15881" max="15881" width="11.42578125" style="2" customWidth="1"/>
    <col min="15882" max="15882" width="11.7109375" style="2" customWidth="1"/>
    <col min="15883" max="15883" width="11.42578125" style="2" customWidth="1"/>
    <col min="15884" max="15885" width="11" style="2" customWidth="1"/>
    <col min="15886" max="15886" width="9.28515625" style="2" customWidth="1"/>
    <col min="15887" max="15887" width="10.7109375" style="2" bestFit="1" customWidth="1"/>
    <col min="15888" max="15899" width="9.140625" style="2"/>
    <col min="15900" max="15900" width="2" style="2" customWidth="1"/>
    <col min="15901" max="16128" width="9.140625" style="2"/>
    <col min="16129" max="16129" width="13.7109375" style="2" customWidth="1"/>
    <col min="16130" max="16130" width="12.28515625" style="2" customWidth="1"/>
    <col min="16131" max="16131" width="11.7109375" style="2" customWidth="1"/>
    <col min="16132" max="16132" width="11.28515625" style="2" customWidth="1"/>
    <col min="16133" max="16134" width="12.28515625" style="2" customWidth="1"/>
    <col min="16135" max="16135" width="10.85546875" style="2" customWidth="1"/>
    <col min="16136" max="16136" width="11.7109375" style="2" customWidth="1"/>
    <col min="16137" max="16137" width="11.42578125" style="2" customWidth="1"/>
    <col min="16138" max="16138" width="11.7109375" style="2" customWidth="1"/>
    <col min="16139" max="16139" width="11.42578125" style="2" customWidth="1"/>
    <col min="16140" max="16141" width="11" style="2" customWidth="1"/>
    <col min="16142" max="16142" width="9.28515625" style="2" customWidth="1"/>
    <col min="16143" max="16143" width="10.7109375" style="2" bestFit="1" customWidth="1"/>
    <col min="16144" max="16155" width="9.140625" style="2"/>
    <col min="16156" max="16156" width="2" style="2" customWidth="1"/>
    <col min="16157" max="16384" width="9.140625" style="2"/>
  </cols>
  <sheetData>
    <row r="1" spans="1:15" ht="16.5" customHeight="1" x14ac:dyDescent="0.25">
      <c r="A1" s="305" t="s">
        <v>0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5"/>
      <c r="O1" s="5"/>
    </row>
    <row r="2" spans="1:15" ht="12.95" customHeight="1" x14ac:dyDescent="0.25">
      <c r="A2" s="306" t="s">
        <v>12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5"/>
      <c r="O2" s="5"/>
    </row>
    <row r="3" spans="1:15" ht="12.95" customHeight="1" x14ac:dyDescent="0.25">
      <c r="A3" s="305" t="s">
        <v>73</v>
      </c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5"/>
      <c r="O3" s="5"/>
    </row>
    <row r="4" spans="1:15" ht="12.95" customHeight="1" x14ac:dyDescent="0.25">
      <c r="A4" s="305" t="s">
        <v>74</v>
      </c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5"/>
      <c r="O4" s="5"/>
    </row>
    <row r="5" spans="1:15" ht="12.9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5"/>
      <c r="O5" s="5"/>
    </row>
    <row r="6" spans="1:15" ht="12.95" customHeight="1" x14ac:dyDescent="0.2">
      <c r="N6" s="5"/>
      <c r="O6" s="5"/>
    </row>
    <row r="7" spans="1:15" ht="12.95" customHeight="1" x14ac:dyDescent="0.2">
      <c r="A7" s="4" t="s">
        <v>75</v>
      </c>
      <c r="B7" s="194"/>
      <c r="C7" s="194"/>
      <c r="D7" s="303" t="s">
        <v>76</v>
      </c>
      <c r="E7" s="303"/>
      <c r="F7" s="24"/>
      <c r="G7" s="303" t="s">
        <v>77</v>
      </c>
      <c r="H7" s="304"/>
      <c r="I7" s="303" t="s">
        <v>78</v>
      </c>
      <c r="J7" s="304"/>
      <c r="K7" s="303" t="s">
        <v>10</v>
      </c>
      <c r="L7" s="303"/>
      <c r="M7" s="303"/>
      <c r="N7" s="5"/>
      <c r="O7" s="5"/>
    </row>
    <row r="8" spans="1:15" ht="12.95" customHeight="1" thickBot="1" x14ac:dyDescent="0.25">
      <c r="A8" s="6" t="s">
        <v>79</v>
      </c>
      <c r="B8" s="7" t="s">
        <v>11</v>
      </c>
      <c r="C8" s="195" t="s">
        <v>9</v>
      </c>
      <c r="D8" s="8" t="s">
        <v>8</v>
      </c>
      <c r="E8" s="8" t="s">
        <v>10</v>
      </c>
      <c r="F8" s="25" t="s">
        <v>9</v>
      </c>
      <c r="G8" s="8" t="s">
        <v>8</v>
      </c>
      <c r="H8" s="19" t="s">
        <v>10</v>
      </c>
      <c r="I8" s="8" t="s">
        <v>8</v>
      </c>
      <c r="J8" s="19" t="s">
        <v>10</v>
      </c>
      <c r="K8" s="8" t="s">
        <v>8</v>
      </c>
      <c r="L8" s="8" t="s">
        <v>3</v>
      </c>
      <c r="M8" s="8" t="s">
        <v>16</v>
      </c>
      <c r="N8" s="5"/>
      <c r="O8" s="5"/>
    </row>
    <row r="9" spans="1:15" ht="12.95" customHeight="1" x14ac:dyDescent="0.2">
      <c r="A9" s="196" t="s">
        <v>80</v>
      </c>
      <c r="B9" s="194"/>
      <c r="C9" s="37"/>
      <c r="D9" s="5"/>
      <c r="E9" s="17"/>
      <c r="F9" s="26"/>
      <c r="G9" s="5"/>
      <c r="H9" s="20"/>
      <c r="I9" s="24"/>
      <c r="J9" s="20"/>
      <c r="K9" s="5"/>
      <c r="L9" s="5"/>
      <c r="M9" s="17"/>
      <c r="N9" s="5"/>
      <c r="O9" s="5"/>
    </row>
    <row r="10" spans="1:15" ht="12.95" customHeight="1" x14ac:dyDescent="0.2">
      <c r="A10" s="9"/>
      <c r="B10" s="10" t="s">
        <v>4</v>
      </c>
      <c r="C10" s="38">
        <v>77.39</v>
      </c>
      <c r="D10" s="12">
        <v>22962</v>
      </c>
      <c r="E10" s="18">
        <f>+D10*C10</f>
        <v>1777029.18</v>
      </c>
      <c r="F10" s="151">
        <v>82.03</v>
      </c>
      <c r="G10" s="11">
        <v>89901</v>
      </c>
      <c r="H10" s="21">
        <f>+G10*F10</f>
        <v>7374579.0300000003</v>
      </c>
      <c r="I10" s="29">
        <v>76257</v>
      </c>
      <c r="J10" s="21">
        <f>+I10*F10</f>
        <v>6255361.71</v>
      </c>
      <c r="K10" s="12">
        <f>+I10+G10+D10</f>
        <v>189120</v>
      </c>
      <c r="L10" s="12">
        <f>+K10/40</f>
        <v>4728</v>
      </c>
      <c r="M10" s="18">
        <f>+E10+H10+J10</f>
        <v>15406969.920000002</v>
      </c>
      <c r="N10" s="5"/>
      <c r="O10" s="5"/>
    </row>
    <row r="11" spans="1:15" ht="12.95" customHeight="1" x14ac:dyDescent="0.2">
      <c r="A11" s="4"/>
      <c r="B11" s="10" t="s">
        <v>5</v>
      </c>
      <c r="C11" s="38">
        <v>77.39</v>
      </c>
      <c r="D11" s="12">
        <v>57668</v>
      </c>
      <c r="E11" s="18">
        <f>+D11*C11</f>
        <v>4462926.5200000005</v>
      </c>
      <c r="F11" s="151">
        <v>82.03</v>
      </c>
      <c r="G11" s="11">
        <v>137269</v>
      </c>
      <c r="H11" s="21">
        <f>+G11*F11</f>
        <v>11260176.07</v>
      </c>
      <c r="I11" s="29">
        <v>136983</v>
      </c>
      <c r="J11" s="21">
        <f>+I11*F11</f>
        <v>11236715.49</v>
      </c>
      <c r="K11" s="12">
        <f t="shared" ref="K11:K18" si="0">+I11+G11+D11</f>
        <v>331920</v>
      </c>
      <c r="L11" s="12">
        <f>+K11/40</f>
        <v>8298</v>
      </c>
      <c r="M11" s="18">
        <f>+E11+H11+J11</f>
        <v>26959818.079999998</v>
      </c>
      <c r="N11" s="5"/>
      <c r="O11" s="5"/>
    </row>
    <row r="12" spans="1:15" ht="12.95" customHeight="1" x14ac:dyDescent="0.2">
      <c r="A12" s="4"/>
      <c r="B12" s="10" t="s">
        <v>6</v>
      </c>
      <c r="C12" s="38">
        <v>210.61</v>
      </c>
      <c r="D12" s="12">
        <v>15750</v>
      </c>
      <c r="E12" s="18">
        <f>+D12*C12</f>
        <v>3317107.5</v>
      </c>
      <c r="F12" s="151">
        <v>210.61</v>
      </c>
      <c r="G12" s="11">
        <v>22984</v>
      </c>
      <c r="H12" s="21">
        <f>+G12*F12</f>
        <v>4840660.24</v>
      </c>
      <c r="I12" s="29">
        <v>23058</v>
      </c>
      <c r="J12" s="21">
        <f>+I12*F12</f>
        <v>4856245.38</v>
      </c>
      <c r="K12" s="12">
        <f t="shared" si="0"/>
        <v>61792</v>
      </c>
      <c r="L12" s="12">
        <f>+K12/32</f>
        <v>1931</v>
      </c>
      <c r="M12" s="18">
        <f>+E12+H12+J12</f>
        <v>13014013.120000001</v>
      </c>
      <c r="N12" s="5"/>
      <c r="O12" s="5"/>
    </row>
    <row r="13" spans="1:15" ht="12.95" customHeight="1" x14ac:dyDescent="0.2">
      <c r="A13" s="4"/>
      <c r="B13" s="10" t="s">
        <v>7</v>
      </c>
      <c r="C13" s="38">
        <v>210.61</v>
      </c>
      <c r="D13" s="12">
        <v>1987</v>
      </c>
      <c r="E13" s="18">
        <f>+D13*C13</f>
        <v>418482.07</v>
      </c>
      <c r="F13" s="151">
        <v>210.61</v>
      </c>
      <c r="G13" s="11">
        <v>3423</v>
      </c>
      <c r="H13" s="21">
        <f>+G13*F13</f>
        <v>720918.03</v>
      </c>
      <c r="I13" s="29">
        <v>3613</v>
      </c>
      <c r="J13" s="21">
        <f>+I13*F13</f>
        <v>760933.93</v>
      </c>
      <c r="K13" s="12">
        <f t="shared" si="0"/>
        <v>9023</v>
      </c>
      <c r="L13" s="12">
        <f>+K13/32</f>
        <v>281.96875</v>
      </c>
      <c r="M13" s="18">
        <f>+E13+H13+J13</f>
        <v>1900334.0300000003</v>
      </c>
      <c r="N13" s="5"/>
      <c r="O13" s="5"/>
    </row>
    <row r="14" spans="1:15" ht="12.95" customHeight="1" x14ac:dyDescent="0.2">
      <c r="A14" s="4"/>
      <c r="B14" s="156" t="s">
        <v>13</v>
      </c>
      <c r="C14" s="197"/>
      <c r="D14" s="158">
        <f>SUM(D10:D13)</f>
        <v>98367</v>
      </c>
      <c r="E14" s="159">
        <f>SUM(E10:E13)</f>
        <v>9975545.2699999996</v>
      </c>
      <c r="F14" s="180"/>
      <c r="G14" s="161">
        <f t="shared" ref="G14:M14" si="1">SUM(G10:G13)</f>
        <v>253577</v>
      </c>
      <c r="H14" s="162">
        <f t="shared" si="1"/>
        <v>24196333.370000005</v>
      </c>
      <c r="I14" s="163">
        <f t="shared" si="1"/>
        <v>239911</v>
      </c>
      <c r="J14" s="162">
        <f t="shared" si="1"/>
        <v>23109256.509999998</v>
      </c>
      <c r="K14" s="158">
        <f t="shared" si="1"/>
        <v>591855</v>
      </c>
      <c r="L14" s="158">
        <f t="shared" si="1"/>
        <v>15238.96875</v>
      </c>
      <c r="M14" s="159">
        <f t="shared" si="1"/>
        <v>57281135.150000006</v>
      </c>
      <c r="N14" s="5"/>
      <c r="O14" s="5"/>
    </row>
    <row r="15" spans="1:15" ht="12.95" customHeight="1" x14ac:dyDescent="0.2">
      <c r="A15" s="4"/>
      <c r="B15" s="10" t="s">
        <v>4</v>
      </c>
      <c r="C15" s="38">
        <v>414.73</v>
      </c>
      <c r="D15" s="12">
        <v>1004</v>
      </c>
      <c r="E15" s="18">
        <f>+D15*C15</f>
        <v>416388.92000000004</v>
      </c>
      <c r="F15" s="151">
        <v>414.73</v>
      </c>
      <c r="G15" s="11">
        <v>7395</v>
      </c>
      <c r="H15" s="21">
        <f>+G15*F15</f>
        <v>3066928.35</v>
      </c>
      <c r="I15" s="29">
        <v>5838</v>
      </c>
      <c r="J15" s="21">
        <f>+I15*F15</f>
        <v>2421193.7400000002</v>
      </c>
      <c r="K15" s="12">
        <f t="shared" si="0"/>
        <v>14237</v>
      </c>
      <c r="L15" s="12">
        <f>+K15/40</f>
        <v>355.92500000000001</v>
      </c>
      <c r="M15" s="18">
        <f>+E15+H15+J15</f>
        <v>5904511.0099999998</v>
      </c>
      <c r="N15" s="5"/>
      <c r="O15" s="5"/>
    </row>
    <row r="16" spans="1:15" ht="12.95" customHeight="1" x14ac:dyDescent="0.2">
      <c r="A16" s="5"/>
      <c r="B16" s="10" t="s">
        <v>5</v>
      </c>
      <c r="C16" s="38">
        <v>414.73</v>
      </c>
      <c r="D16" s="12">
        <v>2350</v>
      </c>
      <c r="E16" s="18">
        <f>+D16*C16</f>
        <v>974615.5</v>
      </c>
      <c r="F16" s="151">
        <v>414.73</v>
      </c>
      <c r="G16" s="11">
        <v>8066</v>
      </c>
      <c r="H16" s="21">
        <f>+G16*F16</f>
        <v>3345212.18</v>
      </c>
      <c r="I16" s="29">
        <v>8401</v>
      </c>
      <c r="J16" s="21">
        <f>+I16*F16</f>
        <v>3484146.73</v>
      </c>
      <c r="K16" s="12">
        <f t="shared" si="0"/>
        <v>18817</v>
      </c>
      <c r="L16" s="12">
        <f>+K16/40</f>
        <v>470.42500000000001</v>
      </c>
      <c r="M16" s="18">
        <f>+E16+H16+J16</f>
        <v>7803974.4100000001</v>
      </c>
      <c r="N16" s="5"/>
      <c r="O16" s="5"/>
    </row>
    <row r="17" spans="1:15" ht="12.95" customHeight="1" x14ac:dyDescent="0.2">
      <c r="A17" s="5"/>
      <c r="B17" s="10" t="s">
        <v>6</v>
      </c>
      <c r="C17" s="38">
        <v>637.38</v>
      </c>
      <c r="D17" s="12">
        <v>1097</v>
      </c>
      <c r="E17" s="18">
        <f>+D17*C17</f>
        <v>699205.86</v>
      </c>
      <c r="F17" s="151">
        <v>637.38</v>
      </c>
      <c r="G17" s="11">
        <v>2959</v>
      </c>
      <c r="H17" s="21">
        <f>+G17*F17</f>
        <v>1886007.42</v>
      </c>
      <c r="I17" s="29">
        <v>2820</v>
      </c>
      <c r="J17" s="21">
        <f>+I17*F17</f>
        <v>1797411.6</v>
      </c>
      <c r="K17" s="12">
        <f t="shared" si="0"/>
        <v>6876</v>
      </c>
      <c r="L17" s="12">
        <f>+K17/32</f>
        <v>214.875</v>
      </c>
      <c r="M17" s="18">
        <f>+E17+H17+J17</f>
        <v>4382624.88</v>
      </c>
      <c r="N17" s="5"/>
      <c r="O17" s="5"/>
    </row>
    <row r="18" spans="1:15" ht="12.95" customHeight="1" x14ac:dyDescent="0.2">
      <c r="A18" s="5"/>
      <c r="B18" s="10" t="s">
        <v>7</v>
      </c>
      <c r="C18" s="38">
        <v>637.38</v>
      </c>
      <c r="D18" s="12">
        <v>661</v>
      </c>
      <c r="E18" s="18">
        <f>+D18*C18</f>
        <v>421308.18</v>
      </c>
      <c r="F18" s="151">
        <v>637.38</v>
      </c>
      <c r="G18" s="11">
        <v>1071</v>
      </c>
      <c r="H18" s="21">
        <f>+G18*F18</f>
        <v>682633.98</v>
      </c>
      <c r="I18" s="29">
        <v>1067</v>
      </c>
      <c r="J18" s="21">
        <f>+I18*F18</f>
        <v>680084.46</v>
      </c>
      <c r="K18" s="12">
        <f t="shared" si="0"/>
        <v>2799</v>
      </c>
      <c r="L18" s="12">
        <f>+K18/32</f>
        <v>87.46875</v>
      </c>
      <c r="M18" s="18">
        <f>+E18+H18+J18</f>
        <v>1784026.6199999999</v>
      </c>
      <c r="N18" s="5"/>
      <c r="O18" s="5"/>
    </row>
    <row r="19" spans="1:15" ht="12.95" customHeight="1" x14ac:dyDescent="0.2">
      <c r="A19" s="5"/>
      <c r="B19" s="156" t="s">
        <v>14</v>
      </c>
      <c r="C19" s="197"/>
      <c r="D19" s="158">
        <f>SUM(D15:D18)</f>
        <v>5112</v>
      </c>
      <c r="E19" s="159">
        <f>SUM(E15:E18)</f>
        <v>2511518.46</v>
      </c>
      <c r="F19" s="180"/>
      <c r="G19" s="161">
        <f t="shared" ref="G19:M19" si="2">SUM(G15:G18)</f>
        <v>19491</v>
      </c>
      <c r="H19" s="162">
        <f t="shared" si="2"/>
        <v>8980781.9299999997</v>
      </c>
      <c r="I19" s="163">
        <f t="shared" si="2"/>
        <v>18126</v>
      </c>
      <c r="J19" s="162">
        <f t="shared" si="2"/>
        <v>8382836.5300000003</v>
      </c>
      <c r="K19" s="158">
        <f t="shared" si="2"/>
        <v>42729</v>
      </c>
      <c r="L19" s="158">
        <f t="shared" si="2"/>
        <v>1128.6937499999999</v>
      </c>
      <c r="M19" s="159">
        <f t="shared" si="2"/>
        <v>19875136.920000002</v>
      </c>
      <c r="N19" s="5"/>
      <c r="O19" s="5"/>
    </row>
    <row r="20" spans="1:15" ht="12.95" customHeight="1" thickBot="1" x14ac:dyDescent="0.25">
      <c r="A20" s="13"/>
      <c r="B20" s="165" t="s">
        <v>1</v>
      </c>
      <c r="C20" s="165"/>
      <c r="D20" s="167"/>
      <c r="E20" s="168">
        <f>+E19+E14</f>
        <v>12487063.73</v>
      </c>
      <c r="F20" s="182"/>
      <c r="G20" s="170"/>
      <c r="H20" s="171">
        <f>+H19+H14</f>
        <v>33177115.300000004</v>
      </c>
      <c r="I20" s="172"/>
      <c r="J20" s="171">
        <f>+J19+J14</f>
        <v>31492093.039999999</v>
      </c>
      <c r="K20" s="173"/>
      <c r="L20" s="174">
        <f>+L14</f>
        <v>15238.96875</v>
      </c>
      <c r="M20" s="198">
        <f>+M19+M14</f>
        <v>77156272.070000008</v>
      </c>
      <c r="N20" s="5"/>
      <c r="O20" s="5"/>
    </row>
    <row r="21" spans="1:15" ht="12.95" customHeight="1" x14ac:dyDescent="0.2">
      <c r="A21" s="196" t="s">
        <v>81</v>
      </c>
      <c r="B21" s="194"/>
      <c r="C21" s="194"/>
      <c r="D21" s="5"/>
      <c r="E21" s="5"/>
      <c r="F21" s="188"/>
      <c r="G21" s="5"/>
      <c r="H21" s="22"/>
      <c r="I21" s="24"/>
      <c r="J21" s="22"/>
      <c r="K21" s="5"/>
      <c r="L21" s="5"/>
      <c r="M21" s="5"/>
      <c r="N21" s="5"/>
      <c r="O21" s="5"/>
    </row>
    <row r="22" spans="1:15" ht="12.95" customHeight="1" x14ac:dyDescent="0.2">
      <c r="A22" s="9"/>
      <c r="B22" s="10" t="s">
        <v>4</v>
      </c>
      <c r="C22" s="189">
        <v>77.39</v>
      </c>
      <c r="D22" s="42">
        <v>21382</v>
      </c>
      <c r="E22" s="18">
        <f>+D22*C22</f>
        <v>1654752.98</v>
      </c>
      <c r="F22" s="190">
        <v>82.03</v>
      </c>
      <c r="G22" s="176">
        <v>95372</v>
      </c>
      <c r="H22" s="21">
        <f>+G22*F22</f>
        <v>7823365.1600000001</v>
      </c>
      <c r="I22" s="199">
        <v>80937</v>
      </c>
      <c r="J22" s="21">
        <f>+I22*F22</f>
        <v>6639262.1100000003</v>
      </c>
      <c r="K22" s="12">
        <f>+I22+G22+D22</f>
        <v>197691</v>
      </c>
      <c r="L22" s="12">
        <f>+K22/40</f>
        <v>4942.2749999999996</v>
      </c>
      <c r="M22" s="18">
        <f>+E22+H22+J22</f>
        <v>16117380.25</v>
      </c>
      <c r="N22" s="200">
        <f>+M22/O23</f>
        <v>0.38350537031420084</v>
      </c>
      <c r="O22" s="5"/>
    </row>
    <row r="23" spans="1:15" ht="12.95" customHeight="1" x14ac:dyDescent="0.2">
      <c r="A23" s="4"/>
      <c r="B23" s="10" t="s">
        <v>5</v>
      </c>
      <c r="C23" s="189">
        <v>77.39</v>
      </c>
      <c r="D23" s="42">
        <v>54609</v>
      </c>
      <c r="E23" s="18">
        <f>+D23*C23</f>
        <v>4226190.51</v>
      </c>
      <c r="F23" s="190">
        <v>82.03</v>
      </c>
      <c r="G23" s="176">
        <v>132746</v>
      </c>
      <c r="H23" s="21">
        <f>+G23*F23</f>
        <v>10889154.380000001</v>
      </c>
      <c r="I23" s="199">
        <v>131583</v>
      </c>
      <c r="J23" s="21">
        <f>+I23*F23</f>
        <v>10793753.49</v>
      </c>
      <c r="K23" s="12">
        <f>+I23+G23+D23</f>
        <v>318938</v>
      </c>
      <c r="L23" s="12">
        <f>+K23/40</f>
        <v>7973.45</v>
      </c>
      <c r="M23" s="18">
        <f>+E23+H23+J23</f>
        <v>25909098.380000003</v>
      </c>
      <c r="N23" s="200">
        <f>+M23/O23</f>
        <v>0.61649462968579916</v>
      </c>
      <c r="O23" s="39">
        <f>+M23+M22</f>
        <v>42026478.630000003</v>
      </c>
    </row>
    <row r="24" spans="1:15" ht="12.95" customHeight="1" x14ac:dyDescent="0.2">
      <c r="A24" s="4"/>
      <c r="B24" s="10" t="s">
        <v>6</v>
      </c>
      <c r="C24" s="189">
        <v>210.61</v>
      </c>
      <c r="D24" s="42">
        <v>13650</v>
      </c>
      <c r="E24" s="18">
        <f>+D24*C24</f>
        <v>2874826.5</v>
      </c>
      <c r="F24" s="190">
        <v>223.24</v>
      </c>
      <c r="G24" s="176">
        <v>24176</v>
      </c>
      <c r="H24" s="21">
        <f>+G24*F24</f>
        <v>5397050.2400000002</v>
      </c>
      <c r="I24" s="199">
        <v>24049</v>
      </c>
      <c r="J24" s="21">
        <f>+I24*F24</f>
        <v>5368698.76</v>
      </c>
      <c r="K24" s="12">
        <f>+I24+G24+D24</f>
        <v>61875</v>
      </c>
      <c r="L24" s="12">
        <f>+K24/32</f>
        <v>1933.59375</v>
      </c>
      <c r="M24" s="18">
        <f>+E24+H24+J24</f>
        <v>13640575.5</v>
      </c>
      <c r="N24" s="200">
        <f>+M24/O25</f>
        <v>0.92125415586539205</v>
      </c>
      <c r="O24" s="5"/>
    </row>
    <row r="25" spans="1:15" ht="12.95" customHeight="1" x14ac:dyDescent="0.2">
      <c r="A25" s="4"/>
      <c r="B25" s="10" t="s">
        <v>7</v>
      </c>
      <c r="C25" s="189">
        <v>210.61</v>
      </c>
      <c r="D25" s="42">
        <v>1275</v>
      </c>
      <c r="E25" s="18">
        <f>+D25*C25</f>
        <v>268527.75</v>
      </c>
      <c r="F25" s="190">
        <v>223.24</v>
      </c>
      <c r="G25" s="176">
        <v>2074</v>
      </c>
      <c r="H25" s="21">
        <f>+G25*F25</f>
        <v>462999.76</v>
      </c>
      <c r="I25" s="199">
        <v>1946</v>
      </c>
      <c r="J25" s="21">
        <f>+I25*F25</f>
        <v>434425.04000000004</v>
      </c>
      <c r="K25" s="12">
        <f>+I25+G25+D25</f>
        <v>5295</v>
      </c>
      <c r="L25" s="12">
        <f>+K25/32</f>
        <v>165.46875</v>
      </c>
      <c r="M25" s="18">
        <f>+E25+H25+J25</f>
        <v>1165952.55</v>
      </c>
      <c r="N25" s="200">
        <f>+M25/O25</f>
        <v>7.8745844134607904E-2</v>
      </c>
      <c r="O25" s="39">
        <f>+M25+M24</f>
        <v>14806528.050000001</v>
      </c>
    </row>
    <row r="26" spans="1:15" ht="12.95" customHeight="1" x14ac:dyDescent="0.2">
      <c r="A26" s="4"/>
      <c r="B26" s="156" t="s">
        <v>13</v>
      </c>
      <c r="C26" s="197"/>
      <c r="D26" s="177">
        <f>SUM(D22:D25)</f>
        <v>90916</v>
      </c>
      <c r="E26" s="159">
        <f>SUM(E22:E25)</f>
        <v>9024297.7400000002</v>
      </c>
      <c r="F26" s="191"/>
      <c r="G26" s="178">
        <f t="shared" ref="G26:L26" si="3">SUM(G22:G25)</f>
        <v>254368</v>
      </c>
      <c r="H26" s="162">
        <f t="shared" si="3"/>
        <v>24572569.540000003</v>
      </c>
      <c r="I26" s="201">
        <f t="shared" si="3"/>
        <v>238515</v>
      </c>
      <c r="J26" s="162">
        <f t="shared" si="3"/>
        <v>23236139.399999999</v>
      </c>
      <c r="K26" s="158">
        <f t="shared" si="3"/>
        <v>583799</v>
      </c>
      <c r="L26" s="158">
        <f t="shared" si="3"/>
        <v>15014.787499999999</v>
      </c>
      <c r="M26" s="159">
        <f>SUM(M22:M25)</f>
        <v>56833006.68</v>
      </c>
      <c r="N26" s="5"/>
      <c r="O26" s="5"/>
    </row>
    <row r="27" spans="1:15" ht="12.95" customHeight="1" x14ac:dyDescent="0.2">
      <c r="A27" s="4"/>
      <c r="B27" s="10" t="s">
        <v>4</v>
      </c>
      <c r="C27" s="189">
        <f>411.05+C22</f>
        <v>488.44</v>
      </c>
      <c r="D27" s="42">
        <v>637</v>
      </c>
      <c r="E27" s="18">
        <f>+D27*C27</f>
        <v>311136.27999999997</v>
      </c>
      <c r="F27" s="190">
        <f>435.71+F22</f>
        <v>517.74</v>
      </c>
      <c r="G27" s="176">
        <v>5791</v>
      </c>
      <c r="H27" s="21">
        <f>+G27*F27</f>
        <v>2998232.34</v>
      </c>
      <c r="I27" s="199">
        <v>4710</v>
      </c>
      <c r="J27" s="21">
        <f>+I27*F27</f>
        <v>2438555.4</v>
      </c>
      <c r="K27" s="12">
        <f>+I27+G27+D27</f>
        <v>11138</v>
      </c>
      <c r="L27" s="12">
        <f>+K27/40</f>
        <v>278.45</v>
      </c>
      <c r="M27" s="18">
        <f>+E27+H27+J27</f>
        <v>5747924.0199999996</v>
      </c>
      <c r="N27" s="200">
        <f>+M27/O28</f>
        <v>0.42897973149505153</v>
      </c>
      <c r="O27" s="5"/>
    </row>
    <row r="28" spans="1:15" ht="12.95" customHeight="1" x14ac:dyDescent="0.2">
      <c r="A28" s="4"/>
      <c r="B28" s="10" t="s">
        <v>5</v>
      </c>
      <c r="C28" s="189">
        <f>411.05+C23</f>
        <v>488.44</v>
      </c>
      <c r="D28" s="42">
        <v>1768</v>
      </c>
      <c r="E28" s="18">
        <f>+D28*C28</f>
        <v>863561.92</v>
      </c>
      <c r="F28" s="190">
        <f>435.71+F23</f>
        <v>517.74</v>
      </c>
      <c r="G28" s="176">
        <v>6630</v>
      </c>
      <c r="H28" s="21">
        <f>+G28*F28</f>
        <v>3432616.2</v>
      </c>
      <c r="I28" s="199">
        <v>6480</v>
      </c>
      <c r="J28" s="21">
        <f>+I28*F28</f>
        <v>3354955.2</v>
      </c>
      <c r="K28" s="12">
        <f>+I28+G28+D28</f>
        <v>14878</v>
      </c>
      <c r="L28" s="12">
        <f>+K28/40</f>
        <v>371.95</v>
      </c>
      <c r="M28" s="18">
        <f>+E28+H28+J28</f>
        <v>7651133.3200000003</v>
      </c>
      <c r="N28" s="200">
        <f>+M28/O28</f>
        <v>0.57102026850494847</v>
      </c>
      <c r="O28" s="39">
        <f>+M28+M27</f>
        <v>13399057.34</v>
      </c>
    </row>
    <row r="29" spans="1:15" ht="12.95" customHeight="1" x14ac:dyDescent="0.2">
      <c r="A29" s="4"/>
      <c r="B29" s="10" t="s">
        <v>6</v>
      </c>
      <c r="C29" s="189">
        <f>411.05+C24</f>
        <v>621.66000000000008</v>
      </c>
      <c r="D29" s="42">
        <v>1000</v>
      </c>
      <c r="E29" s="18">
        <f>+D29*C29</f>
        <v>621660.00000000012</v>
      </c>
      <c r="F29" s="190">
        <f>435.71+F24</f>
        <v>658.95</v>
      </c>
      <c r="G29" s="176">
        <v>2700</v>
      </c>
      <c r="H29" s="21">
        <f>+G29*F29</f>
        <v>1779165.0000000002</v>
      </c>
      <c r="I29" s="199">
        <v>2568</v>
      </c>
      <c r="J29" s="21">
        <f>+I29*F29</f>
        <v>1692183.6</v>
      </c>
      <c r="K29" s="12">
        <f>+I29+G29+D29</f>
        <v>6268</v>
      </c>
      <c r="L29" s="12">
        <f>+K29/32</f>
        <v>195.875</v>
      </c>
      <c r="M29" s="18">
        <f>+E29+H29+J29</f>
        <v>4093008.6000000006</v>
      </c>
      <c r="N29" s="200">
        <f>+M29/O30</f>
        <v>0.7565957897057789</v>
      </c>
      <c r="O29" s="5"/>
    </row>
    <row r="30" spans="1:15" ht="12.95" customHeight="1" x14ac:dyDescent="0.2">
      <c r="A30" s="4"/>
      <c r="B30" s="10" t="s">
        <v>7</v>
      </c>
      <c r="C30" s="189">
        <f>411.05+C25</f>
        <v>621.66000000000008</v>
      </c>
      <c r="D30" s="42">
        <v>490</v>
      </c>
      <c r="E30" s="18">
        <f>+D30*C30</f>
        <v>304613.40000000002</v>
      </c>
      <c r="F30" s="190">
        <f>435.71+F25</f>
        <v>658.95</v>
      </c>
      <c r="G30" s="176">
        <v>793</v>
      </c>
      <c r="H30" s="21">
        <f>+G30*F30</f>
        <v>522547.35000000003</v>
      </c>
      <c r="I30" s="199">
        <v>743</v>
      </c>
      <c r="J30" s="21">
        <f>+I30*F30</f>
        <v>489599.85000000003</v>
      </c>
      <c r="K30" s="12">
        <f>+I30+G30+D30</f>
        <v>2026</v>
      </c>
      <c r="L30" s="12">
        <f>+K30/32</f>
        <v>63.3125</v>
      </c>
      <c r="M30" s="18">
        <f>+E30+H30+J30</f>
        <v>1316760.6000000001</v>
      </c>
      <c r="N30" s="200">
        <f>+M30/O30</f>
        <v>0.24340421029422102</v>
      </c>
      <c r="O30" s="39">
        <f>+M30+M29</f>
        <v>5409769.2000000011</v>
      </c>
    </row>
    <row r="31" spans="1:15" ht="12.95" customHeight="1" x14ac:dyDescent="0.2">
      <c r="A31" s="4"/>
      <c r="B31" s="156" t="s">
        <v>14</v>
      </c>
      <c r="C31" s="197"/>
      <c r="D31" s="158">
        <f>SUM(D27:D30)</f>
        <v>3895</v>
      </c>
      <c r="E31" s="159">
        <f>SUM(E27:E30)</f>
        <v>2100971.6</v>
      </c>
      <c r="F31" s="180"/>
      <c r="G31" s="161">
        <f t="shared" ref="G31:M31" si="4">SUM(G27:G30)</f>
        <v>15914</v>
      </c>
      <c r="H31" s="162">
        <f t="shared" si="4"/>
        <v>8732560.8900000006</v>
      </c>
      <c r="I31" s="163">
        <f t="shared" si="4"/>
        <v>14501</v>
      </c>
      <c r="J31" s="162">
        <f t="shared" si="4"/>
        <v>7975294.0499999989</v>
      </c>
      <c r="K31" s="158">
        <f t="shared" si="4"/>
        <v>34310</v>
      </c>
      <c r="L31" s="158">
        <f t="shared" si="4"/>
        <v>909.58749999999998</v>
      </c>
      <c r="M31" s="159">
        <f t="shared" si="4"/>
        <v>18808826.540000003</v>
      </c>
      <c r="N31" s="15"/>
      <c r="O31" s="39"/>
    </row>
    <row r="32" spans="1:15" ht="12.95" customHeight="1" thickBot="1" x14ac:dyDescent="0.25">
      <c r="A32" s="6"/>
      <c r="B32" s="165" t="s">
        <v>1</v>
      </c>
      <c r="C32" s="165"/>
      <c r="D32" s="167"/>
      <c r="E32" s="168">
        <f>+E31+E26</f>
        <v>11125269.34</v>
      </c>
      <c r="F32" s="182"/>
      <c r="G32" s="170"/>
      <c r="H32" s="171">
        <f>+H31+H26</f>
        <v>33305130.430000003</v>
      </c>
      <c r="I32" s="172"/>
      <c r="J32" s="171">
        <f>+J31+J26</f>
        <v>31211433.449999996</v>
      </c>
      <c r="K32" s="173">
        <f>+K31+K26</f>
        <v>618109</v>
      </c>
      <c r="L32" s="174">
        <f>+L26</f>
        <v>15014.787499999999</v>
      </c>
      <c r="M32" s="198">
        <f>+M31+M26</f>
        <v>75641833.219999999</v>
      </c>
      <c r="N32" s="15"/>
      <c r="O32" s="39"/>
    </row>
    <row r="33" spans="1:15" ht="12.95" customHeight="1" x14ac:dyDescent="0.2">
      <c r="A33" s="196" t="s">
        <v>15</v>
      </c>
      <c r="B33" s="194"/>
      <c r="C33" s="37"/>
      <c r="D33" s="5"/>
      <c r="E33" s="17"/>
      <c r="F33" s="26"/>
      <c r="G33" s="5"/>
      <c r="H33" s="20"/>
      <c r="I33" s="28"/>
      <c r="J33" s="23"/>
      <c r="K33" s="5"/>
      <c r="L33" s="5"/>
      <c r="M33" s="17"/>
      <c r="N33" s="5"/>
      <c r="O33" s="5"/>
    </row>
    <row r="34" spans="1:15" ht="12.95" customHeight="1" x14ac:dyDescent="0.2">
      <c r="A34" s="9"/>
      <c r="B34" s="10" t="s">
        <v>4</v>
      </c>
      <c r="C34" s="38">
        <f t="shared" ref="C34:M37" si="5">+C22-C10</f>
        <v>0</v>
      </c>
      <c r="D34" s="12">
        <f t="shared" si="5"/>
        <v>-1580</v>
      </c>
      <c r="E34" s="18">
        <f t="shared" si="5"/>
        <v>-122276.19999999995</v>
      </c>
      <c r="F34" s="27">
        <f t="shared" si="5"/>
        <v>0</v>
      </c>
      <c r="G34" s="11">
        <f t="shared" si="5"/>
        <v>5471</v>
      </c>
      <c r="H34" s="21">
        <f t="shared" si="5"/>
        <v>448786.12999999989</v>
      </c>
      <c r="I34" s="29">
        <f t="shared" si="5"/>
        <v>4680</v>
      </c>
      <c r="J34" s="21">
        <f t="shared" si="5"/>
        <v>383900.40000000037</v>
      </c>
      <c r="K34" s="12">
        <f t="shared" si="5"/>
        <v>8571</v>
      </c>
      <c r="L34" s="12">
        <f t="shared" si="5"/>
        <v>214.27499999999964</v>
      </c>
      <c r="M34" s="18">
        <f t="shared" si="5"/>
        <v>710410.32999999821</v>
      </c>
      <c r="N34" s="5"/>
      <c r="O34" s="5"/>
    </row>
    <row r="35" spans="1:15" ht="12.95" customHeight="1" x14ac:dyDescent="0.2">
      <c r="A35" s="4"/>
      <c r="B35" s="10" t="s">
        <v>5</v>
      </c>
      <c r="C35" s="38">
        <f t="shared" si="5"/>
        <v>0</v>
      </c>
      <c r="D35" s="12">
        <f t="shared" si="5"/>
        <v>-3059</v>
      </c>
      <c r="E35" s="18">
        <f t="shared" si="5"/>
        <v>-236736.01000000071</v>
      </c>
      <c r="F35" s="27">
        <f t="shared" si="5"/>
        <v>0</v>
      </c>
      <c r="G35" s="11">
        <f t="shared" si="5"/>
        <v>-4523</v>
      </c>
      <c r="H35" s="21">
        <f t="shared" si="5"/>
        <v>-371021.68999999948</v>
      </c>
      <c r="I35" s="29">
        <f t="shared" si="5"/>
        <v>-5400</v>
      </c>
      <c r="J35" s="21">
        <f t="shared" si="5"/>
        <v>-442962</v>
      </c>
      <c r="K35" s="12">
        <f t="shared" si="5"/>
        <v>-12982</v>
      </c>
      <c r="L35" s="12">
        <f t="shared" si="5"/>
        <v>-324.55000000000018</v>
      </c>
      <c r="M35" s="18">
        <f t="shared" si="5"/>
        <v>-1050719.6999999955</v>
      </c>
      <c r="N35" s="5"/>
      <c r="O35" s="5"/>
    </row>
    <row r="36" spans="1:15" ht="12.95" customHeight="1" x14ac:dyDescent="0.2">
      <c r="A36" s="4"/>
      <c r="B36" s="10" t="s">
        <v>6</v>
      </c>
      <c r="C36" s="38">
        <f t="shared" si="5"/>
        <v>0</v>
      </c>
      <c r="D36" s="12">
        <f t="shared" si="5"/>
        <v>-2100</v>
      </c>
      <c r="E36" s="18">
        <f t="shared" si="5"/>
        <v>-442281</v>
      </c>
      <c r="F36" s="27">
        <f t="shared" si="5"/>
        <v>12.629999999999995</v>
      </c>
      <c r="G36" s="11">
        <f t="shared" si="5"/>
        <v>1192</v>
      </c>
      <c r="H36" s="21">
        <f t="shared" si="5"/>
        <v>556390</v>
      </c>
      <c r="I36" s="29">
        <f t="shared" si="5"/>
        <v>991</v>
      </c>
      <c r="J36" s="21">
        <f t="shared" si="5"/>
        <v>512453.37999999989</v>
      </c>
      <c r="K36" s="12">
        <f t="shared" si="5"/>
        <v>83</v>
      </c>
      <c r="L36" s="12">
        <f t="shared" si="5"/>
        <v>2.59375</v>
      </c>
      <c r="M36" s="18">
        <f t="shared" si="5"/>
        <v>626562.37999999896</v>
      </c>
      <c r="N36" s="5"/>
      <c r="O36" s="5"/>
    </row>
    <row r="37" spans="1:15" ht="12.95" customHeight="1" x14ac:dyDescent="0.2">
      <c r="A37" s="4"/>
      <c r="B37" s="10" t="s">
        <v>7</v>
      </c>
      <c r="C37" s="38">
        <f t="shared" si="5"/>
        <v>0</v>
      </c>
      <c r="D37" s="12">
        <f t="shared" si="5"/>
        <v>-712</v>
      </c>
      <c r="E37" s="18">
        <f t="shared" si="5"/>
        <v>-149954.32</v>
      </c>
      <c r="F37" s="27">
        <f t="shared" si="5"/>
        <v>12.629999999999995</v>
      </c>
      <c r="G37" s="11">
        <f t="shared" si="5"/>
        <v>-1349</v>
      </c>
      <c r="H37" s="21">
        <f t="shared" si="5"/>
        <v>-257918.27000000002</v>
      </c>
      <c r="I37" s="29">
        <f t="shared" si="5"/>
        <v>-1667</v>
      </c>
      <c r="J37" s="21">
        <f t="shared" si="5"/>
        <v>-326508.89</v>
      </c>
      <c r="K37" s="12">
        <f t="shared" si="5"/>
        <v>-3728</v>
      </c>
      <c r="L37" s="12">
        <f t="shared" si="5"/>
        <v>-116.5</v>
      </c>
      <c r="M37" s="18">
        <f t="shared" si="5"/>
        <v>-734381.48000000021</v>
      </c>
      <c r="N37" s="5"/>
      <c r="O37" s="5"/>
    </row>
    <row r="38" spans="1:15" ht="12.95" customHeight="1" x14ac:dyDescent="0.2">
      <c r="A38" s="4"/>
      <c r="B38" s="156" t="s">
        <v>13</v>
      </c>
      <c r="C38" s="197"/>
      <c r="D38" s="158">
        <f>SUM(D34:D37)</f>
        <v>-7451</v>
      </c>
      <c r="E38" s="159">
        <f>SUM(E34:E37)</f>
        <v>-951247.53000000073</v>
      </c>
      <c r="F38" s="183"/>
      <c r="G38" s="161">
        <f t="shared" ref="G38:M38" si="6">SUM(G34:G37)</f>
        <v>791</v>
      </c>
      <c r="H38" s="162">
        <f t="shared" si="6"/>
        <v>376236.17000000039</v>
      </c>
      <c r="I38" s="163">
        <f t="shared" si="6"/>
        <v>-1396</v>
      </c>
      <c r="J38" s="162">
        <f t="shared" si="6"/>
        <v>126882.89000000025</v>
      </c>
      <c r="K38" s="158">
        <f t="shared" si="6"/>
        <v>-8056</v>
      </c>
      <c r="L38" s="158">
        <f t="shared" si="6"/>
        <v>-224.18125000000055</v>
      </c>
      <c r="M38" s="159">
        <f t="shared" si="6"/>
        <v>-448128.46999999858</v>
      </c>
      <c r="N38" s="15"/>
      <c r="O38" s="5"/>
    </row>
    <row r="39" spans="1:15" ht="12.95" customHeight="1" x14ac:dyDescent="0.2">
      <c r="A39" s="4"/>
      <c r="B39" s="10" t="s">
        <v>4</v>
      </c>
      <c r="C39" s="38">
        <f t="shared" ref="C39:M42" si="7">+C27-C15</f>
        <v>73.70999999999998</v>
      </c>
      <c r="D39" s="12">
        <f t="shared" si="7"/>
        <v>-367</v>
      </c>
      <c r="E39" s="18">
        <f t="shared" si="7"/>
        <v>-105252.64000000007</v>
      </c>
      <c r="F39" s="27">
        <f t="shared" si="7"/>
        <v>103.00999999999999</v>
      </c>
      <c r="G39" s="11">
        <f t="shared" si="7"/>
        <v>-1604</v>
      </c>
      <c r="H39" s="21">
        <f t="shared" si="7"/>
        <v>-68696.010000000242</v>
      </c>
      <c r="I39" s="29">
        <f t="shared" si="7"/>
        <v>-1128</v>
      </c>
      <c r="J39" s="21">
        <f t="shared" si="7"/>
        <v>17361.659999999683</v>
      </c>
      <c r="K39" s="12">
        <f t="shared" si="7"/>
        <v>-3099</v>
      </c>
      <c r="L39" s="12">
        <f t="shared" si="7"/>
        <v>-77.475000000000023</v>
      </c>
      <c r="M39" s="18">
        <f t="shared" si="7"/>
        <v>-156586.99000000022</v>
      </c>
      <c r="N39" s="5"/>
      <c r="O39" s="5"/>
    </row>
    <row r="40" spans="1:15" ht="12.95" customHeight="1" x14ac:dyDescent="0.2">
      <c r="A40" s="5"/>
      <c r="B40" s="10" t="s">
        <v>5</v>
      </c>
      <c r="C40" s="38">
        <f t="shared" si="7"/>
        <v>73.70999999999998</v>
      </c>
      <c r="D40" s="12">
        <f t="shared" si="7"/>
        <v>-582</v>
      </c>
      <c r="E40" s="18">
        <f t="shared" si="7"/>
        <v>-111053.57999999996</v>
      </c>
      <c r="F40" s="27">
        <f t="shared" si="7"/>
        <v>103.00999999999999</v>
      </c>
      <c r="G40" s="11">
        <f t="shared" si="7"/>
        <v>-1436</v>
      </c>
      <c r="H40" s="21">
        <f t="shared" si="7"/>
        <v>87404.020000000019</v>
      </c>
      <c r="I40" s="29">
        <f t="shared" si="7"/>
        <v>-1921</v>
      </c>
      <c r="J40" s="21">
        <f t="shared" si="7"/>
        <v>-129191.5299999998</v>
      </c>
      <c r="K40" s="12">
        <f t="shared" si="7"/>
        <v>-3939</v>
      </c>
      <c r="L40" s="12">
        <f t="shared" si="7"/>
        <v>-98.475000000000023</v>
      </c>
      <c r="M40" s="18">
        <f t="shared" si="7"/>
        <v>-152841.08999999985</v>
      </c>
      <c r="N40" s="5"/>
      <c r="O40" s="5"/>
    </row>
    <row r="41" spans="1:15" ht="12.95" customHeight="1" x14ac:dyDescent="0.2">
      <c r="A41" s="5"/>
      <c r="B41" s="10" t="s">
        <v>6</v>
      </c>
      <c r="C41" s="38">
        <f t="shared" si="7"/>
        <v>-15.719999999999914</v>
      </c>
      <c r="D41" s="12">
        <f t="shared" si="7"/>
        <v>-97</v>
      </c>
      <c r="E41" s="18">
        <f t="shared" si="7"/>
        <v>-77545.85999999987</v>
      </c>
      <c r="F41" s="27">
        <f t="shared" si="7"/>
        <v>21.57000000000005</v>
      </c>
      <c r="G41" s="11">
        <f t="shared" si="7"/>
        <v>-259</v>
      </c>
      <c r="H41" s="21">
        <f t="shared" si="7"/>
        <v>-106842.41999999969</v>
      </c>
      <c r="I41" s="29">
        <f t="shared" si="7"/>
        <v>-252</v>
      </c>
      <c r="J41" s="21">
        <f t="shared" si="7"/>
        <v>-105228</v>
      </c>
      <c r="K41" s="12">
        <f t="shared" si="7"/>
        <v>-608</v>
      </c>
      <c r="L41" s="12">
        <f t="shared" si="7"/>
        <v>-19</v>
      </c>
      <c r="M41" s="18">
        <f t="shared" si="7"/>
        <v>-289616.27999999933</v>
      </c>
      <c r="N41" s="5"/>
      <c r="O41" s="5"/>
    </row>
    <row r="42" spans="1:15" ht="12.95" customHeight="1" x14ac:dyDescent="0.2">
      <c r="A42" s="5"/>
      <c r="B42" s="10" t="s">
        <v>7</v>
      </c>
      <c r="C42" s="38">
        <f t="shared" si="7"/>
        <v>-15.719999999999914</v>
      </c>
      <c r="D42" s="12">
        <f t="shared" si="7"/>
        <v>-171</v>
      </c>
      <c r="E42" s="18">
        <f t="shared" si="7"/>
        <v>-116694.77999999997</v>
      </c>
      <c r="F42" s="27">
        <f t="shared" si="7"/>
        <v>21.57000000000005</v>
      </c>
      <c r="G42" s="11">
        <f t="shared" si="7"/>
        <v>-278</v>
      </c>
      <c r="H42" s="21">
        <f t="shared" si="7"/>
        <v>-160086.62999999995</v>
      </c>
      <c r="I42" s="29">
        <f t="shared" si="7"/>
        <v>-324</v>
      </c>
      <c r="J42" s="21">
        <f t="shared" si="7"/>
        <v>-190484.60999999993</v>
      </c>
      <c r="K42" s="12">
        <f t="shared" si="7"/>
        <v>-773</v>
      </c>
      <c r="L42" s="12">
        <f t="shared" si="7"/>
        <v>-24.15625</v>
      </c>
      <c r="M42" s="18">
        <f t="shared" si="7"/>
        <v>-467266.01999999979</v>
      </c>
      <c r="N42" s="5"/>
      <c r="O42" s="5"/>
    </row>
    <row r="43" spans="1:15" ht="12.95" customHeight="1" x14ac:dyDescent="0.2">
      <c r="A43" s="5"/>
      <c r="B43" s="156" t="s">
        <v>14</v>
      </c>
      <c r="C43" s="197"/>
      <c r="D43" s="158">
        <f>SUM(D39:D42)</f>
        <v>-1217</v>
      </c>
      <c r="E43" s="159">
        <f>SUM(E39:E42)</f>
        <v>-410546.85999999987</v>
      </c>
      <c r="F43" s="183"/>
      <c r="G43" s="161">
        <f t="shared" ref="G43:M43" si="8">SUM(G39:G42)</f>
        <v>-3577</v>
      </c>
      <c r="H43" s="162">
        <f t="shared" si="8"/>
        <v>-248221.03999999986</v>
      </c>
      <c r="I43" s="163">
        <f t="shared" si="8"/>
        <v>-3625</v>
      </c>
      <c r="J43" s="162">
        <f t="shared" si="8"/>
        <v>-407542.48000000004</v>
      </c>
      <c r="K43" s="158">
        <f t="shared" si="8"/>
        <v>-8419</v>
      </c>
      <c r="L43" s="158">
        <f t="shared" si="8"/>
        <v>-219.10625000000005</v>
      </c>
      <c r="M43" s="159">
        <f t="shared" si="8"/>
        <v>-1066310.3799999992</v>
      </c>
      <c r="N43" s="5"/>
      <c r="O43" s="5"/>
    </row>
    <row r="44" spans="1:15" ht="12.95" customHeight="1" thickBot="1" x14ac:dyDescent="0.25">
      <c r="A44" s="14"/>
      <c r="B44" s="165" t="s">
        <v>1</v>
      </c>
      <c r="C44" s="165"/>
      <c r="D44" s="173"/>
      <c r="E44" s="173">
        <f>+E43+E38</f>
        <v>-1361794.3900000006</v>
      </c>
      <c r="F44" s="184"/>
      <c r="G44" s="185"/>
      <c r="H44" s="186">
        <f>+H43+H38</f>
        <v>128015.13000000053</v>
      </c>
      <c r="I44" s="202"/>
      <c r="J44" s="203">
        <f>+J43+J38</f>
        <v>-280659.58999999979</v>
      </c>
      <c r="K44" s="204"/>
      <c r="L44" s="205"/>
      <c r="M44" s="205">
        <f>+M43+M38</f>
        <v>-1514438.8499999978</v>
      </c>
      <c r="N44" s="5"/>
      <c r="O44" s="5"/>
    </row>
    <row r="45" spans="1:15" ht="12.95" customHeight="1" x14ac:dyDescent="0.2">
      <c r="I45" s="206"/>
      <c r="J45" s="207"/>
      <c r="K45" s="207"/>
      <c r="L45" s="207"/>
      <c r="M45" s="208"/>
      <c r="N45" s="16"/>
    </row>
    <row r="46" spans="1:15" ht="12.95" customHeight="1" x14ac:dyDescent="0.2">
      <c r="I46" s="209" t="s">
        <v>82</v>
      </c>
      <c r="J46" s="210"/>
      <c r="K46" s="210"/>
      <c r="L46" s="210"/>
      <c r="M46" s="211">
        <f>+M45+M44</f>
        <v>-1514438.8499999978</v>
      </c>
      <c r="N46" s="16"/>
    </row>
    <row r="47" spans="1:15" ht="12.95" customHeight="1" x14ac:dyDescent="0.2">
      <c r="A47" s="301" t="s">
        <v>38</v>
      </c>
      <c r="B47" s="301"/>
      <c r="C47" s="301"/>
      <c r="D47" s="301"/>
      <c r="E47" s="301"/>
      <c r="F47" s="301"/>
      <c r="G47" s="301"/>
      <c r="H47" s="301"/>
      <c r="I47" s="301"/>
      <c r="J47" s="301"/>
      <c r="K47" s="301"/>
      <c r="L47" s="301"/>
      <c r="M47" s="301"/>
    </row>
    <row r="48" spans="1:15" ht="12.95" customHeight="1" x14ac:dyDescent="0.2">
      <c r="A48" s="302" t="s">
        <v>73</v>
      </c>
      <c r="B48" s="302"/>
      <c r="C48" s="302"/>
      <c r="D48" s="302"/>
      <c r="E48" s="302"/>
      <c r="F48" s="302"/>
      <c r="G48" s="302"/>
      <c r="H48" s="302"/>
      <c r="I48" s="302"/>
      <c r="J48" s="302"/>
      <c r="K48" s="302"/>
      <c r="L48" s="302"/>
      <c r="M48" s="302"/>
      <c r="N48" s="5"/>
    </row>
    <row r="49" spans="1:14" ht="12.95" customHeight="1" x14ac:dyDescent="0.2">
      <c r="B49" s="212" t="s">
        <v>83</v>
      </c>
      <c r="E49" s="303" t="s">
        <v>76</v>
      </c>
      <c r="F49" s="303"/>
      <c r="G49" s="24"/>
      <c r="H49" s="303" t="s">
        <v>77</v>
      </c>
      <c r="I49" s="304"/>
      <c r="J49" s="303" t="s">
        <v>78</v>
      </c>
      <c r="K49" s="304"/>
      <c r="L49" s="303" t="s">
        <v>1</v>
      </c>
      <c r="M49" s="303"/>
      <c r="N49" s="5"/>
    </row>
    <row r="50" spans="1:14" ht="12.95" customHeight="1" x14ac:dyDescent="0.2">
      <c r="A50" s="213" t="s">
        <v>20</v>
      </c>
      <c r="B50" s="214" t="s">
        <v>84</v>
      </c>
      <c r="C50" s="215" t="s">
        <v>85</v>
      </c>
      <c r="D50" s="216" t="s">
        <v>86</v>
      </c>
      <c r="E50" s="217" t="s">
        <v>87</v>
      </c>
      <c r="F50" s="218" t="s">
        <v>79</v>
      </c>
      <c r="G50" s="219" t="s">
        <v>86</v>
      </c>
      <c r="H50" s="215" t="s">
        <v>87</v>
      </c>
      <c r="I50" s="218" t="s">
        <v>79</v>
      </c>
      <c r="J50" s="220" t="s">
        <v>87</v>
      </c>
      <c r="K50" s="218" t="s">
        <v>79</v>
      </c>
      <c r="L50" s="220" t="s">
        <v>87</v>
      </c>
      <c r="M50" s="215" t="s">
        <v>79</v>
      </c>
      <c r="N50" s="5"/>
    </row>
    <row r="51" spans="1:14" ht="12.95" customHeight="1" x14ac:dyDescent="0.2">
      <c r="A51" s="221" t="s">
        <v>29</v>
      </c>
      <c r="B51" s="222"/>
      <c r="D51" s="3"/>
      <c r="E51" s="194"/>
      <c r="F51" s="22"/>
      <c r="G51" s="31"/>
      <c r="H51" s="5"/>
      <c r="I51" s="22"/>
      <c r="J51" s="24"/>
      <c r="K51" s="22"/>
      <c r="L51" s="24"/>
      <c r="M51" s="43"/>
      <c r="N51" s="5"/>
    </row>
    <row r="52" spans="1:14" ht="12.95" customHeight="1" x14ac:dyDescent="0.2">
      <c r="A52" s="223" t="s">
        <v>21</v>
      </c>
      <c r="B52" s="224"/>
      <c r="C52" s="225" t="s">
        <v>22</v>
      </c>
      <c r="D52" s="32">
        <v>2.3199999999999998</v>
      </c>
      <c r="E52" s="226">
        <f>+D22+D23</f>
        <v>75991</v>
      </c>
      <c r="F52" s="33">
        <f t="shared" ref="F52:F57" si="9">+E52*D52</f>
        <v>176299.12</v>
      </c>
      <c r="G52" s="128">
        <v>2.3199999999999998</v>
      </c>
      <c r="H52" s="227">
        <f>+G22+G23</f>
        <v>228118</v>
      </c>
      <c r="I52" s="33">
        <f t="shared" ref="I52:I57" si="10">+H52*G52</f>
        <v>529233.76</v>
      </c>
      <c r="J52" s="34">
        <f>+I22+I23</f>
        <v>212520</v>
      </c>
      <c r="K52" s="33">
        <f t="shared" ref="K52:K57" si="11">+J52*G52</f>
        <v>493046.39999999997</v>
      </c>
      <c r="L52" s="34">
        <f t="shared" ref="L52:M57" si="12">+J52+H52+E52</f>
        <v>516629</v>
      </c>
      <c r="M52" s="44">
        <f t="shared" si="12"/>
        <v>1198579.2799999998</v>
      </c>
      <c r="N52" s="39"/>
    </row>
    <row r="53" spans="1:14" ht="12.95" customHeight="1" x14ac:dyDescent="0.2">
      <c r="A53" s="223" t="s">
        <v>17</v>
      </c>
      <c r="B53" s="224"/>
      <c r="C53" s="223" t="s">
        <v>23</v>
      </c>
      <c r="D53" s="228">
        <v>3.79</v>
      </c>
      <c r="E53" s="229">
        <f>+E52</f>
        <v>75991</v>
      </c>
      <c r="F53" s="35">
        <f t="shared" si="9"/>
        <v>288005.89</v>
      </c>
      <c r="G53" s="129">
        <v>4.0199999999999996</v>
      </c>
      <c r="H53" s="230">
        <f>+H52</f>
        <v>228118</v>
      </c>
      <c r="I53" s="35">
        <f t="shared" si="10"/>
        <v>917034.35999999987</v>
      </c>
      <c r="J53" s="36">
        <f>+J52</f>
        <v>212520</v>
      </c>
      <c r="K53" s="35">
        <f t="shared" si="11"/>
        <v>854330.39999999991</v>
      </c>
      <c r="L53" s="36">
        <f t="shared" si="12"/>
        <v>516629</v>
      </c>
      <c r="M53" s="231">
        <f t="shared" si="12"/>
        <v>2059370.65</v>
      </c>
      <c r="N53" s="39"/>
    </row>
    <row r="54" spans="1:14" ht="12.95" customHeight="1" x14ac:dyDescent="0.2">
      <c r="A54" s="223" t="s">
        <v>24</v>
      </c>
      <c r="B54" s="224"/>
      <c r="C54" s="223">
        <v>509000</v>
      </c>
      <c r="D54" s="228">
        <v>2.44</v>
      </c>
      <c r="E54" s="229">
        <f>+E53</f>
        <v>75991</v>
      </c>
      <c r="F54" s="35">
        <f t="shared" si="9"/>
        <v>185418.04</v>
      </c>
      <c r="G54" s="129">
        <v>2.44</v>
      </c>
      <c r="H54" s="230">
        <f>+H53</f>
        <v>228118</v>
      </c>
      <c r="I54" s="35">
        <f t="shared" si="10"/>
        <v>556607.92000000004</v>
      </c>
      <c r="J54" s="36">
        <f>+J53</f>
        <v>212520</v>
      </c>
      <c r="K54" s="35">
        <f t="shared" si="11"/>
        <v>518548.8</v>
      </c>
      <c r="L54" s="36">
        <f t="shared" si="12"/>
        <v>516629</v>
      </c>
      <c r="M54" s="231">
        <f t="shared" si="12"/>
        <v>1260574.76</v>
      </c>
      <c r="N54" s="39"/>
    </row>
    <row r="55" spans="1:14" ht="12.95" customHeight="1" x14ac:dyDescent="0.2">
      <c r="A55" s="223" t="s">
        <v>18</v>
      </c>
      <c r="B55" s="224"/>
      <c r="C55" s="223" t="s">
        <v>25</v>
      </c>
      <c r="D55" s="228">
        <v>10</v>
      </c>
      <c r="E55" s="229">
        <f>+E54</f>
        <v>75991</v>
      </c>
      <c r="F55" s="35">
        <f t="shared" si="9"/>
        <v>759910</v>
      </c>
      <c r="G55" s="129">
        <v>10</v>
      </c>
      <c r="H55" s="230">
        <f>+H54</f>
        <v>228118</v>
      </c>
      <c r="I55" s="35">
        <f t="shared" si="10"/>
        <v>2281180</v>
      </c>
      <c r="J55" s="36">
        <f>+J54</f>
        <v>212520</v>
      </c>
      <c r="K55" s="35">
        <f t="shared" si="11"/>
        <v>2125200</v>
      </c>
      <c r="L55" s="36">
        <f t="shared" si="12"/>
        <v>516629</v>
      </c>
      <c r="M55" s="231">
        <f t="shared" si="12"/>
        <v>5166290</v>
      </c>
      <c r="N55" s="39"/>
    </row>
    <row r="56" spans="1:14" ht="12.95" customHeight="1" x14ac:dyDescent="0.2">
      <c r="A56" s="223" t="s">
        <v>19</v>
      </c>
      <c r="B56" s="224"/>
      <c r="C56" s="223" t="s">
        <v>26</v>
      </c>
      <c r="D56" s="228">
        <v>13.75</v>
      </c>
      <c r="E56" s="229">
        <f>+E55</f>
        <v>75991</v>
      </c>
      <c r="F56" s="35">
        <f t="shared" si="9"/>
        <v>1044876.25</v>
      </c>
      <c r="G56" s="129">
        <v>13.75</v>
      </c>
      <c r="H56" s="230">
        <f>+H55</f>
        <v>228118</v>
      </c>
      <c r="I56" s="35">
        <f t="shared" si="10"/>
        <v>3136622.5</v>
      </c>
      <c r="J56" s="36">
        <f>+J55</f>
        <v>212520</v>
      </c>
      <c r="K56" s="35">
        <f t="shared" si="11"/>
        <v>2922150</v>
      </c>
      <c r="L56" s="36">
        <f t="shared" si="12"/>
        <v>516629</v>
      </c>
      <c r="M56" s="231">
        <f t="shared" si="12"/>
        <v>7103648.75</v>
      </c>
      <c r="N56" s="39"/>
    </row>
    <row r="57" spans="1:14" ht="12.95" customHeight="1" x14ac:dyDescent="0.2">
      <c r="A57" s="232" t="s">
        <v>27</v>
      </c>
      <c r="B57" s="233"/>
      <c r="C57" s="232" t="s">
        <v>28</v>
      </c>
      <c r="D57" s="234">
        <v>6.33</v>
      </c>
      <c r="E57" s="235">
        <f>+E56</f>
        <v>75991</v>
      </c>
      <c r="F57" s="236">
        <f t="shared" si="9"/>
        <v>481023.03</v>
      </c>
      <c r="G57" s="237">
        <v>7.5</v>
      </c>
      <c r="H57" s="238">
        <f>+H56</f>
        <v>228118</v>
      </c>
      <c r="I57" s="236">
        <f t="shared" si="10"/>
        <v>1710885</v>
      </c>
      <c r="J57" s="239">
        <f>+J56</f>
        <v>212520</v>
      </c>
      <c r="K57" s="236">
        <f t="shared" si="11"/>
        <v>1593900</v>
      </c>
      <c r="L57" s="239">
        <f t="shared" si="12"/>
        <v>516629</v>
      </c>
      <c r="M57" s="240">
        <f t="shared" si="12"/>
        <v>3785808.0300000003</v>
      </c>
      <c r="N57" s="39"/>
    </row>
    <row r="58" spans="1:14" ht="12.95" customHeight="1" x14ac:dyDescent="0.2">
      <c r="A58" s="241" t="s">
        <v>34</v>
      </c>
      <c r="B58" s="242"/>
      <c r="C58" s="241"/>
      <c r="D58" s="243">
        <f>SUM(D52:D57)</f>
        <v>38.629999999999995</v>
      </c>
      <c r="E58" s="244"/>
      <c r="F58" s="245">
        <f>SUM(F52:F57)</f>
        <v>2935532.33</v>
      </c>
      <c r="G58" s="246">
        <f>SUM(G52:G57)</f>
        <v>40.03</v>
      </c>
      <c r="H58" s="241"/>
      <c r="I58" s="245">
        <f>SUM(I52:I57)</f>
        <v>9131563.5399999991</v>
      </c>
      <c r="J58" s="247"/>
      <c r="K58" s="245">
        <f>SUM(K52:K57)</f>
        <v>8507175.5999999996</v>
      </c>
      <c r="L58" s="247"/>
      <c r="M58" s="248">
        <f>SUM(M52:M57)</f>
        <v>20574271.469999999</v>
      </c>
      <c r="N58" s="5"/>
    </row>
    <row r="59" spans="1:14" ht="12.95" customHeight="1" x14ac:dyDescent="0.2">
      <c r="A59" s="221" t="s">
        <v>31</v>
      </c>
      <c r="B59" s="249"/>
      <c r="D59" s="3"/>
      <c r="E59" s="194"/>
      <c r="F59" s="22"/>
      <c r="G59" s="31"/>
      <c r="H59" s="5"/>
      <c r="I59" s="22"/>
      <c r="J59" s="24"/>
      <c r="K59" s="22"/>
      <c r="L59" s="24"/>
      <c r="M59" s="43"/>
      <c r="N59" s="5"/>
    </row>
    <row r="60" spans="1:14" ht="12.95" customHeight="1" x14ac:dyDescent="0.2">
      <c r="A60" s="223" t="s">
        <v>21</v>
      </c>
      <c r="B60" s="224"/>
      <c r="C60" s="225" t="s">
        <v>22</v>
      </c>
      <c r="D60" s="32">
        <v>2.3199999999999998</v>
      </c>
      <c r="E60" s="226">
        <f>+D24+D25</f>
        <v>14925</v>
      </c>
      <c r="F60" s="33">
        <f t="shared" ref="F60:F65" si="13">+E60*D60</f>
        <v>34626</v>
      </c>
      <c r="G60" s="128">
        <v>2.3199999999999998</v>
      </c>
      <c r="H60" s="227">
        <f>+G24+G25</f>
        <v>26250</v>
      </c>
      <c r="I60" s="33">
        <f t="shared" ref="I60:I65" si="14">+H60*G60</f>
        <v>60899.999999999993</v>
      </c>
      <c r="J60" s="34">
        <f>+I24+I25</f>
        <v>25995</v>
      </c>
      <c r="K60" s="33">
        <f t="shared" ref="K60:K65" si="15">+J60*G60</f>
        <v>60308.399999999994</v>
      </c>
      <c r="L60" s="34">
        <f>+K24+K25</f>
        <v>67170</v>
      </c>
      <c r="M60" s="44">
        <f t="shared" ref="M60:M65" si="16">+K60+I60+F60</f>
        <v>155834.4</v>
      </c>
      <c r="N60" s="5"/>
    </row>
    <row r="61" spans="1:14" ht="12.95" customHeight="1" x14ac:dyDescent="0.2">
      <c r="A61" s="223" t="s">
        <v>17</v>
      </c>
      <c r="B61" s="224"/>
      <c r="C61" s="223" t="s">
        <v>23</v>
      </c>
      <c r="D61" s="228">
        <v>10.52</v>
      </c>
      <c r="E61" s="229">
        <f>+E60</f>
        <v>14925</v>
      </c>
      <c r="F61" s="35">
        <f t="shared" si="13"/>
        <v>157011</v>
      </c>
      <c r="G61" s="129">
        <v>11.15</v>
      </c>
      <c r="H61" s="230">
        <f>+H60</f>
        <v>26250</v>
      </c>
      <c r="I61" s="35">
        <f t="shared" si="14"/>
        <v>292687.5</v>
      </c>
      <c r="J61" s="36">
        <f>+J60</f>
        <v>25995</v>
      </c>
      <c r="K61" s="35">
        <f t="shared" si="15"/>
        <v>289844.25</v>
      </c>
      <c r="L61" s="36">
        <f>+J61+H61+E61</f>
        <v>67170</v>
      </c>
      <c r="M61" s="231">
        <f t="shared" si="16"/>
        <v>739542.75</v>
      </c>
      <c r="N61" s="5"/>
    </row>
    <row r="62" spans="1:14" ht="12.95" customHeight="1" x14ac:dyDescent="0.2">
      <c r="A62" s="223" t="s">
        <v>24</v>
      </c>
      <c r="B62" s="224"/>
      <c r="C62" s="223">
        <v>509000</v>
      </c>
      <c r="D62" s="228">
        <v>2.44</v>
      </c>
      <c r="E62" s="229">
        <f>+E61</f>
        <v>14925</v>
      </c>
      <c r="F62" s="35">
        <f t="shared" si="13"/>
        <v>36417</v>
      </c>
      <c r="G62" s="129">
        <v>2.44</v>
      </c>
      <c r="H62" s="230">
        <f>+H61</f>
        <v>26250</v>
      </c>
      <c r="I62" s="35">
        <f t="shared" si="14"/>
        <v>64050</v>
      </c>
      <c r="J62" s="36">
        <f>+J61</f>
        <v>25995</v>
      </c>
      <c r="K62" s="35">
        <f t="shared" si="15"/>
        <v>63427.799999999996</v>
      </c>
      <c r="L62" s="36">
        <f>+J62+H62+E62</f>
        <v>67170</v>
      </c>
      <c r="M62" s="231">
        <f t="shared" si="16"/>
        <v>163894.79999999999</v>
      </c>
      <c r="N62" s="5"/>
    </row>
    <row r="63" spans="1:14" ht="12.95" customHeight="1" x14ac:dyDescent="0.2">
      <c r="A63" s="223" t="s">
        <v>18</v>
      </c>
      <c r="B63" s="224"/>
      <c r="C63" s="223" t="s">
        <v>25</v>
      </c>
      <c r="D63" s="228">
        <v>10</v>
      </c>
      <c r="E63" s="229">
        <f>+E62</f>
        <v>14925</v>
      </c>
      <c r="F63" s="35">
        <f t="shared" si="13"/>
        <v>149250</v>
      </c>
      <c r="G63" s="129">
        <v>10</v>
      </c>
      <c r="H63" s="230">
        <f>+H62</f>
        <v>26250</v>
      </c>
      <c r="I63" s="35">
        <f t="shared" si="14"/>
        <v>262500</v>
      </c>
      <c r="J63" s="36">
        <f>+J62</f>
        <v>25995</v>
      </c>
      <c r="K63" s="35">
        <f t="shared" si="15"/>
        <v>259950</v>
      </c>
      <c r="L63" s="36">
        <f>+J63+H63+E63</f>
        <v>67170</v>
      </c>
      <c r="M63" s="231">
        <f t="shared" si="16"/>
        <v>671700</v>
      </c>
      <c r="N63" s="5"/>
    </row>
    <row r="64" spans="1:14" ht="12.95" customHeight="1" x14ac:dyDescent="0.2">
      <c r="A64" s="223" t="s">
        <v>19</v>
      </c>
      <c r="B64" s="224"/>
      <c r="C64" s="223" t="s">
        <v>26</v>
      </c>
      <c r="D64" s="228">
        <v>13.75</v>
      </c>
      <c r="E64" s="229">
        <f>+E63</f>
        <v>14925</v>
      </c>
      <c r="F64" s="35">
        <f t="shared" si="13"/>
        <v>205218.75</v>
      </c>
      <c r="G64" s="129">
        <v>13.75</v>
      </c>
      <c r="H64" s="230">
        <f>+H63</f>
        <v>26250</v>
      </c>
      <c r="I64" s="35">
        <f t="shared" si="14"/>
        <v>360937.5</v>
      </c>
      <c r="J64" s="36">
        <f>+J63</f>
        <v>25995</v>
      </c>
      <c r="K64" s="35">
        <f t="shared" si="15"/>
        <v>357431.25</v>
      </c>
      <c r="L64" s="36">
        <f>+J64+H64+E64</f>
        <v>67170</v>
      </c>
      <c r="M64" s="231">
        <f t="shared" si="16"/>
        <v>923587.5</v>
      </c>
      <c r="N64" s="5"/>
    </row>
    <row r="65" spans="1:14" ht="12.95" customHeight="1" x14ac:dyDescent="0.2">
      <c r="A65" s="232" t="s">
        <v>27</v>
      </c>
      <c r="B65" s="233"/>
      <c r="C65" s="232" t="s">
        <v>28</v>
      </c>
      <c r="D65" s="234">
        <v>6.33</v>
      </c>
      <c r="E65" s="235">
        <f>+E64</f>
        <v>14925</v>
      </c>
      <c r="F65" s="236">
        <f t="shared" si="13"/>
        <v>94475.25</v>
      </c>
      <c r="G65" s="237">
        <v>7.5</v>
      </c>
      <c r="H65" s="238">
        <f>+H64</f>
        <v>26250</v>
      </c>
      <c r="I65" s="236">
        <f t="shared" si="14"/>
        <v>196875</v>
      </c>
      <c r="J65" s="239">
        <f>+J64</f>
        <v>25995</v>
      </c>
      <c r="K65" s="236">
        <f t="shared" si="15"/>
        <v>194962.5</v>
      </c>
      <c r="L65" s="239">
        <f>+J65+H65+E65</f>
        <v>67170</v>
      </c>
      <c r="M65" s="240">
        <f t="shared" si="16"/>
        <v>486312.75</v>
      </c>
      <c r="N65" s="5"/>
    </row>
    <row r="66" spans="1:14" ht="12.95" customHeight="1" x14ac:dyDescent="0.2">
      <c r="A66" s="241" t="s">
        <v>35</v>
      </c>
      <c r="B66" s="242"/>
      <c r="C66" s="241"/>
      <c r="D66" s="243">
        <f>SUM(D60:D65)</f>
        <v>45.36</v>
      </c>
      <c r="E66" s="244"/>
      <c r="F66" s="245">
        <f>SUM(F60:F65)</f>
        <v>676998</v>
      </c>
      <c r="G66" s="246">
        <f>SUM(G60:G65)</f>
        <v>47.16</v>
      </c>
      <c r="H66" s="241"/>
      <c r="I66" s="245">
        <f>SUM(I60:I65)</f>
        <v>1237950</v>
      </c>
      <c r="J66" s="247"/>
      <c r="K66" s="245">
        <f>SUM(K60:K65)</f>
        <v>1225924.2</v>
      </c>
      <c r="L66" s="247"/>
      <c r="M66" s="248">
        <f>SUM(M60:M65)</f>
        <v>3140872.2</v>
      </c>
      <c r="N66" s="5"/>
    </row>
    <row r="67" spans="1:14" ht="12.95" customHeight="1" x14ac:dyDescent="0.2">
      <c r="A67" s="250"/>
      <c r="B67" s="251"/>
      <c r="C67" s="250"/>
      <c r="D67" s="252"/>
      <c r="E67" s="253"/>
      <c r="F67" s="254"/>
      <c r="G67" s="255"/>
      <c r="H67" s="250"/>
      <c r="I67" s="254"/>
      <c r="J67" s="256"/>
      <c r="K67" s="254"/>
      <c r="L67" s="256"/>
      <c r="M67" s="257"/>
      <c r="N67" s="5"/>
    </row>
    <row r="68" spans="1:14" ht="12.95" customHeight="1" x14ac:dyDescent="0.2">
      <c r="A68" s="221" t="s">
        <v>30</v>
      </c>
      <c r="B68" s="249"/>
      <c r="D68" s="3"/>
      <c r="E68" s="194"/>
      <c r="F68" s="22"/>
      <c r="G68" s="31"/>
      <c r="H68" s="5"/>
      <c r="I68" s="22"/>
      <c r="J68" s="24"/>
      <c r="K68" s="22"/>
      <c r="L68" s="24"/>
      <c r="M68" s="43"/>
      <c r="N68" s="5"/>
    </row>
    <row r="69" spans="1:14" ht="12.95" customHeight="1" x14ac:dyDescent="0.2">
      <c r="B69" s="258"/>
      <c r="D69" s="3"/>
      <c r="E69" s="194"/>
      <c r="F69" s="22"/>
      <c r="G69" s="31"/>
      <c r="H69" s="5"/>
      <c r="I69" s="22"/>
      <c r="J69" s="24"/>
      <c r="K69" s="22"/>
      <c r="L69" s="24"/>
      <c r="M69" s="43"/>
      <c r="N69" s="5"/>
    </row>
    <row r="70" spans="1:14" ht="12.95" customHeight="1" x14ac:dyDescent="0.2">
      <c r="A70" s="225" t="s">
        <v>88</v>
      </c>
      <c r="B70" s="249"/>
      <c r="C70" s="225" t="s">
        <v>22</v>
      </c>
      <c r="D70" s="32">
        <v>2.3199999999999998</v>
      </c>
      <c r="E70" s="226">
        <f>+D27+D28</f>
        <v>2405</v>
      </c>
      <c r="F70" s="33">
        <f t="shared" ref="F70:F75" si="17">+E70*D70</f>
        <v>5579.5999999999995</v>
      </c>
      <c r="G70" s="128">
        <v>2.3199999999999998</v>
      </c>
      <c r="H70" s="227">
        <f>+G27+G28</f>
        <v>12421</v>
      </c>
      <c r="I70" s="33">
        <f t="shared" ref="I70:I75" si="18">+H70*G70</f>
        <v>28816.719999999998</v>
      </c>
      <c r="J70" s="34">
        <f>+I27+I28</f>
        <v>11190</v>
      </c>
      <c r="K70" s="33">
        <f t="shared" ref="K70:K75" si="19">+J70*G70</f>
        <v>25960.799999999999</v>
      </c>
      <c r="L70" s="34">
        <f t="shared" ref="L70:M75" si="20">+J70+H70+E70</f>
        <v>26016</v>
      </c>
      <c r="M70" s="44">
        <f t="shared" si="20"/>
        <v>60357.119999999995</v>
      </c>
      <c r="N70" s="5"/>
    </row>
    <row r="71" spans="1:14" ht="12.95" customHeight="1" x14ac:dyDescent="0.2">
      <c r="A71" s="223" t="s">
        <v>17</v>
      </c>
      <c r="B71" s="224"/>
      <c r="C71" s="223" t="s">
        <v>23</v>
      </c>
      <c r="D71" s="228">
        <v>24.41</v>
      </c>
      <c r="E71" s="229">
        <f>+E70</f>
        <v>2405</v>
      </c>
      <c r="F71" s="35">
        <f t="shared" si="17"/>
        <v>58706.05</v>
      </c>
      <c r="G71" s="129">
        <v>25.87</v>
      </c>
      <c r="H71" s="230">
        <f>+H70</f>
        <v>12421</v>
      </c>
      <c r="I71" s="35">
        <f t="shared" si="18"/>
        <v>321331.27</v>
      </c>
      <c r="J71" s="36">
        <f>+J70</f>
        <v>11190</v>
      </c>
      <c r="K71" s="35">
        <f t="shared" si="19"/>
        <v>289485.3</v>
      </c>
      <c r="L71" s="36">
        <f t="shared" si="20"/>
        <v>26016</v>
      </c>
      <c r="M71" s="231">
        <f t="shared" si="20"/>
        <v>669522.62000000011</v>
      </c>
      <c r="N71" s="5"/>
    </row>
    <row r="72" spans="1:14" ht="12.95" customHeight="1" x14ac:dyDescent="0.2">
      <c r="A72" s="223" t="s">
        <v>89</v>
      </c>
      <c r="B72" s="224"/>
      <c r="C72" s="223">
        <v>509000</v>
      </c>
      <c r="D72" s="228">
        <v>2.44</v>
      </c>
      <c r="E72" s="229">
        <f>+E71</f>
        <v>2405</v>
      </c>
      <c r="F72" s="35">
        <f t="shared" si="17"/>
        <v>5868.2</v>
      </c>
      <c r="G72" s="129">
        <v>2.44</v>
      </c>
      <c r="H72" s="230">
        <f>+H71</f>
        <v>12421</v>
      </c>
      <c r="I72" s="35">
        <f t="shared" si="18"/>
        <v>30307.239999999998</v>
      </c>
      <c r="J72" s="36">
        <f>+J71</f>
        <v>11190</v>
      </c>
      <c r="K72" s="35">
        <f t="shared" si="19"/>
        <v>27303.599999999999</v>
      </c>
      <c r="L72" s="36">
        <f t="shared" si="20"/>
        <v>26016</v>
      </c>
      <c r="M72" s="231">
        <f t="shared" si="20"/>
        <v>63479.039999999994</v>
      </c>
      <c r="N72" s="5"/>
    </row>
    <row r="73" spans="1:14" ht="12.95" customHeight="1" x14ac:dyDescent="0.2">
      <c r="A73" s="223" t="s">
        <v>18</v>
      </c>
      <c r="B73" s="224"/>
      <c r="C73" s="223" t="s">
        <v>25</v>
      </c>
      <c r="D73" s="228">
        <v>10</v>
      </c>
      <c r="E73" s="229">
        <f>+E72</f>
        <v>2405</v>
      </c>
      <c r="F73" s="35">
        <f t="shared" si="17"/>
        <v>24050</v>
      </c>
      <c r="G73" s="129">
        <v>10</v>
      </c>
      <c r="H73" s="230">
        <f>+H72</f>
        <v>12421</v>
      </c>
      <c r="I73" s="35">
        <f t="shared" si="18"/>
        <v>124210</v>
      </c>
      <c r="J73" s="36">
        <f>+J72</f>
        <v>11190</v>
      </c>
      <c r="K73" s="35">
        <f t="shared" si="19"/>
        <v>111900</v>
      </c>
      <c r="L73" s="36">
        <f t="shared" si="20"/>
        <v>26016</v>
      </c>
      <c r="M73" s="231">
        <f t="shared" si="20"/>
        <v>260160</v>
      </c>
      <c r="N73" s="5"/>
    </row>
    <row r="74" spans="1:14" ht="12.95" customHeight="1" x14ac:dyDescent="0.2">
      <c r="A74" s="223" t="s">
        <v>19</v>
      </c>
      <c r="B74" s="224"/>
      <c r="C74" s="223" t="s">
        <v>26</v>
      </c>
      <c r="D74" s="228">
        <v>13.75</v>
      </c>
      <c r="E74" s="229">
        <f>+E73</f>
        <v>2405</v>
      </c>
      <c r="F74" s="35">
        <f t="shared" si="17"/>
        <v>33068.75</v>
      </c>
      <c r="G74" s="129">
        <v>13.75</v>
      </c>
      <c r="H74" s="230">
        <f>+H73</f>
        <v>12421</v>
      </c>
      <c r="I74" s="35">
        <f t="shared" si="18"/>
        <v>170788.75</v>
      </c>
      <c r="J74" s="36">
        <f>+J73</f>
        <v>11190</v>
      </c>
      <c r="K74" s="35">
        <f t="shared" si="19"/>
        <v>153862.5</v>
      </c>
      <c r="L74" s="36">
        <f t="shared" si="20"/>
        <v>26016</v>
      </c>
      <c r="M74" s="231">
        <f t="shared" si="20"/>
        <v>357720</v>
      </c>
      <c r="N74" s="5"/>
    </row>
    <row r="75" spans="1:14" ht="12.95" customHeight="1" x14ac:dyDescent="0.2">
      <c r="A75" s="232" t="s">
        <v>90</v>
      </c>
      <c r="B75" s="233"/>
      <c r="C75" s="232" t="s">
        <v>28</v>
      </c>
      <c r="D75" s="234">
        <v>6.33</v>
      </c>
      <c r="E75" s="235">
        <f>+E74</f>
        <v>2405</v>
      </c>
      <c r="F75" s="236">
        <f t="shared" si="17"/>
        <v>15223.65</v>
      </c>
      <c r="G75" s="237">
        <v>7.5</v>
      </c>
      <c r="H75" s="238">
        <f>+H74</f>
        <v>12421</v>
      </c>
      <c r="I75" s="236">
        <f t="shared" si="18"/>
        <v>93157.5</v>
      </c>
      <c r="J75" s="239">
        <f>+J74</f>
        <v>11190</v>
      </c>
      <c r="K75" s="236">
        <f t="shared" si="19"/>
        <v>83925</v>
      </c>
      <c r="L75" s="239">
        <f t="shared" si="20"/>
        <v>26016</v>
      </c>
      <c r="M75" s="240">
        <f t="shared" si="20"/>
        <v>192306.15</v>
      </c>
      <c r="N75" s="5"/>
    </row>
    <row r="76" spans="1:14" ht="12.95" customHeight="1" x14ac:dyDescent="0.2">
      <c r="A76" s="241" t="s">
        <v>33</v>
      </c>
      <c r="B76" s="242"/>
      <c r="C76" s="241"/>
      <c r="D76" s="243">
        <f>SUM(D70:D75)</f>
        <v>59.25</v>
      </c>
      <c r="E76" s="244"/>
      <c r="F76" s="245">
        <f>SUM(F70:F75)</f>
        <v>142496.25</v>
      </c>
      <c r="G76" s="246">
        <f>SUM(G70:G75)</f>
        <v>61.88</v>
      </c>
      <c r="H76" s="241"/>
      <c r="I76" s="245">
        <f>SUM(I70:I75)</f>
        <v>768611.48</v>
      </c>
      <c r="J76" s="247"/>
      <c r="K76" s="245">
        <f>SUM(K70:K75)</f>
        <v>692437.2</v>
      </c>
      <c r="L76" s="247"/>
      <c r="M76" s="248">
        <f>SUM(M70:M75)</f>
        <v>1603544.9300000002</v>
      </c>
      <c r="N76" s="5"/>
    </row>
    <row r="77" spans="1:14" ht="12.95" customHeight="1" x14ac:dyDescent="0.2">
      <c r="A77" s="221" t="s">
        <v>32</v>
      </c>
      <c r="B77" s="249"/>
      <c r="D77" s="3"/>
      <c r="E77" s="194"/>
      <c r="F77" s="22"/>
      <c r="G77" s="31"/>
      <c r="H77" s="5"/>
      <c r="I77" s="22"/>
      <c r="J77" s="24"/>
      <c r="K77" s="22"/>
      <c r="L77" s="24"/>
      <c r="M77" s="43"/>
      <c r="N77" s="5"/>
    </row>
    <row r="78" spans="1:14" ht="12.95" customHeight="1" x14ac:dyDescent="0.2">
      <c r="B78" s="258"/>
      <c r="D78" s="3"/>
      <c r="E78" s="194"/>
      <c r="F78" s="22"/>
      <c r="G78" s="31"/>
      <c r="H78" s="5"/>
      <c r="I78" s="22"/>
      <c r="J78" s="24"/>
      <c r="K78" s="22"/>
      <c r="L78" s="24"/>
      <c r="M78" s="43"/>
      <c r="N78" s="5"/>
    </row>
    <row r="79" spans="1:14" ht="12.95" customHeight="1" x14ac:dyDescent="0.2">
      <c r="A79" s="225" t="s">
        <v>88</v>
      </c>
      <c r="B79" s="249"/>
      <c r="C79" s="225" t="s">
        <v>22</v>
      </c>
      <c r="D79" s="32">
        <v>2.3199999999999998</v>
      </c>
      <c r="E79" s="226">
        <f>+D29+D30</f>
        <v>1490</v>
      </c>
      <c r="F79" s="33">
        <f t="shared" ref="F79:F84" si="21">+E79*D79</f>
        <v>3456.7999999999997</v>
      </c>
      <c r="G79" s="128">
        <v>2.3199999999999998</v>
      </c>
      <c r="H79" s="227">
        <f>+G29+G30</f>
        <v>3493</v>
      </c>
      <c r="I79" s="33">
        <f t="shared" ref="I79:I84" si="22">+H79*G79</f>
        <v>8103.7599999999993</v>
      </c>
      <c r="J79" s="34">
        <f>+I29+I30</f>
        <v>3311</v>
      </c>
      <c r="K79" s="33">
        <f t="shared" ref="K79:K84" si="23">+J79*G79</f>
        <v>7681.5199999999995</v>
      </c>
      <c r="L79" s="34">
        <f t="shared" ref="L79:M84" si="24">+J79+H79+E79</f>
        <v>8294</v>
      </c>
      <c r="M79" s="44">
        <f t="shared" si="24"/>
        <v>19242.079999999998</v>
      </c>
      <c r="N79" s="5"/>
    </row>
    <row r="80" spans="1:14" ht="12.95" customHeight="1" x14ac:dyDescent="0.2">
      <c r="A80" s="223" t="s">
        <v>17</v>
      </c>
      <c r="B80" s="224"/>
      <c r="C80" s="223" t="s">
        <v>23</v>
      </c>
      <c r="D80" s="228">
        <v>41.89</v>
      </c>
      <c r="E80" s="229">
        <f>+E79</f>
        <v>1490</v>
      </c>
      <c r="F80" s="35">
        <f t="shared" si="21"/>
        <v>62416.1</v>
      </c>
      <c r="G80" s="129">
        <v>41.89</v>
      </c>
      <c r="H80" s="230">
        <f>+H79</f>
        <v>3493</v>
      </c>
      <c r="I80" s="35">
        <f t="shared" si="22"/>
        <v>146321.76999999999</v>
      </c>
      <c r="J80" s="36">
        <f>+J79</f>
        <v>3311</v>
      </c>
      <c r="K80" s="35">
        <f t="shared" si="23"/>
        <v>138697.79</v>
      </c>
      <c r="L80" s="36">
        <f t="shared" si="24"/>
        <v>8294</v>
      </c>
      <c r="M80" s="231">
        <f t="shared" si="24"/>
        <v>347435.66</v>
      </c>
      <c r="N80" s="5"/>
    </row>
    <row r="81" spans="1:15" ht="12.95" customHeight="1" x14ac:dyDescent="0.2">
      <c r="A81" s="223" t="s">
        <v>89</v>
      </c>
      <c r="B81" s="224"/>
      <c r="C81" s="223">
        <v>509000</v>
      </c>
      <c r="D81" s="228">
        <v>2.44</v>
      </c>
      <c r="E81" s="229">
        <f>+E80</f>
        <v>1490</v>
      </c>
      <c r="F81" s="35">
        <f t="shared" si="21"/>
        <v>3635.6</v>
      </c>
      <c r="G81" s="129">
        <v>2.44</v>
      </c>
      <c r="H81" s="230">
        <f>+H80</f>
        <v>3493</v>
      </c>
      <c r="I81" s="35">
        <f t="shared" si="22"/>
        <v>8522.92</v>
      </c>
      <c r="J81" s="36">
        <f>+J80</f>
        <v>3311</v>
      </c>
      <c r="K81" s="35">
        <f t="shared" si="23"/>
        <v>8078.84</v>
      </c>
      <c r="L81" s="36">
        <f t="shared" si="24"/>
        <v>8294</v>
      </c>
      <c r="M81" s="231">
        <f t="shared" si="24"/>
        <v>20237.36</v>
      </c>
      <c r="N81" s="5"/>
    </row>
    <row r="82" spans="1:15" ht="12.95" customHeight="1" x14ac:dyDescent="0.2">
      <c r="A82" s="223" t="s">
        <v>18</v>
      </c>
      <c r="B82" s="224"/>
      <c r="C82" s="223" t="s">
        <v>25</v>
      </c>
      <c r="D82" s="228">
        <v>10</v>
      </c>
      <c r="E82" s="229">
        <f>+E81</f>
        <v>1490</v>
      </c>
      <c r="F82" s="35">
        <f t="shared" si="21"/>
        <v>14900</v>
      </c>
      <c r="G82" s="129">
        <v>10</v>
      </c>
      <c r="H82" s="230">
        <f>+H81</f>
        <v>3493</v>
      </c>
      <c r="I82" s="35">
        <f t="shared" si="22"/>
        <v>34930</v>
      </c>
      <c r="J82" s="36">
        <f>+J81</f>
        <v>3311</v>
      </c>
      <c r="K82" s="35">
        <f t="shared" si="23"/>
        <v>33110</v>
      </c>
      <c r="L82" s="36">
        <f t="shared" si="24"/>
        <v>8294</v>
      </c>
      <c r="M82" s="231">
        <f t="shared" si="24"/>
        <v>82940</v>
      </c>
      <c r="N82" s="5"/>
    </row>
    <row r="83" spans="1:15" ht="12.95" customHeight="1" x14ac:dyDescent="0.2">
      <c r="A83" s="223" t="s">
        <v>19</v>
      </c>
      <c r="B83" s="224"/>
      <c r="C83" s="223" t="s">
        <v>26</v>
      </c>
      <c r="D83" s="228">
        <v>13.75</v>
      </c>
      <c r="E83" s="229">
        <f>+E82</f>
        <v>1490</v>
      </c>
      <c r="F83" s="35">
        <f t="shared" si="21"/>
        <v>20487.5</v>
      </c>
      <c r="G83" s="129">
        <v>13.75</v>
      </c>
      <c r="H83" s="230">
        <f>+H82</f>
        <v>3493</v>
      </c>
      <c r="I83" s="35">
        <f t="shared" si="22"/>
        <v>48028.75</v>
      </c>
      <c r="J83" s="36">
        <f>+J82</f>
        <v>3311</v>
      </c>
      <c r="K83" s="35">
        <f t="shared" si="23"/>
        <v>45526.25</v>
      </c>
      <c r="L83" s="36">
        <f t="shared" si="24"/>
        <v>8294</v>
      </c>
      <c r="M83" s="231">
        <f t="shared" si="24"/>
        <v>114042.5</v>
      </c>
      <c r="N83" s="5"/>
    </row>
    <row r="84" spans="1:15" ht="12.95" customHeight="1" x14ac:dyDescent="0.2">
      <c r="A84" s="232" t="s">
        <v>90</v>
      </c>
      <c r="B84" s="233"/>
      <c r="C84" s="232" t="s">
        <v>28</v>
      </c>
      <c r="D84" s="234">
        <v>6.33</v>
      </c>
      <c r="E84" s="235">
        <f>+E83</f>
        <v>1490</v>
      </c>
      <c r="F84" s="236">
        <f t="shared" si="21"/>
        <v>9431.7000000000007</v>
      </c>
      <c r="G84" s="237">
        <v>7.5</v>
      </c>
      <c r="H84" s="238">
        <f>+H83</f>
        <v>3493</v>
      </c>
      <c r="I84" s="236">
        <f t="shared" si="22"/>
        <v>26197.5</v>
      </c>
      <c r="J84" s="239">
        <f>+J83</f>
        <v>3311</v>
      </c>
      <c r="K84" s="236">
        <f t="shared" si="23"/>
        <v>24832.5</v>
      </c>
      <c r="L84" s="239">
        <f t="shared" si="24"/>
        <v>8294</v>
      </c>
      <c r="M84" s="240">
        <f t="shared" si="24"/>
        <v>60461.7</v>
      </c>
      <c r="N84" s="5"/>
    </row>
    <row r="85" spans="1:15" ht="12.95" customHeight="1" x14ac:dyDescent="0.2">
      <c r="A85" s="241" t="s">
        <v>36</v>
      </c>
      <c r="B85" s="242"/>
      <c r="C85" s="241"/>
      <c r="D85" s="243">
        <f>SUM(D79:D84)</f>
        <v>76.73</v>
      </c>
      <c r="E85" s="244"/>
      <c r="F85" s="245">
        <f>SUM(F79:F84)</f>
        <v>114327.7</v>
      </c>
      <c r="G85" s="246">
        <f>SUM(G79:G84)</f>
        <v>77.900000000000006</v>
      </c>
      <c r="H85" s="241"/>
      <c r="I85" s="245">
        <f>SUM(I79:I84)</f>
        <v>272104.7</v>
      </c>
      <c r="J85" s="247"/>
      <c r="K85" s="245">
        <f>SUM(K79:K84)</f>
        <v>257926.9</v>
      </c>
      <c r="L85" s="247"/>
      <c r="M85" s="248">
        <f>SUM(M79:M84)</f>
        <v>644359.29999999993</v>
      </c>
      <c r="N85" s="259"/>
    </row>
    <row r="86" spans="1:15" ht="12.95" customHeight="1" x14ac:dyDescent="0.2">
      <c r="A86" s="221" t="s">
        <v>37</v>
      </c>
      <c r="B86" s="249"/>
      <c r="D86" s="3"/>
      <c r="E86" s="194"/>
      <c r="F86" s="22"/>
      <c r="G86" s="31"/>
      <c r="H86" s="5"/>
      <c r="I86" s="5"/>
      <c r="J86" s="260"/>
      <c r="K86" s="261"/>
      <c r="L86" s="24"/>
      <c r="M86" s="43"/>
      <c r="N86" s="262"/>
    </row>
    <row r="87" spans="1:15" ht="12.95" customHeight="1" x14ac:dyDescent="0.2">
      <c r="A87" s="225" t="s">
        <v>88</v>
      </c>
      <c r="B87" s="224">
        <f>584358.33+547359.43+16070.48+21210.64+11581.67+391960.09+145210.64+67094.48</f>
        <v>1784845.7599999998</v>
      </c>
      <c r="C87" s="225" t="s">
        <v>22</v>
      </c>
      <c r="D87" s="32"/>
      <c r="E87" s="226">
        <f>+E52+E70+E60+E79</f>
        <v>94811</v>
      </c>
      <c r="F87" s="33">
        <f>+F52+F70+F60+F79</f>
        <v>219961.52</v>
      </c>
      <c r="G87" s="128"/>
      <c r="H87" s="227">
        <f>+H52+H70+H60+H79</f>
        <v>270282</v>
      </c>
      <c r="I87" s="40">
        <f>+I52+I70+I60+I79</f>
        <v>627054.24</v>
      </c>
      <c r="J87" s="34">
        <f>+J52+J70+J60+J79</f>
        <v>253016</v>
      </c>
      <c r="K87" s="33">
        <f>+K52+K70+K60+K79</f>
        <v>586997.12</v>
      </c>
      <c r="L87" s="34">
        <f t="shared" ref="L87:M92" si="25">+J87+H87+E87</f>
        <v>618109</v>
      </c>
      <c r="M87" s="44">
        <f t="shared" si="25"/>
        <v>1434012.88</v>
      </c>
      <c r="N87" s="262">
        <f>+L87*D79</f>
        <v>1434012.88</v>
      </c>
      <c r="O87" s="16">
        <f>+N87-M87</f>
        <v>0</v>
      </c>
    </row>
    <row r="88" spans="1:15" ht="12.95" customHeight="1" x14ac:dyDescent="0.2">
      <c r="A88" s="223" t="s">
        <v>17</v>
      </c>
      <c r="B88" s="224">
        <f>1515889.73+1422264.15+41930.25+47163.44+45626.46+391746.85</f>
        <v>3464620.88</v>
      </c>
      <c r="C88" s="263" t="s">
        <v>23</v>
      </c>
      <c r="D88" s="228"/>
      <c r="E88" s="229">
        <f>+E87</f>
        <v>94811</v>
      </c>
      <c r="F88" s="35">
        <f>+F53+F71+F61+F80</f>
        <v>566139.04</v>
      </c>
      <c r="G88" s="129"/>
      <c r="H88" s="230">
        <f>+H87</f>
        <v>270282</v>
      </c>
      <c r="I88" s="41">
        <f>+I53+I71+I61+I80</f>
        <v>1677374.9</v>
      </c>
      <c r="J88" s="36">
        <f>+J87</f>
        <v>253016</v>
      </c>
      <c r="K88" s="35">
        <f>+K53+K71+K61+K80</f>
        <v>1572357.74</v>
      </c>
      <c r="L88" s="36">
        <f t="shared" si="25"/>
        <v>618109</v>
      </c>
      <c r="M88" s="231">
        <f t="shared" si="25"/>
        <v>3815871.6799999997</v>
      </c>
      <c r="N88" s="264"/>
    </row>
    <row r="89" spans="1:15" ht="12.95" customHeight="1" x14ac:dyDescent="0.2">
      <c r="A89" s="223" t="s">
        <v>89</v>
      </c>
      <c r="B89" s="224">
        <f>614510.21+575583.39+16903.51+22315.57+12175.2+412199.03+152696.55+70568.28</f>
        <v>1876951.7400000002</v>
      </c>
      <c r="C89" s="223">
        <v>509000</v>
      </c>
      <c r="D89" s="228"/>
      <c r="E89" s="229">
        <f>+E88</f>
        <v>94811</v>
      </c>
      <c r="F89" s="35">
        <f>+F54+F72+F62+F81</f>
        <v>231338.84000000003</v>
      </c>
      <c r="G89" s="129"/>
      <c r="H89" s="230">
        <f>+H88</f>
        <v>270282</v>
      </c>
      <c r="I89" s="41">
        <f>+I54+I72+I62+I81</f>
        <v>659488.08000000007</v>
      </c>
      <c r="J89" s="36">
        <f>+J88</f>
        <v>253016</v>
      </c>
      <c r="K89" s="35">
        <f>+K54+K72+K62+K81</f>
        <v>617359.04</v>
      </c>
      <c r="L89" s="36">
        <f t="shared" si="25"/>
        <v>618109</v>
      </c>
      <c r="M89" s="231">
        <f t="shared" si="25"/>
        <v>1508185.9600000002</v>
      </c>
      <c r="N89" s="262">
        <f>+L89*D81</f>
        <v>1508185.96</v>
      </c>
      <c r="O89" s="16">
        <f>+N89-M89</f>
        <v>0</v>
      </c>
    </row>
    <row r="90" spans="1:15" ht="12.95" customHeight="1" x14ac:dyDescent="0.2">
      <c r="A90" s="223" t="s">
        <v>18</v>
      </c>
      <c r="B90" s="224">
        <v>5715427</v>
      </c>
      <c r="C90" s="223" t="s">
        <v>25</v>
      </c>
      <c r="D90" s="228"/>
      <c r="E90" s="229">
        <f>+E89</f>
        <v>94811</v>
      </c>
      <c r="F90" s="35">
        <f>+F55+F73+F63+F82</f>
        <v>948110</v>
      </c>
      <c r="G90" s="129"/>
      <c r="H90" s="230">
        <f>+H89</f>
        <v>270282</v>
      </c>
      <c r="I90" s="41">
        <f>+I55+I73+I63+I82</f>
        <v>2702820</v>
      </c>
      <c r="J90" s="36">
        <f>+J89</f>
        <v>253016</v>
      </c>
      <c r="K90" s="35">
        <f>+K55+K73+K63+K82</f>
        <v>2530160</v>
      </c>
      <c r="L90" s="36">
        <f t="shared" si="25"/>
        <v>618109</v>
      </c>
      <c r="M90" s="231">
        <f t="shared" si="25"/>
        <v>6181090</v>
      </c>
      <c r="N90" s="262">
        <f>+L90*D82</f>
        <v>6181090</v>
      </c>
      <c r="O90" s="16">
        <f>+N90-M90</f>
        <v>0</v>
      </c>
    </row>
    <row r="91" spans="1:15" ht="12.95" customHeight="1" x14ac:dyDescent="0.2">
      <c r="A91" s="223" t="s">
        <v>19</v>
      </c>
      <c r="B91" s="224">
        <v>7990690.1799999997</v>
      </c>
      <c r="C91" s="223" t="s">
        <v>26</v>
      </c>
      <c r="D91" s="228"/>
      <c r="E91" s="229">
        <f>+E90</f>
        <v>94811</v>
      </c>
      <c r="F91" s="35">
        <f>+F56+F74+F64+F83</f>
        <v>1303651.25</v>
      </c>
      <c r="G91" s="129"/>
      <c r="H91" s="230">
        <f>+H90</f>
        <v>270282</v>
      </c>
      <c r="I91" s="41">
        <f>+I56+I74+I64+I83</f>
        <v>3716377.5</v>
      </c>
      <c r="J91" s="36">
        <f>+J90</f>
        <v>253016</v>
      </c>
      <c r="K91" s="35">
        <f>+K56+K74+K64+K83</f>
        <v>3478970</v>
      </c>
      <c r="L91" s="36">
        <f t="shared" si="25"/>
        <v>618109</v>
      </c>
      <c r="M91" s="231">
        <f t="shared" si="25"/>
        <v>8498998.75</v>
      </c>
      <c r="N91" s="262">
        <f>+L91*D74</f>
        <v>8498998.75</v>
      </c>
      <c r="O91" s="16">
        <f>+N91-M91</f>
        <v>0</v>
      </c>
    </row>
    <row r="92" spans="1:15" ht="12.95" customHeight="1" x14ac:dyDescent="0.2">
      <c r="A92" s="232" t="s">
        <v>90</v>
      </c>
      <c r="B92" s="233">
        <f>1591355.15+1493896.1+34656.06+45745.73+19906.33+396236.85</f>
        <v>3581796.22</v>
      </c>
      <c r="C92" s="265" t="s">
        <v>28</v>
      </c>
      <c r="D92" s="234"/>
      <c r="E92" s="235">
        <f>+E91</f>
        <v>94811</v>
      </c>
      <c r="F92" s="236">
        <f>+F57+F75+F65+F84</f>
        <v>600153.63</v>
      </c>
      <c r="G92" s="237"/>
      <c r="H92" s="238">
        <f>+H91</f>
        <v>270282</v>
      </c>
      <c r="I92" s="266">
        <f>+I57+I75+I65+I84</f>
        <v>2027115</v>
      </c>
      <c r="J92" s="239">
        <f>+J91</f>
        <v>253016</v>
      </c>
      <c r="K92" s="236">
        <f>+K57+K75+K65+K84</f>
        <v>1897620</v>
      </c>
      <c r="L92" s="239">
        <f t="shared" si="25"/>
        <v>618109</v>
      </c>
      <c r="M92" s="240">
        <f t="shared" si="25"/>
        <v>4524888.63</v>
      </c>
      <c r="N92" s="264"/>
    </row>
    <row r="93" spans="1:15" ht="12.95" customHeight="1" x14ac:dyDescent="0.2">
      <c r="A93" s="267" t="s">
        <v>2</v>
      </c>
      <c r="B93" s="268">
        <f>SUM(B87:B92)</f>
        <v>24414331.779999997</v>
      </c>
      <c r="C93" s="267"/>
      <c r="D93" s="269"/>
      <c r="E93" s="270"/>
      <c r="F93" s="271">
        <f>SUM(F87:F92)</f>
        <v>3869354.2800000003</v>
      </c>
      <c r="G93" s="272"/>
      <c r="H93" s="267"/>
      <c r="I93" s="273">
        <f>SUM(I87:I92)</f>
        <v>11410229.719999999</v>
      </c>
      <c r="J93" s="274"/>
      <c r="K93" s="271">
        <f>SUM(K87:K92)</f>
        <v>10683463.9</v>
      </c>
      <c r="L93" s="274"/>
      <c r="M93" s="275">
        <f>SUM(M87:M92)</f>
        <v>25963047.899999999</v>
      </c>
      <c r="N93" s="262"/>
    </row>
    <row r="94" spans="1:15" ht="12.95" customHeight="1" x14ac:dyDescent="0.2">
      <c r="B94" s="30"/>
      <c r="G94" s="30"/>
      <c r="L94" s="16">
        <f>+J87+H87+E87</f>
        <v>618109</v>
      </c>
      <c r="M94" s="30">
        <f>+K93+I93+F93</f>
        <v>25963047.899999999</v>
      </c>
      <c r="N94" s="276">
        <f>+M94/M32</f>
        <v>0.34323662971636265</v>
      </c>
    </row>
    <row r="95" spans="1:15" ht="12.95" customHeight="1" x14ac:dyDescent="0.2">
      <c r="B95" s="30"/>
      <c r="F95" s="30"/>
      <c r="M95" s="30"/>
      <c r="N95" s="259"/>
    </row>
    <row r="96" spans="1:15" ht="12.95" customHeight="1" x14ac:dyDescent="0.2">
      <c r="B96" s="30"/>
      <c r="M96" s="30"/>
      <c r="N96" s="5"/>
    </row>
    <row r="97" spans="2:14" ht="12.95" customHeight="1" x14ac:dyDescent="0.2">
      <c r="B97" s="30"/>
      <c r="M97" s="30"/>
      <c r="N97" s="5"/>
    </row>
    <row r="98" spans="2:14" ht="12.95" customHeight="1" x14ac:dyDescent="0.2">
      <c r="B98" s="30"/>
      <c r="M98" s="30"/>
      <c r="N98" s="5"/>
    </row>
    <row r="99" spans="2:14" ht="12.95" customHeight="1" x14ac:dyDescent="0.2">
      <c r="M99" s="30"/>
      <c r="N99" s="5"/>
    </row>
    <row r="100" spans="2:14" ht="12.95" customHeight="1" x14ac:dyDescent="0.2">
      <c r="M100" s="30"/>
      <c r="N100" s="5"/>
    </row>
    <row r="101" spans="2:14" ht="12.95" customHeight="1" x14ac:dyDescent="0.2">
      <c r="M101" s="30"/>
      <c r="N101" s="5"/>
    </row>
    <row r="102" spans="2:14" ht="12.95" customHeight="1" x14ac:dyDescent="0.2">
      <c r="N102" s="5"/>
    </row>
    <row r="103" spans="2:14" ht="12.95" customHeight="1" x14ac:dyDescent="0.2">
      <c r="N103" s="5"/>
    </row>
    <row r="104" spans="2:14" ht="12.95" customHeight="1" x14ac:dyDescent="0.2">
      <c r="N104" s="5"/>
    </row>
    <row r="105" spans="2:14" ht="12.95" customHeight="1" x14ac:dyDescent="0.2">
      <c r="N105" s="5"/>
    </row>
    <row r="106" spans="2:14" ht="12.95" customHeight="1" x14ac:dyDescent="0.2">
      <c r="N106" s="5"/>
    </row>
    <row r="107" spans="2:14" ht="12.95" customHeight="1" x14ac:dyDescent="0.2">
      <c r="N107" s="5"/>
    </row>
    <row r="108" spans="2:14" ht="12.95" customHeight="1" x14ac:dyDescent="0.2">
      <c r="N108" s="5"/>
    </row>
    <row r="109" spans="2:14" ht="12.95" customHeight="1" x14ac:dyDescent="0.2">
      <c r="N109" s="5"/>
    </row>
    <row r="110" spans="2:14" ht="12.95" customHeight="1" x14ac:dyDescent="0.2">
      <c r="N110" s="5"/>
    </row>
    <row r="111" spans="2:14" ht="12.95" customHeight="1" x14ac:dyDescent="0.2">
      <c r="N111" s="5"/>
    </row>
    <row r="112" spans="2:14" ht="12.95" customHeight="1" x14ac:dyDescent="0.2">
      <c r="N112" s="5"/>
    </row>
    <row r="113" spans="14:14" ht="12.95" customHeight="1" x14ac:dyDescent="0.2">
      <c r="N113" s="5"/>
    </row>
    <row r="114" spans="14:14" ht="12.95" customHeight="1" x14ac:dyDescent="0.2">
      <c r="N114" s="5"/>
    </row>
    <row r="115" spans="14:14" ht="12.95" customHeight="1" x14ac:dyDescent="0.2">
      <c r="N115" s="5"/>
    </row>
    <row r="116" spans="14:14" ht="12.95" customHeight="1" x14ac:dyDescent="0.2">
      <c r="N116" s="5"/>
    </row>
    <row r="117" spans="14:14" ht="12.95" customHeight="1" x14ac:dyDescent="0.2">
      <c r="N117" s="5"/>
    </row>
    <row r="118" spans="14:14" ht="12.95" customHeight="1" x14ac:dyDescent="0.2">
      <c r="N118" s="5"/>
    </row>
    <row r="119" spans="14:14" ht="12.95" customHeight="1" x14ac:dyDescent="0.2">
      <c r="N119" s="5"/>
    </row>
    <row r="120" spans="14:14" ht="12.95" customHeight="1" x14ac:dyDescent="0.2">
      <c r="N120" s="5"/>
    </row>
    <row r="121" spans="14:14" ht="12.95" customHeight="1" x14ac:dyDescent="0.2">
      <c r="N121" s="5"/>
    </row>
    <row r="122" spans="14:14" ht="12.95" customHeight="1" x14ac:dyDescent="0.2">
      <c r="N122" s="5"/>
    </row>
    <row r="123" spans="14:14" ht="12.95" customHeight="1" x14ac:dyDescent="0.2">
      <c r="N123" s="5"/>
    </row>
    <row r="124" spans="14:14" ht="12.95" customHeight="1" x14ac:dyDescent="0.2">
      <c r="N124" s="5"/>
    </row>
    <row r="125" spans="14:14" ht="12.95" customHeight="1" x14ac:dyDescent="0.2">
      <c r="N125" s="5"/>
    </row>
    <row r="126" spans="14:14" ht="12.95" customHeight="1" x14ac:dyDescent="0.2">
      <c r="N126" s="5"/>
    </row>
    <row r="127" spans="14:14" ht="12.95" customHeight="1" x14ac:dyDescent="0.2">
      <c r="N127" s="5"/>
    </row>
    <row r="128" spans="14:14" ht="12.95" customHeight="1" x14ac:dyDescent="0.2">
      <c r="N128" s="5"/>
    </row>
    <row r="129" spans="14:14" ht="12.95" customHeight="1" x14ac:dyDescent="0.2">
      <c r="N129" s="5"/>
    </row>
    <row r="130" spans="14:14" ht="12.95" customHeight="1" x14ac:dyDescent="0.2">
      <c r="N130" s="5"/>
    </row>
    <row r="131" spans="14:14" ht="12.95" customHeight="1" x14ac:dyDescent="0.2">
      <c r="N131" s="5"/>
    </row>
    <row r="132" spans="14:14" ht="12.95" customHeight="1" x14ac:dyDescent="0.2">
      <c r="N132" s="5"/>
    </row>
    <row r="133" spans="14:14" ht="12.95" customHeight="1" x14ac:dyDescent="0.2">
      <c r="N133" s="5"/>
    </row>
    <row r="134" spans="14:14" ht="12.95" customHeight="1" x14ac:dyDescent="0.2">
      <c r="N134" s="5"/>
    </row>
    <row r="135" spans="14:14" ht="12.95" customHeight="1" x14ac:dyDescent="0.2">
      <c r="N135" s="5"/>
    </row>
    <row r="136" spans="14:14" ht="12.95" customHeight="1" x14ac:dyDescent="0.2">
      <c r="N136" s="5"/>
    </row>
    <row r="137" spans="14:14" ht="12.95" customHeight="1" x14ac:dyDescent="0.2">
      <c r="N137" s="5"/>
    </row>
    <row r="138" spans="14:14" ht="12.95" customHeight="1" x14ac:dyDescent="0.2">
      <c r="N138" s="5"/>
    </row>
    <row r="139" spans="14:14" ht="12.95" customHeight="1" x14ac:dyDescent="0.2">
      <c r="N139" s="5"/>
    </row>
    <row r="140" spans="14:14" ht="12.95" customHeight="1" x14ac:dyDescent="0.2">
      <c r="N140" s="5"/>
    </row>
    <row r="141" spans="14:14" ht="12.95" customHeight="1" x14ac:dyDescent="0.2">
      <c r="N141" s="5"/>
    </row>
    <row r="142" spans="14:14" ht="12.95" customHeight="1" x14ac:dyDescent="0.2">
      <c r="N142" s="5"/>
    </row>
    <row r="143" spans="14:14" ht="12.95" customHeight="1" x14ac:dyDescent="0.2">
      <c r="N143" s="5"/>
    </row>
    <row r="144" spans="14:14" ht="12.95" customHeight="1" x14ac:dyDescent="0.2">
      <c r="N144" s="5"/>
    </row>
    <row r="145" spans="14:14" ht="12.95" customHeight="1" x14ac:dyDescent="0.2">
      <c r="N145" s="5"/>
    </row>
    <row r="146" spans="14:14" ht="12.95" customHeight="1" x14ac:dyDescent="0.2">
      <c r="N146" s="5"/>
    </row>
    <row r="147" spans="14:14" ht="12.95" customHeight="1" x14ac:dyDescent="0.2">
      <c r="N147" s="5"/>
    </row>
    <row r="148" spans="14:14" ht="12.95" customHeight="1" x14ac:dyDescent="0.2">
      <c r="N148" s="5"/>
    </row>
    <row r="149" spans="14:14" ht="12.95" customHeight="1" x14ac:dyDescent="0.2">
      <c r="N149" s="5"/>
    </row>
    <row r="150" spans="14:14" ht="12.95" customHeight="1" x14ac:dyDescent="0.2">
      <c r="N150" s="5"/>
    </row>
    <row r="151" spans="14:14" ht="12.95" customHeight="1" x14ac:dyDescent="0.2">
      <c r="N151" s="5"/>
    </row>
    <row r="152" spans="14:14" ht="12.95" customHeight="1" x14ac:dyDescent="0.2">
      <c r="N152" s="5"/>
    </row>
    <row r="153" spans="14:14" ht="12.95" customHeight="1" x14ac:dyDescent="0.2">
      <c r="N153" s="5"/>
    </row>
    <row r="154" spans="14:14" ht="12.95" customHeight="1" x14ac:dyDescent="0.2">
      <c r="N154" s="5"/>
    </row>
    <row r="155" spans="14:14" ht="12.95" customHeight="1" x14ac:dyDescent="0.2">
      <c r="N155" s="5"/>
    </row>
    <row r="156" spans="14:14" ht="12.95" customHeight="1" x14ac:dyDescent="0.2">
      <c r="N156" s="5"/>
    </row>
    <row r="157" spans="14:14" ht="12.95" customHeight="1" x14ac:dyDescent="0.2">
      <c r="N157" s="5"/>
    </row>
    <row r="158" spans="14:14" ht="12.95" customHeight="1" x14ac:dyDescent="0.2">
      <c r="N158" s="5"/>
    </row>
    <row r="159" spans="14:14" ht="12.95" customHeight="1" x14ac:dyDescent="0.2">
      <c r="N159" s="5"/>
    </row>
    <row r="160" spans="14:14" ht="12.95" customHeight="1" x14ac:dyDescent="0.2">
      <c r="N160" s="5"/>
    </row>
    <row r="161" spans="14:14" ht="12.95" customHeight="1" x14ac:dyDescent="0.2">
      <c r="N161" s="5"/>
    </row>
    <row r="162" spans="14:14" ht="12.95" customHeight="1" x14ac:dyDescent="0.2">
      <c r="N162" s="5"/>
    </row>
    <row r="163" spans="14:14" ht="12.95" customHeight="1" x14ac:dyDescent="0.2">
      <c r="N163" s="5"/>
    </row>
    <row r="164" spans="14:14" ht="12.95" customHeight="1" x14ac:dyDescent="0.2">
      <c r="N164" s="5"/>
    </row>
    <row r="165" spans="14:14" ht="12.95" customHeight="1" x14ac:dyDescent="0.2">
      <c r="N165" s="5"/>
    </row>
    <row r="166" spans="14:14" ht="12.95" customHeight="1" x14ac:dyDescent="0.2">
      <c r="N166" s="5"/>
    </row>
    <row r="167" spans="14:14" ht="12.95" customHeight="1" x14ac:dyDescent="0.2">
      <c r="N167" s="5"/>
    </row>
    <row r="168" spans="14:14" ht="12.95" customHeight="1" x14ac:dyDescent="0.2">
      <c r="N168" s="5"/>
    </row>
  </sheetData>
  <mergeCells count="14">
    <mergeCell ref="A1:M1"/>
    <mergeCell ref="A2:M2"/>
    <mergeCell ref="A3:M3"/>
    <mergeCell ref="A4:M4"/>
    <mergeCell ref="D7:E7"/>
    <mergeCell ref="G7:H7"/>
    <mergeCell ref="I7:J7"/>
    <mergeCell ref="K7:M7"/>
    <mergeCell ref="A47:M47"/>
    <mergeCell ref="A48:M48"/>
    <mergeCell ref="E49:F49"/>
    <mergeCell ref="H49:I49"/>
    <mergeCell ref="J49:K49"/>
    <mergeCell ref="L49:M49"/>
  </mergeCells>
  <pageMargins left="0.7" right="0.7" top="0.5" bottom="0.5" header="0.3" footer="0.3"/>
  <pageSetup paperSize="5" scale="9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3"/>
  <sheetViews>
    <sheetView workbookViewId="0">
      <selection activeCell="D19" sqref="D19"/>
    </sheetView>
  </sheetViews>
  <sheetFormatPr defaultRowHeight="12" x14ac:dyDescent="0.2"/>
  <cols>
    <col min="1" max="1" width="14.28515625" style="2" customWidth="1"/>
    <col min="2" max="2" width="14.42578125" style="2" customWidth="1"/>
    <col min="3" max="3" width="12.28515625" style="3" customWidth="1"/>
    <col min="4" max="4" width="10.5703125" style="2" customWidth="1"/>
    <col min="5" max="5" width="11.85546875" style="2" customWidth="1"/>
    <col min="6" max="6" width="13.28515625" style="2" customWidth="1"/>
    <col min="7" max="7" width="11.7109375" style="2" customWidth="1"/>
    <col min="8" max="8" width="13" style="2" customWidth="1"/>
    <col min="9" max="9" width="11.28515625" style="2" customWidth="1"/>
    <col min="10" max="10" width="12.42578125" style="2" customWidth="1"/>
    <col min="11" max="11" width="10.85546875" style="2" customWidth="1"/>
    <col min="12" max="12" width="13.5703125" style="2" customWidth="1"/>
    <col min="13" max="13" width="12.140625" style="2" customWidth="1"/>
    <col min="14" max="14" width="12.28515625" style="2" customWidth="1"/>
    <col min="15" max="15" width="11" style="30" customWidth="1"/>
    <col min="16" max="27" width="9.140625" style="2"/>
    <col min="28" max="28" width="2" style="2" customWidth="1"/>
    <col min="29" max="16384" width="9.140625" style="2"/>
  </cols>
  <sheetData>
    <row r="1" spans="1:15" ht="15.75" x14ac:dyDescent="0.25">
      <c r="A1" s="305" t="s">
        <v>0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</row>
    <row r="2" spans="1:15" ht="15.75" x14ac:dyDescent="0.25">
      <c r="A2" s="306" t="s">
        <v>12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</row>
    <row r="3" spans="1:15" ht="15.75" x14ac:dyDescent="0.25">
      <c r="A3" s="305" t="s">
        <v>69</v>
      </c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</row>
    <row r="4" spans="1:15" ht="15.75" x14ac:dyDescent="0.25">
      <c r="A4" s="305" t="s">
        <v>70</v>
      </c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5"/>
      <c r="O4" s="305"/>
    </row>
    <row r="5" spans="1:15" x14ac:dyDescent="0.2">
      <c r="A5" s="1"/>
      <c r="B5" s="1"/>
      <c r="C5" s="46"/>
      <c r="D5" s="1"/>
      <c r="E5" s="1"/>
      <c r="F5" s="1"/>
      <c r="G5" s="1"/>
      <c r="H5" s="1"/>
      <c r="I5" s="1"/>
      <c r="J5" s="1"/>
      <c r="K5" s="1"/>
      <c r="L5" s="1"/>
      <c r="M5" s="1" t="s">
        <v>49</v>
      </c>
      <c r="N5" s="127" t="s">
        <v>50</v>
      </c>
      <c r="O5" s="111"/>
    </row>
    <row r="6" spans="1:15" x14ac:dyDescent="0.2">
      <c r="N6" s="126" t="s">
        <v>51</v>
      </c>
    </row>
    <row r="7" spans="1:15" x14ac:dyDescent="0.2">
      <c r="A7" s="4"/>
      <c r="B7" s="5"/>
      <c r="C7" s="310" t="s">
        <v>46</v>
      </c>
      <c r="D7" s="308"/>
      <c r="E7" s="309"/>
      <c r="F7" s="57"/>
      <c r="G7" s="308" t="s">
        <v>39</v>
      </c>
      <c r="H7" s="309"/>
      <c r="I7" s="308" t="s">
        <v>40</v>
      </c>
      <c r="J7" s="309"/>
      <c r="K7" s="308" t="s">
        <v>47</v>
      </c>
      <c r="L7" s="309"/>
      <c r="M7" s="308" t="s">
        <v>10</v>
      </c>
      <c r="N7" s="308"/>
      <c r="O7" s="308"/>
    </row>
    <row r="8" spans="1:15" ht="12.75" thickBot="1" x14ac:dyDescent="0.25">
      <c r="A8" s="6"/>
      <c r="B8" s="7" t="s">
        <v>11</v>
      </c>
      <c r="C8" s="45" t="s">
        <v>9</v>
      </c>
      <c r="D8" s="8" t="s">
        <v>8</v>
      </c>
      <c r="E8" s="8" t="s">
        <v>10</v>
      </c>
      <c r="F8" s="25" t="s">
        <v>9</v>
      </c>
      <c r="G8" s="8" t="s">
        <v>8</v>
      </c>
      <c r="H8" s="19" t="s">
        <v>10</v>
      </c>
      <c r="I8" s="8" t="s">
        <v>8</v>
      </c>
      <c r="J8" s="19" t="s">
        <v>10</v>
      </c>
      <c r="K8" s="8" t="s">
        <v>8</v>
      </c>
      <c r="L8" s="19" t="s">
        <v>10</v>
      </c>
      <c r="M8" s="8" t="s">
        <v>8</v>
      </c>
      <c r="N8" s="8" t="s">
        <v>3</v>
      </c>
      <c r="O8" s="112" t="s">
        <v>16</v>
      </c>
    </row>
    <row r="9" spans="1:15" x14ac:dyDescent="0.2">
      <c r="A9" s="97" t="s">
        <v>71</v>
      </c>
      <c r="B9" s="98"/>
      <c r="C9" s="37"/>
      <c r="D9" s="5"/>
      <c r="E9" s="17"/>
      <c r="F9" s="26"/>
      <c r="G9" s="5"/>
      <c r="H9" s="20"/>
      <c r="I9" s="24"/>
      <c r="J9" s="20"/>
      <c r="K9" s="24"/>
      <c r="L9" s="20"/>
      <c r="M9" s="5"/>
      <c r="N9" s="5"/>
      <c r="O9" s="43"/>
    </row>
    <row r="10" spans="1:15" x14ac:dyDescent="0.2">
      <c r="A10" s="9"/>
      <c r="B10" s="10" t="s">
        <v>4</v>
      </c>
      <c r="C10" s="38">
        <v>82.03</v>
      </c>
      <c r="D10" s="12">
        <f>+D22</f>
        <v>9939</v>
      </c>
      <c r="E10" s="18">
        <f>+D10*C10</f>
        <v>815296.17</v>
      </c>
      <c r="F10" s="151">
        <v>88.59</v>
      </c>
      <c r="G10" s="11">
        <v>91756</v>
      </c>
      <c r="H10" s="21">
        <f>+G10*F10</f>
        <v>8128664.04</v>
      </c>
      <c r="I10" s="29">
        <v>73918</v>
      </c>
      <c r="J10" s="21">
        <f>+I10*F10</f>
        <v>6548395.6200000001</v>
      </c>
      <c r="K10" s="12">
        <f>23447-D10</f>
        <v>13508</v>
      </c>
      <c r="L10" s="21">
        <f>+K10*C10</f>
        <v>1108061.24</v>
      </c>
      <c r="M10" s="12">
        <f>+I10+G10+D10+K10</f>
        <v>189121</v>
      </c>
      <c r="N10" s="12">
        <f>+M10/40</f>
        <v>4728.0249999999996</v>
      </c>
      <c r="O10" s="12">
        <f>+E10+H10+J10+L10</f>
        <v>16600417.070000002</v>
      </c>
    </row>
    <row r="11" spans="1:15" x14ac:dyDescent="0.2">
      <c r="A11" s="4"/>
      <c r="B11" s="10" t="s">
        <v>5</v>
      </c>
      <c r="C11" s="38">
        <v>82.03</v>
      </c>
      <c r="D11" s="12">
        <f>+D23</f>
        <v>16893</v>
      </c>
      <c r="E11" s="18">
        <f>+D11*C11</f>
        <v>1385732.79</v>
      </c>
      <c r="F11" s="151">
        <v>88.59</v>
      </c>
      <c r="G11" s="11">
        <v>137973</v>
      </c>
      <c r="H11" s="21">
        <f>+G11*F11</f>
        <v>12223028.07</v>
      </c>
      <c r="I11" s="29">
        <v>134492</v>
      </c>
      <c r="J11" s="21">
        <f>+I11*F11</f>
        <v>11914646.280000001</v>
      </c>
      <c r="K11" s="12">
        <f>59455-D11</f>
        <v>42562</v>
      </c>
      <c r="L11" s="21">
        <f>+K11*C11</f>
        <v>3491360.86</v>
      </c>
      <c r="M11" s="12">
        <f>+I11+G11+D11+K11</f>
        <v>331920</v>
      </c>
      <c r="N11" s="12">
        <f>+M11/40</f>
        <v>8298</v>
      </c>
      <c r="O11" s="12">
        <f>+E11+H11+J11+L11</f>
        <v>29014768</v>
      </c>
    </row>
    <row r="12" spans="1:15" x14ac:dyDescent="0.2">
      <c r="A12" s="4"/>
      <c r="B12" s="10" t="s">
        <v>6</v>
      </c>
      <c r="C12" s="38">
        <v>223.24</v>
      </c>
      <c r="D12" s="12">
        <f>+D24</f>
        <v>2139</v>
      </c>
      <c r="E12" s="18">
        <f>+D12*C12</f>
        <v>477510.36000000004</v>
      </c>
      <c r="F12" s="151">
        <v>241.09</v>
      </c>
      <c r="G12" s="11">
        <v>24473</v>
      </c>
      <c r="H12" s="21">
        <f>+G12*F12</f>
        <v>5900195.5700000003</v>
      </c>
      <c r="I12" s="29">
        <v>22649</v>
      </c>
      <c r="J12" s="21">
        <f>+I12*F12</f>
        <v>5460447.4100000001</v>
      </c>
      <c r="K12" s="12">
        <f>14670-D12</f>
        <v>12531</v>
      </c>
      <c r="L12" s="21">
        <f>+K12*C12</f>
        <v>2797420.44</v>
      </c>
      <c r="M12" s="12">
        <f>+I12+G12+D12+K12</f>
        <v>61792</v>
      </c>
      <c r="N12" s="12">
        <f>+M12/32</f>
        <v>1931</v>
      </c>
      <c r="O12" s="12">
        <f>+E12+H12+J12+L12</f>
        <v>14635573.779999999</v>
      </c>
    </row>
    <row r="13" spans="1:15" x14ac:dyDescent="0.2">
      <c r="A13" s="4"/>
      <c r="B13" s="10" t="s">
        <v>7</v>
      </c>
      <c r="C13" s="38">
        <v>223.24</v>
      </c>
      <c r="D13" s="12">
        <f>+D25</f>
        <v>473</v>
      </c>
      <c r="E13" s="18">
        <f>+D13*C13</f>
        <v>105592.52</v>
      </c>
      <c r="F13" s="151">
        <v>241.09</v>
      </c>
      <c r="G13" s="11">
        <v>3656</v>
      </c>
      <c r="H13" s="21">
        <f>+G13*F13</f>
        <v>881425.04</v>
      </c>
      <c r="I13" s="29">
        <v>3226</v>
      </c>
      <c r="J13" s="21">
        <f>+I13*F13</f>
        <v>777756.34</v>
      </c>
      <c r="K13" s="12">
        <f>2142-D13</f>
        <v>1669</v>
      </c>
      <c r="L13" s="21">
        <f>+K13*C13</f>
        <v>372587.56</v>
      </c>
      <c r="M13" s="12">
        <f>+I13+G13+D13+K13</f>
        <v>9024</v>
      </c>
      <c r="N13" s="12">
        <f>+M13/32</f>
        <v>282</v>
      </c>
      <c r="O13" s="12">
        <f>+E13+H13+J13+L13</f>
        <v>2137361.46</v>
      </c>
    </row>
    <row r="14" spans="1:15" x14ac:dyDescent="0.2">
      <c r="A14" s="4"/>
      <c r="B14" s="156" t="s">
        <v>13</v>
      </c>
      <c r="C14" s="179"/>
      <c r="D14" s="158">
        <f>SUM(D10:D13)</f>
        <v>29444</v>
      </c>
      <c r="E14" s="159">
        <f>SUM(E10:E13)</f>
        <v>2784131.84</v>
      </c>
      <c r="F14" s="180"/>
      <c r="G14" s="161">
        <f t="shared" ref="G14:O14" si="0">SUM(G10:G13)</f>
        <v>257858</v>
      </c>
      <c r="H14" s="162">
        <f t="shared" si="0"/>
        <v>27133312.719999999</v>
      </c>
      <c r="I14" s="163">
        <f t="shared" si="0"/>
        <v>234285</v>
      </c>
      <c r="J14" s="162">
        <f t="shared" si="0"/>
        <v>24701245.650000002</v>
      </c>
      <c r="K14" s="163">
        <f>SUM(K10:K13)</f>
        <v>70270</v>
      </c>
      <c r="L14" s="162">
        <f>SUM(L10:L13)</f>
        <v>7769430.0999999987</v>
      </c>
      <c r="M14" s="158">
        <f t="shared" si="0"/>
        <v>591857</v>
      </c>
      <c r="N14" s="158">
        <f t="shared" si="0"/>
        <v>15239.025</v>
      </c>
      <c r="O14" s="158">
        <f t="shared" si="0"/>
        <v>62388120.310000002</v>
      </c>
    </row>
    <row r="15" spans="1:15" x14ac:dyDescent="0.2">
      <c r="A15" s="4"/>
      <c r="B15" s="10" t="s">
        <v>4</v>
      </c>
      <c r="C15" s="38">
        <v>435.71</v>
      </c>
      <c r="D15" s="12">
        <f>+D27</f>
        <v>259</v>
      </c>
      <c r="E15" s="18">
        <f>+D15*C15</f>
        <v>112848.89</v>
      </c>
      <c r="F15" s="151">
        <v>470.56</v>
      </c>
      <c r="G15" s="11">
        <v>6882</v>
      </c>
      <c r="H15" s="21">
        <f>+G15*F15</f>
        <v>3238393.92</v>
      </c>
      <c r="I15" s="29">
        <v>5323</v>
      </c>
      <c r="J15" s="21">
        <f>+I15*F15</f>
        <v>2504790.88</v>
      </c>
      <c r="K15" s="29">
        <f>922-D15</f>
        <v>663</v>
      </c>
      <c r="L15" s="21">
        <f>+K15*C15</f>
        <v>288875.73</v>
      </c>
      <c r="M15" s="12">
        <f>+I15+G15+D15+K15</f>
        <v>13127</v>
      </c>
      <c r="N15" s="12">
        <f>+M15/40</f>
        <v>328.17500000000001</v>
      </c>
      <c r="O15" s="12">
        <f>+E15+H15+J15+L15</f>
        <v>6144909.4199999999</v>
      </c>
    </row>
    <row r="16" spans="1:15" x14ac:dyDescent="0.2">
      <c r="A16" s="5"/>
      <c r="B16" s="10" t="s">
        <v>5</v>
      </c>
      <c r="C16" s="38">
        <v>435.71</v>
      </c>
      <c r="D16" s="12">
        <f>+D28</f>
        <v>443</v>
      </c>
      <c r="E16" s="18">
        <f>+D16*C16</f>
        <v>193019.53</v>
      </c>
      <c r="F16" s="151">
        <v>470.56</v>
      </c>
      <c r="G16" s="11">
        <v>7483</v>
      </c>
      <c r="H16" s="21">
        <f>+G16*F16</f>
        <v>3521200.48</v>
      </c>
      <c r="I16" s="29">
        <v>7105</v>
      </c>
      <c r="J16" s="21">
        <f>+I16*F16</f>
        <v>3343328.8</v>
      </c>
      <c r="K16" s="29">
        <f>2315-D16</f>
        <v>1872</v>
      </c>
      <c r="L16" s="21">
        <f>+K16*C16</f>
        <v>815649.12</v>
      </c>
      <c r="M16" s="12">
        <f>+I16+G16+D16+K16</f>
        <v>16903</v>
      </c>
      <c r="N16" s="12">
        <f>+M16/40</f>
        <v>422.57499999999999</v>
      </c>
      <c r="O16" s="12">
        <f>+E16+H16+J16+L16</f>
        <v>7873197.9299999997</v>
      </c>
    </row>
    <row r="17" spans="1:15" x14ac:dyDescent="0.2">
      <c r="A17" s="5"/>
      <c r="B17" s="10" t="s">
        <v>6</v>
      </c>
      <c r="C17" s="38">
        <v>614.73</v>
      </c>
      <c r="D17" s="12">
        <f>+D29</f>
        <v>92</v>
      </c>
      <c r="E17" s="18">
        <f>+D17*C17</f>
        <v>56555.16</v>
      </c>
      <c r="F17" s="151">
        <v>663.9</v>
      </c>
      <c r="G17" s="11">
        <v>3085</v>
      </c>
      <c r="H17" s="21">
        <f>+G17*F17</f>
        <v>2048131.5</v>
      </c>
      <c r="I17" s="29">
        <v>2050</v>
      </c>
      <c r="J17" s="21">
        <f>+I17*F17</f>
        <v>1360995</v>
      </c>
      <c r="K17" s="29">
        <f>1103-D17</f>
        <v>1011</v>
      </c>
      <c r="L17" s="21">
        <f>+K17*C17</f>
        <v>621492.03</v>
      </c>
      <c r="M17" s="12">
        <f>+I17+G17+D17+K17</f>
        <v>6238</v>
      </c>
      <c r="N17" s="12">
        <f>+M17/32</f>
        <v>194.9375</v>
      </c>
      <c r="O17" s="12">
        <f>+E17+H17+J17+L17</f>
        <v>4087173.6900000004</v>
      </c>
    </row>
    <row r="18" spans="1:15" x14ac:dyDescent="0.2">
      <c r="A18" s="5"/>
      <c r="B18" s="10" t="s">
        <v>7</v>
      </c>
      <c r="C18" s="38">
        <v>614.73</v>
      </c>
      <c r="D18" s="12">
        <f>+D30</f>
        <v>96</v>
      </c>
      <c r="E18" s="18">
        <f>+D18*C18</f>
        <v>59014.080000000002</v>
      </c>
      <c r="F18" s="151">
        <v>663.9</v>
      </c>
      <c r="G18" s="11">
        <v>1078</v>
      </c>
      <c r="H18" s="21">
        <f>+G18*F18</f>
        <v>715684.2</v>
      </c>
      <c r="I18" s="29">
        <v>1167</v>
      </c>
      <c r="J18" s="21">
        <f>+I18*F18</f>
        <v>774771.29999999993</v>
      </c>
      <c r="K18" s="29">
        <f>578-D18</f>
        <v>482</v>
      </c>
      <c r="L18" s="21">
        <f>+K18*C18</f>
        <v>296299.86</v>
      </c>
      <c r="M18" s="12">
        <f>+I18+G18+D18+K18</f>
        <v>2823</v>
      </c>
      <c r="N18" s="12">
        <f>+M18/32</f>
        <v>88.21875</v>
      </c>
      <c r="O18" s="12">
        <f>+E18+H18+J18+L18</f>
        <v>1845769.44</v>
      </c>
    </row>
    <row r="19" spans="1:15" x14ac:dyDescent="0.2">
      <c r="A19" s="5"/>
      <c r="B19" s="156" t="s">
        <v>14</v>
      </c>
      <c r="C19" s="179"/>
      <c r="D19" s="158">
        <f>SUM(D15:D18)</f>
        <v>890</v>
      </c>
      <c r="E19" s="159">
        <f>SUM(E15:E18)</f>
        <v>421437.66</v>
      </c>
      <c r="F19" s="180"/>
      <c r="G19" s="161">
        <f t="shared" ref="G19:O19" si="1">SUM(G15:G18)</f>
        <v>18528</v>
      </c>
      <c r="H19" s="162">
        <f t="shared" si="1"/>
        <v>9523410.0999999996</v>
      </c>
      <c r="I19" s="163">
        <f t="shared" si="1"/>
        <v>15645</v>
      </c>
      <c r="J19" s="162">
        <f t="shared" si="1"/>
        <v>7983885.9799999995</v>
      </c>
      <c r="K19" s="163">
        <f>SUM(K15:K18)</f>
        <v>4028</v>
      </c>
      <c r="L19" s="162">
        <f>SUM(L15:L18)</f>
        <v>2022316.7400000002</v>
      </c>
      <c r="M19" s="158">
        <f t="shared" si="1"/>
        <v>39091</v>
      </c>
      <c r="N19" s="158">
        <f t="shared" si="1"/>
        <v>1033.90625</v>
      </c>
      <c r="O19" s="158">
        <f t="shared" si="1"/>
        <v>19951050.48</v>
      </c>
    </row>
    <row r="20" spans="1:15" ht="12.75" thickBot="1" x14ac:dyDescent="0.25">
      <c r="A20" s="13"/>
      <c r="B20" s="165" t="s">
        <v>1</v>
      </c>
      <c r="C20" s="181"/>
      <c r="D20" s="167"/>
      <c r="E20" s="168">
        <f>+E19+E14</f>
        <v>3205569.5</v>
      </c>
      <c r="F20" s="182"/>
      <c r="G20" s="170"/>
      <c r="H20" s="171">
        <f>+H19+H14</f>
        <v>36656722.82</v>
      </c>
      <c r="I20" s="172"/>
      <c r="J20" s="171">
        <f>+J19+J14</f>
        <v>32685131.630000003</v>
      </c>
      <c r="K20" s="172"/>
      <c r="L20" s="171">
        <f>+L19+L14</f>
        <v>9791746.8399999999</v>
      </c>
      <c r="M20" s="173"/>
      <c r="N20" s="174">
        <f>+N14</f>
        <v>15239.025</v>
      </c>
      <c r="O20" s="175">
        <f>+O19+O14</f>
        <v>82339170.790000007</v>
      </c>
    </row>
    <row r="21" spans="1:15" x14ac:dyDescent="0.2">
      <c r="A21" s="97" t="s">
        <v>72</v>
      </c>
      <c r="B21" s="98"/>
      <c r="C21" s="37"/>
      <c r="D21" s="5"/>
      <c r="E21" s="5"/>
      <c r="F21" s="188"/>
      <c r="G21" s="5"/>
      <c r="H21" s="22"/>
      <c r="I21" s="24"/>
      <c r="J21" s="22"/>
      <c r="K21" s="24"/>
      <c r="L21" s="22"/>
      <c r="M21" s="5"/>
      <c r="N21" s="5"/>
      <c r="O21" s="43"/>
    </row>
    <row r="22" spans="1:15" x14ac:dyDescent="0.2">
      <c r="A22" s="9"/>
      <c r="B22" s="10" t="s">
        <v>4</v>
      </c>
      <c r="C22" s="189">
        <v>82.03</v>
      </c>
      <c r="D22" s="12">
        <f>9680+259</f>
        <v>9939</v>
      </c>
      <c r="E22" s="18">
        <f>+D22*C22</f>
        <v>815296.17</v>
      </c>
      <c r="F22" s="190">
        <v>88.59</v>
      </c>
      <c r="G22" s="11">
        <f>94408+5407</f>
        <v>99815</v>
      </c>
      <c r="H22" s="21">
        <f>+G22*F22</f>
        <v>8842610.8499999996</v>
      </c>
      <c r="I22" s="125">
        <f>82143+I27</f>
        <v>86760</v>
      </c>
      <c r="J22" s="21">
        <f>+I22*F22</f>
        <v>7686068.4000000004</v>
      </c>
      <c r="K22" s="29">
        <f>4757+13183+K27</f>
        <v>18495</v>
      </c>
      <c r="L22" s="21">
        <f>+K22*F22</f>
        <v>1638472.05</v>
      </c>
      <c r="M22" s="12">
        <f>+I22+G22+D22+K22</f>
        <v>215009</v>
      </c>
      <c r="N22" s="12">
        <f>+M22/40</f>
        <v>5375.2250000000004</v>
      </c>
      <c r="O22" s="12">
        <f>+E22+H22+J22+L22</f>
        <v>18982447.470000003</v>
      </c>
    </row>
    <row r="23" spans="1:15" x14ac:dyDescent="0.2">
      <c r="A23" s="4"/>
      <c r="B23" s="10" t="s">
        <v>5</v>
      </c>
      <c r="C23" s="189">
        <v>82.03</v>
      </c>
      <c r="D23" s="12">
        <f>16450+443</f>
        <v>16893</v>
      </c>
      <c r="E23" s="18">
        <f>+D23*C23</f>
        <v>1385732.79</v>
      </c>
      <c r="F23" s="190">
        <v>88.59</v>
      </c>
      <c r="G23" s="11">
        <f>131031+6173</f>
        <v>137204</v>
      </c>
      <c r="H23" s="21">
        <f>+G23*F23</f>
        <v>12154902.360000001</v>
      </c>
      <c r="I23" s="125">
        <f>132005+I28</f>
        <v>138141</v>
      </c>
      <c r="J23" s="21">
        <f>+I23*F23</f>
        <v>12237911.190000001</v>
      </c>
      <c r="K23" s="29">
        <f>18862+22316+K28</f>
        <v>42424</v>
      </c>
      <c r="L23" s="21">
        <f>+K23*F23</f>
        <v>3758342.16</v>
      </c>
      <c r="M23" s="12">
        <f>+I23+G23+D23+K23</f>
        <v>334662</v>
      </c>
      <c r="N23" s="12">
        <f>+M23/40</f>
        <v>8366.5499999999993</v>
      </c>
      <c r="O23" s="12">
        <f>+E23+H23+J23+L23</f>
        <v>29536888.500000004</v>
      </c>
    </row>
    <row r="24" spans="1:15" x14ac:dyDescent="0.2">
      <c r="A24" s="4"/>
      <c r="B24" s="10" t="s">
        <v>6</v>
      </c>
      <c r="C24" s="189">
        <v>223.24</v>
      </c>
      <c r="D24" s="12">
        <f>2047+92</f>
        <v>2139</v>
      </c>
      <c r="E24" s="18">
        <f>+D24*C24</f>
        <v>477510.36000000004</v>
      </c>
      <c r="F24" s="190">
        <v>241.09</v>
      </c>
      <c r="G24" s="11">
        <f>21173+2208</f>
        <v>23381</v>
      </c>
      <c r="H24" s="21">
        <f>+G24*F24</f>
        <v>5636925.29</v>
      </c>
      <c r="I24" s="125">
        <f>21471+I29</f>
        <v>23546</v>
      </c>
      <c r="J24" s="21">
        <f>+I24*F24</f>
        <v>5676705.1399999997</v>
      </c>
      <c r="K24" s="29">
        <f>7946+2868+K29</f>
        <v>11564</v>
      </c>
      <c r="L24" s="21">
        <f>+K24*F24</f>
        <v>2787964.7600000002</v>
      </c>
      <c r="M24" s="12">
        <f>+I24+G24+D24+K24</f>
        <v>60630</v>
      </c>
      <c r="N24" s="12">
        <f>+M24/32</f>
        <v>1894.6875</v>
      </c>
      <c r="O24" s="12">
        <f>+E24+H24+J24+L24</f>
        <v>14579105.549999999</v>
      </c>
    </row>
    <row r="25" spans="1:15" x14ac:dyDescent="0.2">
      <c r="A25" s="4"/>
      <c r="B25" s="10" t="s">
        <v>7</v>
      </c>
      <c r="C25" s="189">
        <v>223.24</v>
      </c>
      <c r="D25" s="12">
        <f>377+96</f>
        <v>473</v>
      </c>
      <c r="E25" s="18">
        <f>+D25*C25</f>
        <v>105592.52</v>
      </c>
      <c r="F25" s="190">
        <v>241.09</v>
      </c>
      <c r="G25" s="11">
        <f>3315+1400</f>
        <v>4715</v>
      </c>
      <c r="H25" s="21">
        <f>+G25*F25</f>
        <v>1136739.3500000001</v>
      </c>
      <c r="I25" s="125">
        <f>3229+I30</f>
        <v>4591</v>
      </c>
      <c r="J25" s="21">
        <f>+I25*F25</f>
        <v>1106844.19</v>
      </c>
      <c r="K25" s="29">
        <f>1232+492+K30</f>
        <v>2351</v>
      </c>
      <c r="L25" s="21">
        <f>+K25*F25</f>
        <v>566802.59</v>
      </c>
      <c r="M25" s="12">
        <f>+I25+G25+D25+K25</f>
        <v>12130</v>
      </c>
      <c r="N25" s="12">
        <f>+M25/32</f>
        <v>379.0625</v>
      </c>
      <c r="O25" s="12">
        <f>+E25+H25+J25+L25</f>
        <v>2915978.65</v>
      </c>
    </row>
    <row r="26" spans="1:15" x14ac:dyDescent="0.2">
      <c r="A26" s="4"/>
      <c r="B26" s="156" t="s">
        <v>13</v>
      </c>
      <c r="C26" s="179"/>
      <c r="D26" s="158">
        <f>SUM(D22:D25)</f>
        <v>29444</v>
      </c>
      <c r="E26" s="159">
        <f>SUM(E22:E25)</f>
        <v>2784131.84</v>
      </c>
      <c r="F26" s="191"/>
      <c r="G26" s="161">
        <f t="shared" ref="G26:N26" si="2">SUM(G22:G25)</f>
        <v>265115</v>
      </c>
      <c r="H26" s="162">
        <f t="shared" si="2"/>
        <v>27771177.850000001</v>
      </c>
      <c r="I26" s="192">
        <f t="shared" si="2"/>
        <v>253038</v>
      </c>
      <c r="J26" s="162">
        <f t="shared" si="2"/>
        <v>26707528.920000006</v>
      </c>
      <c r="K26" s="163">
        <f>SUM(K22:K25)</f>
        <v>74834</v>
      </c>
      <c r="L26" s="162">
        <f>SUM(L22:L25)</f>
        <v>8751581.5600000005</v>
      </c>
      <c r="M26" s="158">
        <f t="shared" si="2"/>
        <v>622431</v>
      </c>
      <c r="N26" s="158">
        <f t="shared" si="2"/>
        <v>16015.525</v>
      </c>
      <c r="O26" s="158">
        <f>SUM(O22:O25)</f>
        <v>66014420.170000002</v>
      </c>
    </row>
    <row r="27" spans="1:15" x14ac:dyDescent="0.2">
      <c r="A27" s="4"/>
      <c r="B27" s="10" t="s">
        <v>4</v>
      </c>
      <c r="C27" s="189">
        <f>435.71</f>
        <v>435.71</v>
      </c>
      <c r="D27" s="12">
        <v>259</v>
      </c>
      <c r="E27" s="18">
        <f>+D27*C27</f>
        <v>112848.89</v>
      </c>
      <c r="F27" s="190">
        <v>423.41</v>
      </c>
      <c r="G27" s="11">
        <v>5407</v>
      </c>
      <c r="H27" s="21">
        <f>+G27*F27</f>
        <v>2289377.87</v>
      </c>
      <c r="I27" s="125">
        <v>4617</v>
      </c>
      <c r="J27" s="21">
        <f>+I27*F27</f>
        <v>1954883.9700000002</v>
      </c>
      <c r="K27" s="29">
        <f>131+424</f>
        <v>555</v>
      </c>
      <c r="L27" s="21">
        <f>+K27*F27</f>
        <v>234992.55000000002</v>
      </c>
      <c r="M27" s="12">
        <f>+I27+G27+D27+K27</f>
        <v>10838</v>
      </c>
      <c r="N27" s="12">
        <f>+M27/40</f>
        <v>270.95</v>
      </c>
      <c r="O27" s="12">
        <f>+E27+H27+J27+L27</f>
        <v>4592103.28</v>
      </c>
    </row>
    <row r="28" spans="1:15" x14ac:dyDescent="0.2">
      <c r="A28" s="4"/>
      <c r="B28" s="10" t="s">
        <v>5</v>
      </c>
      <c r="C28" s="189">
        <v>435.71</v>
      </c>
      <c r="D28" s="12">
        <v>443</v>
      </c>
      <c r="E28" s="18">
        <f>+D28*C28</f>
        <v>193019.53</v>
      </c>
      <c r="F28" s="190">
        <v>423.41</v>
      </c>
      <c r="G28" s="11">
        <v>6173</v>
      </c>
      <c r="H28" s="21">
        <f>+G28*F28</f>
        <v>2613709.9300000002</v>
      </c>
      <c r="I28" s="125">
        <v>6136</v>
      </c>
      <c r="J28" s="21">
        <f>+I28*F28</f>
        <v>2598043.7600000002</v>
      </c>
      <c r="K28" s="29">
        <f>583+663</f>
        <v>1246</v>
      </c>
      <c r="L28" s="21">
        <f>+K28*F28</f>
        <v>527568.86</v>
      </c>
      <c r="M28" s="12">
        <f>+I28+G28+D28+K28</f>
        <v>13998</v>
      </c>
      <c r="N28" s="12">
        <f>+M28/40</f>
        <v>349.95</v>
      </c>
      <c r="O28" s="12">
        <f>+E28+H28+J28+L28</f>
        <v>5932342.080000001</v>
      </c>
    </row>
    <row r="29" spans="1:15" x14ac:dyDescent="0.2">
      <c r="A29" s="4"/>
      <c r="B29" s="10" t="s">
        <v>6</v>
      </c>
      <c r="C29" s="189">
        <v>614.73</v>
      </c>
      <c r="D29" s="12">
        <v>92</v>
      </c>
      <c r="E29" s="18">
        <f>+D29*C29</f>
        <v>56555.16</v>
      </c>
      <c r="F29" s="190">
        <f>596.88</f>
        <v>596.88</v>
      </c>
      <c r="G29" s="11">
        <v>2208</v>
      </c>
      <c r="H29" s="21">
        <f>+G29*F29</f>
        <v>1317911.04</v>
      </c>
      <c r="I29" s="125">
        <v>2075</v>
      </c>
      <c r="J29" s="21">
        <f>+I29*F29</f>
        <v>1238526</v>
      </c>
      <c r="K29" s="29">
        <f>504+246</f>
        <v>750</v>
      </c>
      <c r="L29" s="21">
        <f>+K29*F29</f>
        <v>447660</v>
      </c>
      <c r="M29" s="12">
        <f>+I29+G29+D29+K29</f>
        <v>5125</v>
      </c>
      <c r="N29" s="12">
        <f>+M29/32</f>
        <v>160.15625</v>
      </c>
      <c r="O29" s="12">
        <f>+E29+H29+J29+L29</f>
        <v>3060652.2</v>
      </c>
    </row>
    <row r="30" spans="1:15" x14ac:dyDescent="0.2">
      <c r="A30" s="4"/>
      <c r="B30" s="10" t="s">
        <v>7</v>
      </c>
      <c r="C30" s="189">
        <v>614.73</v>
      </c>
      <c r="D30" s="12">
        <v>96</v>
      </c>
      <c r="E30" s="18">
        <f>+D30*C30</f>
        <v>59014.080000000002</v>
      </c>
      <c r="F30" s="190">
        <v>596.88</v>
      </c>
      <c r="G30" s="11">
        <v>1400</v>
      </c>
      <c r="H30" s="21">
        <f>+G30*F30</f>
        <v>835632</v>
      </c>
      <c r="I30" s="29">
        <v>1362</v>
      </c>
      <c r="J30" s="21">
        <f>+I30*F30</f>
        <v>812950.55999999994</v>
      </c>
      <c r="K30" s="29">
        <f>440+187</f>
        <v>627</v>
      </c>
      <c r="L30" s="21">
        <f>+K30*F30</f>
        <v>374243.76</v>
      </c>
      <c r="M30" s="12">
        <f>+I30+G30+D30+K30</f>
        <v>3485</v>
      </c>
      <c r="N30" s="12">
        <f>+M30/32</f>
        <v>108.90625</v>
      </c>
      <c r="O30" s="12">
        <f>+E30+H30+J30+L30</f>
        <v>2081840.4</v>
      </c>
    </row>
    <row r="31" spans="1:15" x14ac:dyDescent="0.2">
      <c r="A31" s="4"/>
      <c r="B31" s="156" t="s">
        <v>14</v>
      </c>
      <c r="C31" s="179"/>
      <c r="D31" s="158">
        <f>SUM(D27:D30)</f>
        <v>890</v>
      </c>
      <c r="E31" s="159">
        <f>SUM(E27:E30)</f>
        <v>421437.66</v>
      </c>
      <c r="F31" s="180"/>
      <c r="G31" s="161">
        <f t="shared" ref="G31:O31" si="3">SUM(G27:G30)</f>
        <v>15188</v>
      </c>
      <c r="H31" s="162">
        <f t="shared" si="3"/>
        <v>7056630.8400000008</v>
      </c>
      <c r="I31" s="163">
        <f t="shared" si="3"/>
        <v>14190</v>
      </c>
      <c r="J31" s="162">
        <f t="shared" si="3"/>
        <v>6604404.29</v>
      </c>
      <c r="K31" s="163">
        <f>SUM(K27:K30)</f>
        <v>3178</v>
      </c>
      <c r="L31" s="162">
        <f>SUM(L27:L30)</f>
        <v>1584465.1700000002</v>
      </c>
      <c r="M31" s="158">
        <f t="shared" si="3"/>
        <v>33446</v>
      </c>
      <c r="N31" s="158">
        <f t="shared" si="3"/>
        <v>889.96249999999998</v>
      </c>
      <c r="O31" s="158">
        <f t="shared" si="3"/>
        <v>15666937.960000003</v>
      </c>
    </row>
    <row r="32" spans="1:15" ht="12.75" thickBot="1" x14ac:dyDescent="0.25">
      <c r="A32" s="6"/>
      <c r="B32" s="165" t="s">
        <v>1</v>
      </c>
      <c r="C32" s="181"/>
      <c r="D32" s="167"/>
      <c r="E32" s="168">
        <f>+E31+E26</f>
        <v>3205569.5</v>
      </c>
      <c r="F32" s="182"/>
      <c r="G32" s="170"/>
      <c r="H32" s="171">
        <f>+H31+H26</f>
        <v>34827808.690000005</v>
      </c>
      <c r="I32" s="172"/>
      <c r="J32" s="171">
        <f>+J31+J26</f>
        <v>33311933.210000005</v>
      </c>
      <c r="K32" s="172"/>
      <c r="L32" s="171">
        <f>+L31+L26</f>
        <v>10336046.73</v>
      </c>
      <c r="M32" s="173"/>
      <c r="N32" s="174">
        <f>+N26</f>
        <v>16015.525</v>
      </c>
      <c r="O32" s="175">
        <f>+O31+O26</f>
        <v>81681358.13000001</v>
      </c>
    </row>
    <row r="33" spans="1:15" x14ac:dyDescent="0.2">
      <c r="A33" s="97" t="s">
        <v>15</v>
      </c>
      <c r="B33" s="98"/>
      <c r="C33" s="37"/>
      <c r="D33" s="5"/>
      <c r="E33" s="17"/>
      <c r="F33" s="26"/>
      <c r="G33" s="5"/>
      <c r="H33" s="20"/>
      <c r="I33" s="28"/>
      <c r="J33" s="23"/>
      <c r="K33" s="28"/>
      <c r="L33" s="23"/>
      <c r="M33" s="5"/>
      <c r="N33" s="5"/>
      <c r="O33" s="43"/>
    </row>
    <row r="34" spans="1:15" x14ac:dyDescent="0.2">
      <c r="A34" s="9"/>
      <c r="B34" s="10" t="s">
        <v>4</v>
      </c>
      <c r="C34" s="38">
        <f t="shared" ref="C34:L37" si="4">+C22-C10</f>
        <v>0</v>
      </c>
      <c r="D34" s="12">
        <f t="shared" si="4"/>
        <v>0</v>
      </c>
      <c r="E34" s="18">
        <f t="shared" si="4"/>
        <v>0</v>
      </c>
      <c r="F34" s="27">
        <f t="shared" si="4"/>
        <v>0</v>
      </c>
      <c r="G34" s="11">
        <f t="shared" si="4"/>
        <v>8059</v>
      </c>
      <c r="H34" s="21">
        <f t="shared" si="4"/>
        <v>713946.80999999959</v>
      </c>
      <c r="I34" s="29">
        <f t="shared" si="4"/>
        <v>12842</v>
      </c>
      <c r="J34" s="21">
        <f t="shared" si="4"/>
        <v>1137672.7800000003</v>
      </c>
      <c r="K34" s="29">
        <f t="shared" si="4"/>
        <v>4987</v>
      </c>
      <c r="L34" s="21">
        <f t="shared" si="4"/>
        <v>530410.81000000006</v>
      </c>
      <c r="M34" s="12">
        <f>+I34+G34+D34+K34</f>
        <v>25888</v>
      </c>
      <c r="N34" s="12">
        <f>+M34/40</f>
        <v>647.20000000000005</v>
      </c>
      <c r="O34" s="12">
        <f>+E34+H34+J34+L34</f>
        <v>2382030.4</v>
      </c>
    </row>
    <row r="35" spans="1:15" x14ac:dyDescent="0.2">
      <c r="A35" s="4"/>
      <c r="B35" s="10" t="s">
        <v>5</v>
      </c>
      <c r="C35" s="38">
        <f t="shared" si="4"/>
        <v>0</v>
      </c>
      <c r="D35" s="12">
        <f t="shared" si="4"/>
        <v>0</v>
      </c>
      <c r="E35" s="18">
        <f t="shared" si="4"/>
        <v>0</v>
      </c>
      <c r="F35" s="27">
        <f t="shared" si="4"/>
        <v>0</v>
      </c>
      <c r="G35" s="11">
        <f t="shared" si="4"/>
        <v>-769</v>
      </c>
      <c r="H35" s="21">
        <f t="shared" si="4"/>
        <v>-68125.709999999031</v>
      </c>
      <c r="I35" s="29">
        <f t="shared" si="4"/>
        <v>3649</v>
      </c>
      <c r="J35" s="21">
        <f t="shared" si="4"/>
        <v>323264.91000000015</v>
      </c>
      <c r="K35" s="29">
        <f t="shared" si="4"/>
        <v>-138</v>
      </c>
      <c r="L35" s="21">
        <f t="shared" si="4"/>
        <v>266981.30000000028</v>
      </c>
      <c r="M35" s="12">
        <f>+I35+G35+D35+K35</f>
        <v>2742</v>
      </c>
      <c r="N35" s="12">
        <f>+M35/40</f>
        <v>68.55</v>
      </c>
      <c r="O35" s="12">
        <f>+E35+H35+J35+L35</f>
        <v>522120.5000000014</v>
      </c>
    </row>
    <row r="36" spans="1:15" x14ac:dyDescent="0.2">
      <c r="A36" s="4"/>
      <c r="B36" s="10" t="s">
        <v>6</v>
      </c>
      <c r="C36" s="38">
        <f t="shared" si="4"/>
        <v>0</v>
      </c>
      <c r="D36" s="12">
        <f t="shared" si="4"/>
        <v>0</v>
      </c>
      <c r="E36" s="18">
        <f t="shared" si="4"/>
        <v>0</v>
      </c>
      <c r="F36" s="27">
        <f t="shared" si="4"/>
        <v>0</v>
      </c>
      <c r="G36" s="11">
        <f t="shared" si="4"/>
        <v>-1092</v>
      </c>
      <c r="H36" s="21">
        <f t="shared" si="4"/>
        <v>-263270.28000000026</v>
      </c>
      <c r="I36" s="29">
        <f t="shared" si="4"/>
        <v>897</v>
      </c>
      <c r="J36" s="21">
        <f t="shared" si="4"/>
        <v>216257.72999999952</v>
      </c>
      <c r="K36" s="29">
        <f t="shared" si="4"/>
        <v>-967</v>
      </c>
      <c r="L36" s="21">
        <f t="shared" si="4"/>
        <v>-9455.679999999702</v>
      </c>
      <c r="M36" s="12">
        <f>+I36+G36+D36+K36</f>
        <v>-1162</v>
      </c>
      <c r="N36" s="12">
        <f>+M36/32</f>
        <v>-36.3125</v>
      </c>
      <c r="O36" s="12">
        <f>+E36+H36+J36+L36</f>
        <v>-56468.230000000447</v>
      </c>
    </row>
    <row r="37" spans="1:15" x14ac:dyDescent="0.2">
      <c r="A37" s="4"/>
      <c r="B37" s="10" t="s">
        <v>7</v>
      </c>
      <c r="C37" s="38">
        <f t="shared" si="4"/>
        <v>0</v>
      </c>
      <c r="D37" s="12">
        <f t="shared" si="4"/>
        <v>0</v>
      </c>
      <c r="E37" s="18">
        <f t="shared" si="4"/>
        <v>0</v>
      </c>
      <c r="F37" s="27">
        <f t="shared" si="4"/>
        <v>0</v>
      </c>
      <c r="G37" s="11">
        <f t="shared" si="4"/>
        <v>1059</v>
      </c>
      <c r="H37" s="21">
        <f t="shared" si="4"/>
        <v>255314.31000000006</v>
      </c>
      <c r="I37" s="29">
        <f t="shared" si="4"/>
        <v>1365</v>
      </c>
      <c r="J37" s="21">
        <f t="shared" si="4"/>
        <v>329087.84999999998</v>
      </c>
      <c r="K37" s="29">
        <f t="shared" si="4"/>
        <v>682</v>
      </c>
      <c r="L37" s="21">
        <f t="shared" si="4"/>
        <v>194215.02999999997</v>
      </c>
      <c r="M37" s="12">
        <f>+I37+G37+D37+K37</f>
        <v>3106</v>
      </c>
      <c r="N37" s="12">
        <f>+M37/32</f>
        <v>97.0625</v>
      </c>
      <c r="O37" s="12">
        <f>+E37+H37+J37+L37</f>
        <v>778617.19</v>
      </c>
    </row>
    <row r="38" spans="1:15" x14ac:dyDescent="0.2">
      <c r="A38" s="4"/>
      <c r="B38" s="156" t="s">
        <v>13</v>
      </c>
      <c r="C38" s="179"/>
      <c r="D38" s="158">
        <f>SUM(D34:D37)</f>
        <v>0</v>
      </c>
      <c r="E38" s="159">
        <f>SUM(E34:E37)</f>
        <v>0</v>
      </c>
      <c r="F38" s="183"/>
      <c r="G38" s="161">
        <f t="shared" ref="G38:O38" si="5">SUM(G34:G37)</f>
        <v>7257</v>
      </c>
      <c r="H38" s="162">
        <f t="shared" si="5"/>
        <v>637865.13000000035</v>
      </c>
      <c r="I38" s="163">
        <f t="shared" si="5"/>
        <v>18753</v>
      </c>
      <c r="J38" s="162">
        <f t="shared" si="5"/>
        <v>2006283.27</v>
      </c>
      <c r="K38" s="163">
        <f>SUM(K34:K37)</f>
        <v>4564</v>
      </c>
      <c r="L38" s="162">
        <f>SUM(L34:L37)</f>
        <v>982151.46000000066</v>
      </c>
      <c r="M38" s="158">
        <f t="shared" si="5"/>
        <v>30574</v>
      </c>
      <c r="N38" s="158">
        <f t="shared" si="5"/>
        <v>776.5</v>
      </c>
      <c r="O38" s="158">
        <f t="shared" si="5"/>
        <v>3626299.8600000008</v>
      </c>
    </row>
    <row r="39" spans="1:15" x14ac:dyDescent="0.2">
      <c r="A39" s="4"/>
      <c r="B39" s="10" t="s">
        <v>4</v>
      </c>
      <c r="C39" s="38">
        <f t="shared" ref="C39:L42" si="6">+C27-C15</f>
        <v>0</v>
      </c>
      <c r="D39" s="12">
        <f t="shared" si="6"/>
        <v>0</v>
      </c>
      <c r="E39" s="18">
        <f t="shared" si="6"/>
        <v>0</v>
      </c>
      <c r="F39" s="27">
        <f t="shared" si="6"/>
        <v>-47.149999999999977</v>
      </c>
      <c r="G39" s="11">
        <f t="shared" si="6"/>
        <v>-1475</v>
      </c>
      <c r="H39" s="21">
        <f t="shared" si="6"/>
        <v>-949016.04999999981</v>
      </c>
      <c r="I39" s="29">
        <f t="shared" si="6"/>
        <v>-706</v>
      </c>
      <c r="J39" s="21">
        <f t="shared" si="6"/>
        <v>-549906.90999999968</v>
      </c>
      <c r="K39" s="29">
        <f t="shared" si="6"/>
        <v>-108</v>
      </c>
      <c r="L39" s="21">
        <f t="shared" si="6"/>
        <v>-53883.179999999964</v>
      </c>
      <c r="M39" s="12">
        <f>+I39+G39+D39+K39</f>
        <v>-2289</v>
      </c>
      <c r="N39" s="12">
        <f>+M39/40</f>
        <v>-57.225000000000001</v>
      </c>
      <c r="O39" s="12">
        <f>+E39+H39+J39+L39</f>
        <v>-1552806.1399999994</v>
      </c>
    </row>
    <row r="40" spans="1:15" x14ac:dyDescent="0.2">
      <c r="A40" s="5"/>
      <c r="B40" s="10" t="s">
        <v>5</v>
      </c>
      <c r="C40" s="38">
        <f t="shared" si="6"/>
        <v>0</v>
      </c>
      <c r="D40" s="12">
        <f t="shared" si="6"/>
        <v>0</v>
      </c>
      <c r="E40" s="18">
        <f t="shared" si="6"/>
        <v>0</v>
      </c>
      <c r="F40" s="27">
        <f t="shared" si="6"/>
        <v>-47.149999999999977</v>
      </c>
      <c r="G40" s="11">
        <f t="shared" si="6"/>
        <v>-1310</v>
      </c>
      <c r="H40" s="21">
        <f t="shared" si="6"/>
        <v>-907490.54999999981</v>
      </c>
      <c r="I40" s="29">
        <f t="shared" si="6"/>
        <v>-969</v>
      </c>
      <c r="J40" s="21">
        <f t="shared" si="6"/>
        <v>-745285.03999999957</v>
      </c>
      <c r="K40" s="29">
        <f t="shared" si="6"/>
        <v>-626</v>
      </c>
      <c r="L40" s="21">
        <f t="shared" si="6"/>
        <v>-288080.26</v>
      </c>
      <c r="M40" s="12">
        <f>+I40+G40+D40+K40</f>
        <v>-2905</v>
      </c>
      <c r="N40" s="12">
        <f>+M40/40</f>
        <v>-72.625</v>
      </c>
      <c r="O40" s="12">
        <f>+E40+H40+J40+L40</f>
        <v>-1940855.8499999994</v>
      </c>
    </row>
    <row r="41" spans="1:15" x14ac:dyDescent="0.2">
      <c r="A41" s="5"/>
      <c r="B41" s="10" t="s">
        <v>6</v>
      </c>
      <c r="C41" s="38">
        <f t="shared" si="6"/>
        <v>0</v>
      </c>
      <c r="D41" s="12">
        <f t="shared" si="6"/>
        <v>0</v>
      </c>
      <c r="E41" s="18">
        <f t="shared" si="6"/>
        <v>0</v>
      </c>
      <c r="F41" s="27">
        <f t="shared" si="6"/>
        <v>-67.019999999999982</v>
      </c>
      <c r="G41" s="11">
        <f t="shared" si="6"/>
        <v>-877</v>
      </c>
      <c r="H41" s="21">
        <f t="shared" si="6"/>
        <v>-730220.46</v>
      </c>
      <c r="I41" s="29">
        <f t="shared" si="6"/>
        <v>25</v>
      </c>
      <c r="J41" s="21">
        <f t="shared" si="6"/>
        <v>-122469</v>
      </c>
      <c r="K41" s="29">
        <f t="shared" si="6"/>
        <v>-261</v>
      </c>
      <c r="L41" s="21">
        <f t="shared" si="6"/>
        <v>-173832.03000000003</v>
      </c>
      <c r="M41" s="12">
        <f>+I41+G41+D41+K41</f>
        <v>-1113</v>
      </c>
      <c r="N41" s="12">
        <f>+M41/32</f>
        <v>-34.78125</v>
      </c>
      <c r="O41" s="12">
        <f>+E41+H41+J41+L41</f>
        <v>-1026521.49</v>
      </c>
    </row>
    <row r="42" spans="1:15" x14ac:dyDescent="0.2">
      <c r="A42" s="5"/>
      <c r="B42" s="10" t="s">
        <v>7</v>
      </c>
      <c r="C42" s="38">
        <f t="shared" si="6"/>
        <v>0</v>
      </c>
      <c r="D42" s="12">
        <f t="shared" si="6"/>
        <v>0</v>
      </c>
      <c r="E42" s="18">
        <f t="shared" si="6"/>
        <v>0</v>
      </c>
      <c r="F42" s="27">
        <f t="shared" si="6"/>
        <v>-67.019999999999982</v>
      </c>
      <c r="G42" s="11">
        <f t="shared" si="6"/>
        <v>322</v>
      </c>
      <c r="H42" s="21">
        <f t="shared" si="6"/>
        <v>119947.80000000005</v>
      </c>
      <c r="I42" s="29">
        <f t="shared" si="6"/>
        <v>195</v>
      </c>
      <c r="J42" s="21">
        <f t="shared" si="6"/>
        <v>38179.260000000009</v>
      </c>
      <c r="K42" s="29">
        <f t="shared" si="6"/>
        <v>145</v>
      </c>
      <c r="L42" s="21">
        <f t="shared" si="6"/>
        <v>77943.900000000023</v>
      </c>
      <c r="M42" s="12">
        <f>+I42+G42+D42+K42</f>
        <v>662</v>
      </c>
      <c r="N42" s="12">
        <f>+M42/32</f>
        <v>20.6875</v>
      </c>
      <c r="O42" s="12">
        <f>+E42+H42+J42+L42</f>
        <v>236070.96000000008</v>
      </c>
    </row>
    <row r="43" spans="1:15" x14ac:dyDescent="0.2">
      <c r="A43" s="5"/>
      <c r="B43" s="156" t="s">
        <v>14</v>
      </c>
      <c r="C43" s="179"/>
      <c r="D43" s="158">
        <f>SUM(D39:D42)</f>
        <v>0</v>
      </c>
      <c r="E43" s="159">
        <f>SUM(E39:E42)</f>
        <v>0</v>
      </c>
      <c r="F43" s="183"/>
      <c r="G43" s="161">
        <f t="shared" ref="G43:O43" si="7">SUM(G39:G42)</f>
        <v>-3340</v>
      </c>
      <c r="H43" s="162">
        <f t="shared" si="7"/>
        <v>-2466779.2599999998</v>
      </c>
      <c r="I43" s="163">
        <f t="shared" si="7"/>
        <v>-1455</v>
      </c>
      <c r="J43" s="162">
        <f t="shared" si="7"/>
        <v>-1379481.6899999992</v>
      </c>
      <c r="K43" s="163">
        <f>SUM(K39:K42)</f>
        <v>-850</v>
      </c>
      <c r="L43" s="162">
        <f>SUM(L39:L42)</f>
        <v>-437851.56999999995</v>
      </c>
      <c r="M43" s="158">
        <f t="shared" si="7"/>
        <v>-5645</v>
      </c>
      <c r="N43" s="158">
        <f t="shared" si="7"/>
        <v>-143.94374999999999</v>
      </c>
      <c r="O43" s="158">
        <f t="shared" si="7"/>
        <v>-4284112.5199999986</v>
      </c>
    </row>
    <row r="44" spans="1:15" ht="12.75" thickBot="1" x14ac:dyDescent="0.25">
      <c r="A44" s="14"/>
      <c r="B44" s="165" t="s">
        <v>1</v>
      </c>
      <c r="C44" s="181"/>
      <c r="D44" s="173"/>
      <c r="E44" s="173">
        <f>+E43+E38</f>
        <v>0</v>
      </c>
      <c r="F44" s="184"/>
      <c r="G44" s="185"/>
      <c r="H44" s="186">
        <f>+H43+H38</f>
        <v>-1828914.1299999994</v>
      </c>
      <c r="I44" s="187"/>
      <c r="J44" s="186">
        <f>+J43+J38</f>
        <v>626801.58000000077</v>
      </c>
      <c r="K44" s="187"/>
      <c r="L44" s="186">
        <f>+L43+L38</f>
        <v>544299.89000000071</v>
      </c>
      <c r="M44" s="173"/>
      <c r="N44" s="174"/>
      <c r="O44" s="174">
        <f>+O43+O38</f>
        <v>-657812.65999999782</v>
      </c>
    </row>
    <row r="45" spans="1:15" x14ac:dyDescent="0.2">
      <c r="E45" s="58">
        <f>+E32-E20</f>
        <v>0</v>
      </c>
      <c r="H45" s="58">
        <f>+H32-H20</f>
        <v>-1828914.1299999952</v>
      </c>
      <c r="I45" s="56"/>
      <c r="J45" s="58">
        <f>+J32-J20</f>
        <v>626801.58000000194</v>
      </c>
      <c r="K45" s="56"/>
      <c r="L45" s="58">
        <f>+L32-L20</f>
        <v>544299.8900000006</v>
      </c>
      <c r="M45" s="56"/>
      <c r="N45" s="56"/>
      <c r="O45" s="113">
        <f>SUM(E45:M45)</f>
        <v>-657812.6599999927</v>
      </c>
    </row>
    <row r="46" spans="1:15" x14ac:dyDescent="0.2">
      <c r="I46" s="56"/>
      <c r="J46" s="56"/>
      <c r="K46" s="56"/>
      <c r="L46" s="56"/>
      <c r="M46" s="56"/>
      <c r="N46" s="56"/>
      <c r="O46" s="113"/>
    </row>
    <row r="47" spans="1:15" ht="15.75" x14ac:dyDescent="0.25">
      <c r="A47" s="306" t="s">
        <v>38</v>
      </c>
      <c r="B47" s="306"/>
      <c r="C47" s="306"/>
      <c r="D47" s="306"/>
      <c r="E47" s="306"/>
      <c r="F47" s="306"/>
      <c r="G47" s="306"/>
      <c r="H47" s="306"/>
      <c r="I47" s="306"/>
      <c r="J47" s="306"/>
      <c r="K47" s="306"/>
      <c r="L47" s="306"/>
      <c r="M47" s="306"/>
      <c r="N47" s="306"/>
      <c r="O47" s="306"/>
    </row>
    <row r="48" spans="1:15" x14ac:dyDescent="0.2">
      <c r="A48" s="302" t="s">
        <v>69</v>
      </c>
      <c r="B48" s="302"/>
      <c r="C48" s="302"/>
      <c r="D48" s="302"/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2"/>
    </row>
    <row r="49" spans="1:15" x14ac:dyDescent="0.2">
      <c r="A49" s="5"/>
      <c r="B49" s="99"/>
      <c r="C49" s="307" t="s">
        <v>46</v>
      </c>
      <c r="D49" s="308"/>
      <c r="E49" s="309"/>
      <c r="F49" s="83"/>
      <c r="G49" s="308" t="s">
        <v>39</v>
      </c>
      <c r="H49" s="308"/>
      <c r="I49" s="307" t="s">
        <v>40</v>
      </c>
      <c r="J49" s="309"/>
      <c r="K49" s="308" t="s">
        <v>47</v>
      </c>
      <c r="L49" s="308"/>
      <c r="M49" s="307" t="s">
        <v>10</v>
      </c>
      <c r="N49" s="308"/>
      <c r="O49" s="114"/>
    </row>
    <row r="50" spans="1:15" ht="12.75" thickBot="1" x14ac:dyDescent="0.25">
      <c r="A50" s="6" t="s">
        <v>20</v>
      </c>
      <c r="B50" s="100" t="s">
        <v>48</v>
      </c>
      <c r="C50" s="101" t="s">
        <v>9</v>
      </c>
      <c r="D50" s="8" t="s">
        <v>8</v>
      </c>
      <c r="E50" s="19" t="s">
        <v>10</v>
      </c>
      <c r="F50" s="102" t="s">
        <v>9</v>
      </c>
      <c r="G50" s="8" t="s">
        <v>8</v>
      </c>
      <c r="H50" s="8" t="s">
        <v>10</v>
      </c>
      <c r="I50" s="103" t="s">
        <v>8</v>
      </c>
      <c r="J50" s="19" t="s">
        <v>10</v>
      </c>
      <c r="K50" s="8" t="s">
        <v>8</v>
      </c>
      <c r="L50" s="8" t="s">
        <v>10</v>
      </c>
      <c r="M50" s="103" t="s">
        <v>8</v>
      </c>
      <c r="N50" s="104" t="s">
        <v>10</v>
      </c>
      <c r="O50" s="114"/>
    </row>
    <row r="51" spans="1:15" s="5" customFormat="1" x14ac:dyDescent="0.2">
      <c r="A51" s="97" t="s">
        <v>29</v>
      </c>
      <c r="B51" s="59"/>
      <c r="C51" s="31"/>
      <c r="D51" s="60"/>
      <c r="E51" s="84"/>
      <c r="G51" s="60"/>
      <c r="H51" s="50"/>
      <c r="I51" s="24"/>
      <c r="J51" s="117"/>
      <c r="K51" s="50"/>
      <c r="L51" s="50"/>
      <c r="M51" s="24"/>
      <c r="N51" s="17"/>
      <c r="O51" s="43"/>
    </row>
    <row r="52" spans="1:15" x14ac:dyDescent="0.2">
      <c r="A52" s="59" t="s">
        <v>21</v>
      </c>
      <c r="B52" s="47" t="s">
        <v>22</v>
      </c>
      <c r="C52" s="63">
        <v>2.3199999999999998</v>
      </c>
      <c r="D52" s="49">
        <f>+D22+D23-D27-D28</f>
        <v>26130</v>
      </c>
      <c r="E52" s="33">
        <f>+D52*C52</f>
        <v>60621.599999999999</v>
      </c>
      <c r="F52" s="61">
        <v>2.3199999999999998</v>
      </c>
      <c r="G52" s="49">
        <f>+G22+G23-G27-G28</f>
        <v>225439</v>
      </c>
      <c r="H52" s="40">
        <f>+G52*F52</f>
        <v>523018.48</v>
      </c>
      <c r="I52" s="53">
        <f>+I22+I23-I27-I28</f>
        <v>214148</v>
      </c>
      <c r="J52" s="118">
        <f>+I52*F52</f>
        <v>496823.36</v>
      </c>
      <c r="K52" s="49">
        <f>+K22+K23-K27-K28</f>
        <v>59118</v>
      </c>
      <c r="L52" s="40">
        <f>+K52*F52</f>
        <v>137153.75999999998</v>
      </c>
      <c r="M52" s="34">
        <f>D52+G52+I52+K52</f>
        <v>524835</v>
      </c>
      <c r="N52" s="40">
        <f>+E52+H52+J52+L52</f>
        <v>1217617.2</v>
      </c>
      <c r="O52" s="43"/>
    </row>
    <row r="53" spans="1:15" x14ac:dyDescent="0.2">
      <c r="A53" s="59" t="s">
        <v>41</v>
      </c>
      <c r="B53" s="48" t="s">
        <v>44</v>
      </c>
      <c r="C53" s="64">
        <v>0</v>
      </c>
      <c r="D53" s="51">
        <v>0</v>
      </c>
      <c r="E53" s="35">
        <f t="shared" ref="E53:E59" si="8">+D53*C53</f>
        <v>0</v>
      </c>
      <c r="F53" s="62">
        <v>5.74</v>
      </c>
      <c r="G53" s="51">
        <f>+G52</f>
        <v>225439</v>
      </c>
      <c r="H53" s="41">
        <f t="shared" ref="H53:H59" si="9">+G53*F53</f>
        <v>1294019.8600000001</v>
      </c>
      <c r="I53" s="54">
        <f>+I52</f>
        <v>214148</v>
      </c>
      <c r="J53" s="119">
        <f t="shared" ref="J53:J59" si="10">+I53*F53</f>
        <v>1229209.52</v>
      </c>
      <c r="K53" s="51">
        <f>+K52</f>
        <v>59118</v>
      </c>
      <c r="L53" s="41">
        <f t="shared" ref="L53:L59" si="11">+K53*F53</f>
        <v>339337.32</v>
      </c>
      <c r="M53" s="36">
        <f t="shared" ref="M53:M59" si="12">D53+G53+I53+K53</f>
        <v>498705</v>
      </c>
      <c r="N53" s="41">
        <f t="shared" ref="N53:N59" si="13">+E53+H53+J53+L53</f>
        <v>2862566.6999999997</v>
      </c>
      <c r="O53" s="43"/>
    </row>
    <row r="54" spans="1:15" x14ac:dyDescent="0.2">
      <c r="A54" s="59" t="s">
        <v>42</v>
      </c>
      <c r="B54" s="48" t="s">
        <v>43</v>
      </c>
      <c r="C54" s="64">
        <v>0</v>
      </c>
      <c r="D54" s="51">
        <v>0</v>
      </c>
      <c r="E54" s="35">
        <f t="shared" si="8"/>
        <v>0</v>
      </c>
      <c r="F54" s="62">
        <v>3.54</v>
      </c>
      <c r="G54" s="51">
        <f>+G53</f>
        <v>225439</v>
      </c>
      <c r="H54" s="41">
        <f t="shared" si="9"/>
        <v>798054.06</v>
      </c>
      <c r="I54" s="54">
        <f>+I53</f>
        <v>214148</v>
      </c>
      <c r="J54" s="119">
        <f t="shared" si="10"/>
        <v>758083.92</v>
      </c>
      <c r="K54" s="51">
        <f>+K53</f>
        <v>59118</v>
      </c>
      <c r="L54" s="41">
        <f t="shared" si="11"/>
        <v>209277.72</v>
      </c>
      <c r="M54" s="36">
        <f t="shared" si="12"/>
        <v>498705</v>
      </c>
      <c r="N54" s="41">
        <f t="shared" si="13"/>
        <v>1765415.7</v>
      </c>
      <c r="O54" s="43"/>
    </row>
    <row r="55" spans="1:15" x14ac:dyDescent="0.2">
      <c r="A55" s="59" t="s">
        <v>17</v>
      </c>
      <c r="B55" s="48" t="s">
        <v>23</v>
      </c>
      <c r="C55" s="64">
        <v>4.0199999999999996</v>
      </c>
      <c r="D55" s="51">
        <f>+D52</f>
        <v>26130</v>
      </c>
      <c r="E55" s="35">
        <f t="shared" si="8"/>
        <v>105042.59999999999</v>
      </c>
      <c r="F55" s="62">
        <v>4.42</v>
      </c>
      <c r="G55" s="51">
        <f>+G52</f>
        <v>225439</v>
      </c>
      <c r="H55" s="41">
        <f t="shared" si="9"/>
        <v>996440.38</v>
      </c>
      <c r="I55" s="54">
        <f>+I52</f>
        <v>214148</v>
      </c>
      <c r="J55" s="119">
        <f t="shared" si="10"/>
        <v>946534.16</v>
      </c>
      <c r="K55" s="51">
        <f>+K52</f>
        <v>59118</v>
      </c>
      <c r="L55" s="41">
        <f t="shared" si="11"/>
        <v>261301.56</v>
      </c>
      <c r="M55" s="36">
        <f t="shared" si="12"/>
        <v>524835</v>
      </c>
      <c r="N55" s="41">
        <f t="shared" si="13"/>
        <v>2309318.7000000002</v>
      </c>
      <c r="O55" s="43"/>
    </row>
    <row r="56" spans="1:15" x14ac:dyDescent="0.2">
      <c r="A56" s="59" t="s">
        <v>24</v>
      </c>
      <c r="B56" s="55" t="s">
        <v>45</v>
      </c>
      <c r="C56" s="64">
        <v>2.44</v>
      </c>
      <c r="D56" s="51">
        <f>+D55</f>
        <v>26130</v>
      </c>
      <c r="E56" s="35">
        <f t="shared" si="8"/>
        <v>63757.2</v>
      </c>
      <c r="F56" s="62">
        <v>2.44</v>
      </c>
      <c r="G56" s="51">
        <f>+G55</f>
        <v>225439</v>
      </c>
      <c r="H56" s="41">
        <f t="shared" si="9"/>
        <v>550071.16</v>
      </c>
      <c r="I56" s="54">
        <f>+I55</f>
        <v>214148</v>
      </c>
      <c r="J56" s="119">
        <f t="shared" si="10"/>
        <v>522521.12</v>
      </c>
      <c r="K56" s="51">
        <f>+K55</f>
        <v>59118</v>
      </c>
      <c r="L56" s="41">
        <f t="shared" si="11"/>
        <v>144247.91999999998</v>
      </c>
      <c r="M56" s="36">
        <f t="shared" si="12"/>
        <v>524835</v>
      </c>
      <c r="N56" s="41">
        <f t="shared" si="13"/>
        <v>1280597.3999999999</v>
      </c>
      <c r="O56" s="43"/>
    </row>
    <row r="57" spans="1:15" x14ac:dyDescent="0.2">
      <c r="A57" s="59" t="s">
        <v>18</v>
      </c>
      <c r="B57" s="48" t="s">
        <v>25</v>
      </c>
      <c r="C57" s="64">
        <v>10</v>
      </c>
      <c r="D57" s="51">
        <f>+D56</f>
        <v>26130</v>
      </c>
      <c r="E57" s="35">
        <f t="shared" si="8"/>
        <v>261300</v>
      </c>
      <c r="F57" s="62">
        <v>10.4</v>
      </c>
      <c r="G57" s="51">
        <f>+G56</f>
        <v>225439</v>
      </c>
      <c r="H57" s="41">
        <f t="shared" si="9"/>
        <v>2344565.6</v>
      </c>
      <c r="I57" s="54">
        <f>+I56</f>
        <v>214148</v>
      </c>
      <c r="J57" s="119">
        <f t="shared" si="10"/>
        <v>2227139.2000000002</v>
      </c>
      <c r="K57" s="51">
        <f>+K56</f>
        <v>59118</v>
      </c>
      <c r="L57" s="41">
        <f t="shared" si="11"/>
        <v>614827.20000000007</v>
      </c>
      <c r="M57" s="36">
        <f t="shared" si="12"/>
        <v>524835</v>
      </c>
      <c r="N57" s="41">
        <f t="shared" si="13"/>
        <v>5447832.0000000009</v>
      </c>
      <c r="O57" s="43"/>
    </row>
    <row r="58" spans="1:15" x14ac:dyDescent="0.2">
      <c r="A58" s="59" t="s">
        <v>19</v>
      </c>
      <c r="B58" s="48" t="s">
        <v>26</v>
      </c>
      <c r="C58" s="64">
        <v>13.75</v>
      </c>
      <c r="D58" s="51">
        <f>+D57</f>
        <v>26130</v>
      </c>
      <c r="E58" s="35">
        <f t="shared" si="8"/>
        <v>359287.5</v>
      </c>
      <c r="F58" s="62">
        <v>14.3</v>
      </c>
      <c r="G58" s="51">
        <f>+G57</f>
        <v>225439</v>
      </c>
      <c r="H58" s="41">
        <f t="shared" si="9"/>
        <v>3223777.7</v>
      </c>
      <c r="I58" s="54">
        <f>+I57</f>
        <v>214148</v>
      </c>
      <c r="J58" s="119">
        <f t="shared" si="10"/>
        <v>3062316.4000000004</v>
      </c>
      <c r="K58" s="51">
        <f>+K57</f>
        <v>59118</v>
      </c>
      <c r="L58" s="41">
        <f t="shared" si="11"/>
        <v>845387.4</v>
      </c>
      <c r="M58" s="36">
        <f t="shared" si="12"/>
        <v>524835</v>
      </c>
      <c r="N58" s="41">
        <f t="shared" si="13"/>
        <v>7490769.0000000009</v>
      </c>
      <c r="O58" s="43"/>
    </row>
    <row r="59" spans="1:15" x14ac:dyDescent="0.2">
      <c r="A59" s="59" t="s">
        <v>27</v>
      </c>
      <c r="B59" s="66" t="s">
        <v>28</v>
      </c>
      <c r="C59" s="81">
        <v>7.5</v>
      </c>
      <c r="D59" s="68">
        <f>+D58</f>
        <v>26130</v>
      </c>
      <c r="E59" s="85">
        <f t="shared" si="8"/>
        <v>195975</v>
      </c>
      <c r="F59" s="67">
        <v>7.8</v>
      </c>
      <c r="G59" s="68">
        <f>+G58</f>
        <v>225439</v>
      </c>
      <c r="H59" s="69">
        <f t="shared" si="9"/>
        <v>1758424.2</v>
      </c>
      <c r="I59" s="87">
        <f>+I58</f>
        <v>214148</v>
      </c>
      <c r="J59" s="120">
        <f t="shared" si="10"/>
        <v>1670354.4</v>
      </c>
      <c r="K59" s="68">
        <f>+K58</f>
        <v>59118</v>
      </c>
      <c r="L59" s="69">
        <f t="shared" si="11"/>
        <v>461120.39999999997</v>
      </c>
      <c r="M59" s="91">
        <f t="shared" si="12"/>
        <v>524835</v>
      </c>
      <c r="N59" s="69">
        <f t="shared" si="13"/>
        <v>4085873.9999999995</v>
      </c>
      <c r="O59" s="43"/>
    </row>
    <row r="60" spans="1:15" s="65" customFormat="1" x14ac:dyDescent="0.2">
      <c r="A60" s="71" t="s">
        <v>34</v>
      </c>
      <c r="B60" s="72"/>
      <c r="C60" s="193">
        <f>SUM(C52:C59)</f>
        <v>40.03</v>
      </c>
      <c r="D60" s="105"/>
      <c r="E60" s="86">
        <f>SUM(E52:E59)</f>
        <v>1045983.8999999999</v>
      </c>
      <c r="F60" s="73">
        <f>SUM(F52:F59)</f>
        <v>50.960000000000008</v>
      </c>
      <c r="G60" s="74"/>
      <c r="H60" s="75">
        <f>SUM(H52:H59)</f>
        <v>11488371.440000001</v>
      </c>
      <c r="I60" s="88"/>
      <c r="J60" s="93">
        <f>SUM(J52:J59)</f>
        <v>10912982.08</v>
      </c>
      <c r="K60" s="74"/>
      <c r="L60" s="75">
        <f>SUM(L52:L59)</f>
        <v>3012653.28</v>
      </c>
      <c r="M60" s="88"/>
      <c r="N60" s="93">
        <f>SUM(N52:N59)</f>
        <v>26459990.699999999</v>
      </c>
      <c r="O60" s="115"/>
    </row>
    <row r="61" spans="1:15" x14ac:dyDescent="0.2">
      <c r="A61" s="97" t="s">
        <v>31</v>
      </c>
      <c r="B61" s="32"/>
      <c r="C61" s="63"/>
      <c r="D61" s="70"/>
      <c r="E61" s="106"/>
      <c r="F61" s="107"/>
      <c r="G61" s="108"/>
      <c r="H61" s="44"/>
      <c r="I61" s="109"/>
      <c r="J61" s="118"/>
      <c r="K61" s="108"/>
      <c r="L61" s="44"/>
      <c r="M61" s="110"/>
      <c r="N61" s="44"/>
      <c r="O61" s="43"/>
    </row>
    <row r="62" spans="1:15" x14ac:dyDescent="0.2">
      <c r="A62" s="59" t="s">
        <v>21</v>
      </c>
      <c r="B62" s="48" t="s">
        <v>22</v>
      </c>
      <c r="C62" s="64">
        <v>2.3199999999999998</v>
      </c>
      <c r="D62" s="51">
        <f>+D24+D25-D29-D30</f>
        <v>2424</v>
      </c>
      <c r="E62" s="35">
        <f t="shared" ref="E62:E69" si="14">+D62*C62</f>
        <v>5623.6799999999994</v>
      </c>
      <c r="F62" s="62">
        <v>2.3199999999999998</v>
      </c>
      <c r="G62" s="51">
        <f>+G24+G25-G29-G30</f>
        <v>24488</v>
      </c>
      <c r="H62" s="41">
        <f t="shared" ref="H62:H69" si="15">+G62*F62</f>
        <v>56812.159999999996</v>
      </c>
      <c r="I62" s="54">
        <f>+I24+I25-I29-I30</f>
        <v>24700</v>
      </c>
      <c r="J62" s="119">
        <f t="shared" ref="J62:J69" si="16">+I62*F62</f>
        <v>57303.999999999993</v>
      </c>
      <c r="K62" s="51">
        <f>+K24+K25-K29-K30</f>
        <v>12538</v>
      </c>
      <c r="L62" s="41">
        <f t="shared" ref="L62:L69" si="17">+K62*F62</f>
        <v>29088.159999999996</v>
      </c>
      <c r="M62" s="36">
        <f t="shared" ref="M62:M69" si="18">D62+G62+I62+K62</f>
        <v>64150</v>
      </c>
      <c r="N62" s="41">
        <f t="shared" ref="N62:N69" si="19">+E62+H62+J62+L62</f>
        <v>148828</v>
      </c>
      <c r="O62" s="43"/>
    </row>
    <row r="63" spans="1:15" x14ac:dyDescent="0.2">
      <c r="A63" s="59" t="s">
        <v>41</v>
      </c>
      <c r="B63" s="48" t="s">
        <v>44</v>
      </c>
      <c r="C63" s="64">
        <v>0</v>
      </c>
      <c r="D63" s="51">
        <v>0</v>
      </c>
      <c r="E63" s="35">
        <f t="shared" si="14"/>
        <v>0</v>
      </c>
      <c r="F63" s="62">
        <v>0</v>
      </c>
      <c r="G63" s="51">
        <v>0</v>
      </c>
      <c r="H63" s="41">
        <f t="shared" si="15"/>
        <v>0</v>
      </c>
      <c r="I63" s="54">
        <v>0</v>
      </c>
      <c r="J63" s="119">
        <f t="shared" si="16"/>
        <v>0</v>
      </c>
      <c r="K63" s="51">
        <v>0</v>
      </c>
      <c r="L63" s="41">
        <f t="shared" si="17"/>
        <v>0</v>
      </c>
      <c r="M63" s="36">
        <f t="shared" si="18"/>
        <v>0</v>
      </c>
      <c r="N63" s="41">
        <f t="shared" si="19"/>
        <v>0</v>
      </c>
      <c r="O63" s="43"/>
    </row>
    <row r="64" spans="1:15" x14ac:dyDescent="0.2">
      <c r="A64" s="59" t="s">
        <v>42</v>
      </c>
      <c r="B64" s="48" t="s">
        <v>43</v>
      </c>
      <c r="C64" s="64">
        <v>0</v>
      </c>
      <c r="D64" s="51">
        <v>0</v>
      </c>
      <c r="E64" s="35">
        <f t="shared" si="14"/>
        <v>0</v>
      </c>
      <c r="F64" s="62">
        <v>3.54</v>
      </c>
      <c r="G64" s="51">
        <f>+G62</f>
        <v>24488</v>
      </c>
      <c r="H64" s="41">
        <f t="shared" si="15"/>
        <v>86687.52</v>
      </c>
      <c r="I64" s="54">
        <f>+I62</f>
        <v>24700</v>
      </c>
      <c r="J64" s="119">
        <f t="shared" si="16"/>
        <v>87438</v>
      </c>
      <c r="K64" s="51">
        <f>+K62</f>
        <v>12538</v>
      </c>
      <c r="L64" s="41">
        <f t="shared" si="17"/>
        <v>44384.520000000004</v>
      </c>
      <c r="M64" s="36">
        <f t="shared" si="18"/>
        <v>61726</v>
      </c>
      <c r="N64" s="41">
        <f t="shared" si="19"/>
        <v>218510.04000000004</v>
      </c>
      <c r="O64" s="43"/>
    </row>
    <row r="65" spans="1:15" x14ac:dyDescent="0.2">
      <c r="A65" s="59" t="s">
        <v>17</v>
      </c>
      <c r="B65" s="48" t="s">
        <v>23</v>
      </c>
      <c r="C65" s="64">
        <v>11.15</v>
      </c>
      <c r="D65" s="51">
        <f>+D62</f>
        <v>2424</v>
      </c>
      <c r="E65" s="35">
        <f t="shared" si="14"/>
        <v>27027.600000000002</v>
      </c>
      <c r="F65" s="62">
        <v>12.05</v>
      </c>
      <c r="G65" s="51">
        <f>+G62</f>
        <v>24488</v>
      </c>
      <c r="H65" s="41">
        <f t="shared" si="15"/>
        <v>295080.40000000002</v>
      </c>
      <c r="I65" s="54">
        <f>+I62</f>
        <v>24700</v>
      </c>
      <c r="J65" s="119">
        <f t="shared" si="16"/>
        <v>297635</v>
      </c>
      <c r="K65" s="51">
        <f>+K62</f>
        <v>12538</v>
      </c>
      <c r="L65" s="41">
        <f t="shared" si="17"/>
        <v>151082.90000000002</v>
      </c>
      <c r="M65" s="36">
        <f t="shared" si="18"/>
        <v>64150</v>
      </c>
      <c r="N65" s="41">
        <f t="shared" si="19"/>
        <v>770825.9</v>
      </c>
      <c r="O65" s="43"/>
    </row>
    <row r="66" spans="1:15" x14ac:dyDescent="0.2">
      <c r="A66" s="59" t="s">
        <v>24</v>
      </c>
      <c r="B66" s="55" t="s">
        <v>45</v>
      </c>
      <c r="C66" s="64">
        <v>2.44</v>
      </c>
      <c r="D66" s="51">
        <f>+D65</f>
        <v>2424</v>
      </c>
      <c r="E66" s="35">
        <f t="shared" si="14"/>
        <v>5914.5599999999995</v>
      </c>
      <c r="F66" s="62">
        <v>2.44</v>
      </c>
      <c r="G66" s="51">
        <f>+G65</f>
        <v>24488</v>
      </c>
      <c r="H66" s="41">
        <f t="shared" si="15"/>
        <v>59750.720000000001</v>
      </c>
      <c r="I66" s="54">
        <f>+I65</f>
        <v>24700</v>
      </c>
      <c r="J66" s="119">
        <f t="shared" si="16"/>
        <v>60268</v>
      </c>
      <c r="K66" s="51">
        <f>+K65</f>
        <v>12538</v>
      </c>
      <c r="L66" s="41">
        <f t="shared" si="17"/>
        <v>30592.719999999998</v>
      </c>
      <c r="M66" s="36">
        <f t="shared" si="18"/>
        <v>64150</v>
      </c>
      <c r="N66" s="41">
        <f t="shared" si="19"/>
        <v>156526</v>
      </c>
      <c r="O66" s="43"/>
    </row>
    <row r="67" spans="1:15" x14ac:dyDescent="0.2">
      <c r="A67" s="59" t="s">
        <v>18</v>
      </c>
      <c r="B67" s="48" t="s">
        <v>25</v>
      </c>
      <c r="C67" s="64">
        <v>10</v>
      </c>
      <c r="D67" s="51">
        <f>+D66</f>
        <v>2424</v>
      </c>
      <c r="E67" s="35">
        <f t="shared" si="14"/>
        <v>24240</v>
      </c>
      <c r="F67" s="62">
        <v>10.4</v>
      </c>
      <c r="G67" s="51">
        <f>+G66</f>
        <v>24488</v>
      </c>
      <c r="H67" s="41">
        <f t="shared" si="15"/>
        <v>254675.20000000001</v>
      </c>
      <c r="I67" s="54">
        <f>+I66</f>
        <v>24700</v>
      </c>
      <c r="J67" s="119">
        <f t="shared" si="16"/>
        <v>256880</v>
      </c>
      <c r="K67" s="51">
        <f>+K66</f>
        <v>12538</v>
      </c>
      <c r="L67" s="41">
        <f t="shared" si="17"/>
        <v>130395.20000000001</v>
      </c>
      <c r="M67" s="36">
        <f t="shared" si="18"/>
        <v>64150</v>
      </c>
      <c r="N67" s="41">
        <f t="shared" si="19"/>
        <v>666190.39999999991</v>
      </c>
      <c r="O67" s="43"/>
    </row>
    <row r="68" spans="1:15" x14ac:dyDescent="0.2">
      <c r="A68" s="59" t="s">
        <v>19</v>
      </c>
      <c r="B68" s="48" t="s">
        <v>26</v>
      </c>
      <c r="C68" s="64">
        <v>13.75</v>
      </c>
      <c r="D68" s="51">
        <f>+D67</f>
        <v>2424</v>
      </c>
      <c r="E68" s="35">
        <f t="shared" si="14"/>
        <v>33330</v>
      </c>
      <c r="F68" s="62">
        <v>14.3</v>
      </c>
      <c r="G68" s="51">
        <f>+G67</f>
        <v>24488</v>
      </c>
      <c r="H68" s="41">
        <f t="shared" si="15"/>
        <v>350178.4</v>
      </c>
      <c r="I68" s="54">
        <f>+I67</f>
        <v>24700</v>
      </c>
      <c r="J68" s="119">
        <f t="shared" si="16"/>
        <v>353210</v>
      </c>
      <c r="K68" s="51">
        <f>+K67</f>
        <v>12538</v>
      </c>
      <c r="L68" s="41">
        <f t="shared" si="17"/>
        <v>179293.40000000002</v>
      </c>
      <c r="M68" s="36">
        <f t="shared" si="18"/>
        <v>64150</v>
      </c>
      <c r="N68" s="41">
        <f t="shared" si="19"/>
        <v>916011.8</v>
      </c>
      <c r="O68" s="43"/>
    </row>
    <row r="69" spans="1:15" x14ac:dyDescent="0.2">
      <c r="A69" s="59" t="s">
        <v>27</v>
      </c>
      <c r="B69" s="66" t="s">
        <v>28</v>
      </c>
      <c r="C69" s="81">
        <v>7.5</v>
      </c>
      <c r="D69" s="68">
        <f>+D68</f>
        <v>2424</v>
      </c>
      <c r="E69" s="85">
        <f t="shared" si="14"/>
        <v>18180</v>
      </c>
      <c r="F69" s="67">
        <v>7.8</v>
      </c>
      <c r="G69" s="68">
        <f>+G68</f>
        <v>24488</v>
      </c>
      <c r="H69" s="69">
        <f t="shared" si="15"/>
        <v>191006.4</v>
      </c>
      <c r="I69" s="87">
        <f>+I68</f>
        <v>24700</v>
      </c>
      <c r="J69" s="120">
        <f t="shared" si="16"/>
        <v>192660</v>
      </c>
      <c r="K69" s="68">
        <f>+K68</f>
        <v>12538</v>
      </c>
      <c r="L69" s="69">
        <f t="shared" si="17"/>
        <v>97796.4</v>
      </c>
      <c r="M69" s="91">
        <f t="shared" si="18"/>
        <v>64150</v>
      </c>
      <c r="N69" s="69">
        <f t="shared" si="19"/>
        <v>499642.80000000005</v>
      </c>
      <c r="O69" s="43"/>
    </row>
    <row r="70" spans="1:15" x14ac:dyDescent="0.2">
      <c r="A70" s="71" t="s">
        <v>35</v>
      </c>
      <c r="B70" s="72"/>
      <c r="C70" s="193">
        <f>SUM(C62:C69)</f>
        <v>47.16</v>
      </c>
      <c r="D70" s="76"/>
      <c r="E70" s="86">
        <f>SUM(E62:E69)</f>
        <v>114315.84</v>
      </c>
      <c r="F70" s="73">
        <f>SUM(F62:F69)</f>
        <v>52.849999999999994</v>
      </c>
      <c r="G70" s="76"/>
      <c r="H70" s="75">
        <f>SUM(H62:H69)</f>
        <v>1294190.7999999998</v>
      </c>
      <c r="I70" s="89"/>
      <c r="J70" s="93">
        <f>SUM(J62:J69)</f>
        <v>1305395</v>
      </c>
      <c r="K70" s="76"/>
      <c r="L70" s="75">
        <f>SUM(L62:L69)</f>
        <v>662633.30000000005</v>
      </c>
      <c r="M70" s="89"/>
      <c r="N70" s="93">
        <f>SUM(N62:N69)</f>
        <v>3376534.9399999995</v>
      </c>
      <c r="O70" s="43"/>
    </row>
    <row r="71" spans="1:15" x14ac:dyDescent="0.2">
      <c r="A71" s="97" t="s">
        <v>30</v>
      </c>
      <c r="B71" s="32"/>
      <c r="C71" s="63"/>
      <c r="D71" s="70"/>
      <c r="E71" s="106"/>
      <c r="F71" s="107"/>
      <c r="G71" s="108"/>
      <c r="H71" s="44"/>
      <c r="I71" s="109"/>
      <c r="J71" s="118"/>
      <c r="K71" s="108"/>
      <c r="L71" s="44"/>
      <c r="M71" s="92"/>
      <c r="N71" s="44"/>
      <c r="O71" s="43"/>
    </row>
    <row r="72" spans="1:15" x14ac:dyDescent="0.2">
      <c r="A72" s="59" t="s">
        <v>21</v>
      </c>
      <c r="B72" s="48" t="s">
        <v>22</v>
      </c>
      <c r="C72" s="64">
        <v>2.3199999999999998</v>
      </c>
      <c r="D72" s="51">
        <f>+D27+D28</f>
        <v>702</v>
      </c>
      <c r="E72" s="35">
        <f t="shared" ref="E72:E79" si="20">+D72*C72</f>
        <v>1628.6399999999999</v>
      </c>
      <c r="F72" s="62">
        <v>2.3199999999999998</v>
      </c>
      <c r="G72" s="51">
        <f>+G27+G28</f>
        <v>11580</v>
      </c>
      <c r="H72" s="41">
        <f t="shared" ref="H72:H79" si="21">+G72*F72</f>
        <v>26865.599999999999</v>
      </c>
      <c r="I72" s="54">
        <f>+I27+I28</f>
        <v>10753</v>
      </c>
      <c r="J72" s="119">
        <f t="shared" ref="J72:J79" si="22">+I72*F72</f>
        <v>24946.959999999999</v>
      </c>
      <c r="K72" s="51">
        <f>+K27+K28</f>
        <v>1801</v>
      </c>
      <c r="L72" s="41">
        <f t="shared" ref="L72:L79" si="23">+K72*F72</f>
        <v>4178.32</v>
      </c>
      <c r="M72" s="36">
        <f t="shared" ref="M72:M79" si="24">D72+G72+I72+K72</f>
        <v>24836</v>
      </c>
      <c r="N72" s="41">
        <f t="shared" ref="N72:N79" si="25">+E72+H72+J72+L72</f>
        <v>57619.519999999997</v>
      </c>
      <c r="O72" s="43"/>
    </row>
    <row r="73" spans="1:15" x14ac:dyDescent="0.2">
      <c r="A73" s="59" t="s">
        <v>41</v>
      </c>
      <c r="B73" s="48" t="s">
        <v>44</v>
      </c>
      <c r="C73" s="64">
        <v>0</v>
      </c>
      <c r="D73" s="51">
        <v>0</v>
      </c>
      <c r="E73" s="35">
        <f t="shared" si="20"/>
        <v>0</v>
      </c>
      <c r="F73" s="62">
        <v>5.74</v>
      </c>
      <c r="G73" s="51">
        <f>+G72</f>
        <v>11580</v>
      </c>
      <c r="H73" s="41">
        <f t="shared" si="21"/>
        <v>66469.2</v>
      </c>
      <c r="I73" s="54">
        <f>+I72</f>
        <v>10753</v>
      </c>
      <c r="J73" s="119">
        <f t="shared" si="22"/>
        <v>61722.22</v>
      </c>
      <c r="K73" s="51">
        <f>+K72</f>
        <v>1801</v>
      </c>
      <c r="L73" s="41">
        <f t="shared" si="23"/>
        <v>10337.74</v>
      </c>
      <c r="M73" s="36">
        <f t="shared" si="24"/>
        <v>24134</v>
      </c>
      <c r="N73" s="41">
        <f t="shared" si="25"/>
        <v>138529.16</v>
      </c>
      <c r="O73" s="43"/>
    </row>
    <row r="74" spans="1:15" x14ac:dyDescent="0.2">
      <c r="A74" s="59" t="s">
        <v>42</v>
      </c>
      <c r="B74" s="48" t="s">
        <v>43</v>
      </c>
      <c r="C74" s="64">
        <v>0</v>
      </c>
      <c r="D74" s="51">
        <v>0</v>
      </c>
      <c r="E74" s="35">
        <f t="shared" si="20"/>
        <v>0</v>
      </c>
      <c r="F74" s="62">
        <v>3.54</v>
      </c>
      <c r="G74" s="51">
        <f>+G73</f>
        <v>11580</v>
      </c>
      <c r="H74" s="41">
        <f t="shared" si="21"/>
        <v>40993.199999999997</v>
      </c>
      <c r="I74" s="54">
        <f>+I73</f>
        <v>10753</v>
      </c>
      <c r="J74" s="119">
        <f t="shared" si="22"/>
        <v>38065.620000000003</v>
      </c>
      <c r="K74" s="51">
        <f>+K73</f>
        <v>1801</v>
      </c>
      <c r="L74" s="41">
        <f t="shared" si="23"/>
        <v>6375.54</v>
      </c>
      <c r="M74" s="36">
        <f t="shared" si="24"/>
        <v>24134</v>
      </c>
      <c r="N74" s="41">
        <f t="shared" si="25"/>
        <v>85434.36</v>
      </c>
      <c r="O74" s="43"/>
    </row>
    <row r="75" spans="1:15" x14ac:dyDescent="0.2">
      <c r="A75" s="59" t="s">
        <v>17</v>
      </c>
      <c r="B75" s="48" t="s">
        <v>23</v>
      </c>
      <c r="C75" s="64">
        <v>25.87</v>
      </c>
      <c r="D75" s="51">
        <f>+D72</f>
        <v>702</v>
      </c>
      <c r="E75" s="35">
        <f t="shared" si="20"/>
        <v>18160.740000000002</v>
      </c>
      <c r="F75" s="62">
        <v>25.6</v>
      </c>
      <c r="G75" s="51">
        <f>+G72</f>
        <v>11580</v>
      </c>
      <c r="H75" s="41">
        <f t="shared" si="21"/>
        <v>296448</v>
      </c>
      <c r="I75" s="54">
        <f>+I72</f>
        <v>10753</v>
      </c>
      <c r="J75" s="119">
        <f t="shared" si="22"/>
        <v>275276.79999999999</v>
      </c>
      <c r="K75" s="51">
        <f>+K72</f>
        <v>1801</v>
      </c>
      <c r="L75" s="41">
        <f t="shared" si="23"/>
        <v>46105.600000000006</v>
      </c>
      <c r="M75" s="36">
        <f t="shared" si="24"/>
        <v>24836</v>
      </c>
      <c r="N75" s="41">
        <f t="shared" si="25"/>
        <v>635991.14</v>
      </c>
      <c r="O75" s="43"/>
    </row>
    <row r="76" spans="1:15" x14ac:dyDescent="0.2">
      <c r="A76" s="59" t="s">
        <v>24</v>
      </c>
      <c r="B76" s="55" t="s">
        <v>45</v>
      </c>
      <c r="C76" s="64">
        <v>2.44</v>
      </c>
      <c r="D76" s="51">
        <f>+D75</f>
        <v>702</v>
      </c>
      <c r="E76" s="35">
        <f t="shared" si="20"/>
        <v>1712.8799999999999</v>
      </c>
      <c r="F76" s="62">
        <v>2.44</v>
      </c>
      <c r="G76" s="51">
        <f>+G75</f>
        <v>11580</v>
      </c>
      <c r="H76" s="41">
        <f t="shared" si="21"/>
        <v>28255.200000000001</v>
      </c>
      <c r="I76" s="54">
        <f>+I75</f>
        <v>10753</v>
      </c>
      <c r="J76" s="119">
        <f t="shared" si="22"/>
        <v>26237.32</v>
      </c>
      <c r="K76" s="51">
        <f>+K75</f>
        <v>1801</v>
      </c>
      <c r="L76" s="41">
        <f t="shared" si="23"/>
        <v>4394.4399999999996</v>
      </c>
      <c r="M76" s="36">
        <f t="shared" si="24"/>
        <v>24836</v>
      </c>
      <c r="N76" s="41">
        <f t="shared" si="25"/>
        <v>60599.840000000004</v>
      </c>
      <c r="O76" s="43"/>
    </row>
    <row r="77" spans="1:15" x14ac:dyDescent="0.2">
      <c r="A77" s="59" t="s">
        <v>18</v>
      </c>
      <c r="B77" s="48" t="s">
        <v>25</v>
      </c>
      <c r="C77" s="64">
        <v>10</v>
      </c>
      <c r="D77" s="51">
        <f>+D76</f>
        <v>702</v>
      </c>
      <c r="E77" s="35">
        <f t="shared" si="20"/>
        <v>7020</v>
      </c>
      <c r="F77" s="62">
        <v>10.4</v>
      </c>
      <c r="G77" s="51">
        <f>+G76</f>
        <v>11580</v>
      </c>
      <c r="H77" s="41">
        <f t="shared" si="21"/>
        <v>120432</v>
      </c>
      <c r="I77" s="54">
        <f>+I76</f>
        <v>10753</v>
      </c>
      <c r="J77" s="119">
        <f t="shared" si="22"/>
        <v>111831.2</v>
      </c>
      <c r="K77" s="51">
        <f>+K76</f>
        <v>1801</v>
      </c>
      <c r="L77" s="41">
        <f t="shared" si="23"/>
        <v>18730.400000000001</v>
      </c>
      <c r="M77" s="36">
        <f t="shared" si="24"/>
        <v>24836</v>
      </c>
      <c r="N77" s="41">
        <f t="shared" si="25"/>
        <v>258013.6</v>
      </c>
      <c r="O77" s="43"/>
    </row>
    <row r="78" spans="1:15" x14ac:dyDescent="0.2">
      <c r="A78" s="59" t="s">
        <v>19</v>
      </c>
      <c r="B78" s="48" t="s">
        <v>26</v>
      </c>
      <c r="C78" s="64">
        <v>13.75</v>
      </c>
      <c r="D78" s="51">
        <f>+D77</f>
        <v>702</v>
      </c>
      <c r="E78" s="35">
        <f t="shared" si="20"/>
        <v>9652.5</v>
      </c>
      <c r="F78" s="62">
        <v>14.3</v>
      </c>
      <c r="G78" s="51">
        <f>+G77</f>
        <v>11580</v>
      </c>
      <c r="H78" s="41">
        <f t="shared" si="21"/>
        <v>165594</v>
      </c>
      <c r="I78" s="54">
        <f>+I77</f>
        <v>10753</v>
      </c>
      <c r="J78" s="119">
        <f t="shared" si="22"/>
        <v>153767.9</v>
      </c>
      <c r="K78" s="51">
        <f>+K77</f>
        <v>1801</v>
      </c>
      <c r="L78" s="41">
        <f t="shared" si="23"/>
        <v>25754.300000000003</v>
      </c>
      <c r="M78" s="36">
        <f t="shared" si="24"/>
        <v>24836</v>
      </c>
      <c r="N78" s="41">
        <f t="shared" si="25"/>
        <v>354768.7</v>
      </c>
      <c r="O78" s="43"/>
    </row>
    <row r="79" spans="1:15" x14ac:dyDescent="0.2">
      <c r="A79" s="59" t="s">
        <v>27</v>
      </c>
      <c r="B79" s="66" t="s">
        <v>28</v>
      </c>
      <c r="C79" s="81">
        <v>7.5</v>
      </c>
      <c r="D79" s="68">
        <f>+D78</f>
        <v>702</v>
      </c>
      <c r="E79" s="85">
        <f t="shared" si="20"/>
        <v>5265</v>
      </c>
      <c r="F79" s="67">
        <v>7.8</v>
      </c>
      <c r="G79" s="68">
        <f>+G78</f>
        <v>11580</v>
      </c>
      <c r="H79" s="69">
        <f t="shared" si="21"/>
        <v>90324</v>
      </c>
      <c r="I79" s="87">
        <f>+I78</f>
        <v>10753</v>
      </c>
      <c r="J79" s="120">
        <f t="shared" si="22"/>
        <v>83873.399999999994</v>
      </c>
      <c r="K79" s="68">
        <f>+K78</f>
        <v>1801</v>
      </c>
      <c r="L79" s="69">
        <f t="shared" si="23"/>
        <v>14047.8</v>
      </c>
      <c r="M79" s="91">
        <f t="shared" si="24"/>
        <v>24836</v>
      </c>
      <c r="N79" s="69">
        <f t="shared" si="25"/>
        <v>193510.19999999998</v>
      </c>
      <c r="O79" s="43"/>
    </row>
    <row r="80" spans="1:15" x14ac:dyDescent="0.2">
      <c r="A80" s="71" t="s">
        <v>33</v>
      </c>
      <c r="B80" s="72"/>
      <c r="C80" s="193">
        <f>SUM(C72:C79)</f>
        <v>61.88</v>
      </c>
      <c r="D80" s="76"/>
      <c r="E80" s="86">
        <f>SUM(E72:E79)</f>
        <v>43439.76</v>
      </c>
      <c r="F80" s="73">
        <f>SUM(F72:F79)</f>
        <v>72.14</v>
      </c>
      <c r="G80" s="76"/>
      <c r="H80" s="75">
        <f>SUM(H72:H79)</f>
        <v>835381.2</v>
      </c>
      <c r="I80" s="89"/>
      <c r="J80" s="93">
        <f>SUM(J72:J79)</f>
        <v>775721.42</v>
      </c>
      <c r="K80" s="76"/>
      <c r="L80" s="75">
        <f>SUM(L72:L79)</f>
        <v>129924.14000000001</v>
      </c>
      <c r="M80" s="89"/>
      <c r="N80" s="93">
        <f>SUM(N72:N79)</f>
        <v>1784466.5199999998</v>
      </c>
      <c r="O80" s="43"/>
    </row>
    <row r="81" spans="1:15" x14ac:dyDescent="0.2">
      <c r="A81" s="97" t="s">
        <v>32</v>
      </c>
      <c r="B81" s="32"/>
      <c r="C81" s="63"/>
      <c r="D81" s="70"/>
      <c r="E81" s="106"/>
      <c r="F81" s="107"/>
      <c r="G81" s="108"/>
      <c r="H81" s="44"/>
      <c r="I81" s="109"/>
      <c r="J81" s="118"/>
      <c r="K81" s="108"/>
      <c r="L81" s="44"/>
      <c r="M81" s="92"/>
      <c r="N81" s="44"/>
      <c r="O81" s="43"/>
    </row>
    <row r="82" spans="1:15" x14ac:dyDescent="0.2">
      <c r="A82" s="59" t="s">
        <v>21</v>
      </c>
      <c r="B82" s="48" t="s">
        <v>22</v>
      </c>
      <c r="C82" s="64">
        <v>2.3199999999999998</v>
      </c>
      <c r="D82" s="51">
        <f>+D29+D30</f>
        <v>188</v>
      </c>
      <c r="E82" s="35">
        <f t="shared" ref="E82:E89" si="26">+D82*C82</f>
        <v>436.15999999999997</v>
      </c>
      <c r="F82" s="62">
        <v>2.3199999999999998</v>
      </c>
      <c r="G82" s="51">
        <f>+G29+G30</f>
        <v>3608</v>
      </c>
      <c r="H82" s="41">
        <f t="shared" ref="H82:H89" si="27">+G82*F82</f>
        <v>8370.56</v>
      </c>
      <c r="I82" s="54">
        <f>+I29+I30</f>
        <v>3437</v>
      </c>
      <c r="J82" s="119">
        <f t="shared" ref="J82:J89" si="28">+I82*F82</f>
        <v>7973.8399999999992</v>
      </c>
      <c r="K82" s="51">
        <f>+K29+K30</f>
        <v>1377</v>
      </c>
      <c r="L82" s="41">
        <f t="shared" ref="L82:L89" si="29">+K82*F82</f>
        <v>3194.64</v>
      </c>
      <c r="M82" s="36">
        <f t="shared" ref="M82:M89" si="30">D82+G82+I82+K82</f>
        <v>8610</v>
      </c>
      <c r="N82" s="41">
        <f t="shared" ref="N82:N89" si="31">+E82+H82+J82+L82</f>
        <v>19975.199999999997</v>
      </c>
      <c r="O82" s="43"/>
    </row>
    <row r="83" spans="1:15" x14ac:dyDescent="0.2">
      <c r="A83" s="59" t="s">
        <v>41</v>
      </c>
      <c r="B83" s="48" t="s">
        <v>44</v>
      </c>
      <c r="C83" s="64">
        <v>0</v>
      </c>
      <c r="D83" s="51">
        <v>0</v>
      </c>
      <c r="E83" s="35">
        <f t="shared" si="26"/>
        <v>0</v>
      </c>
      <c r="F83" s="62">
        <v>0</v>
      </c>
      <c r="G83" s="51">
        <v>0</v>
      </c>
      <c r="H83" s="41">
        <f t="shared" si="27"/>
        <v>0</v>
      </c>
      <c r="I83" s="54">
        <v>0</v>
      </c>
      <c r="J83" s="119">
        <f t="shared" si="28"/>
        <v>0</v>
      </c>
      <c r="K83" s="51">
        <v>0</v>
      </c>
      <c r="L83" s="41">
        <f t="shared" si="29"/>
        <v>0</v>
      </c>
      <c r="M83" s="36">
        <f t="shared" si="30"/>
        <v>0</v>
      </c>
      <c r="N83" s="41">
        <f t="shared" si="31"/>
        <v>0</v>
      </c>
      <c r="O83" s="43"/>
    </row>
    <row r="84" spans="1:15" x14ac:dyDescent="0.2">
      <c r="A84" s="59" t="s">
        <v>42</v>
      </c>
      <c r="B84" s="48" t="s">
        <v>43</v>
      </c>
      <c r="C84" s="64">
        <v>0</v>
      </c>
      <c r="D84" s="51">
        <v>0</v>
      </c>
      <c r="E84" s="35">
        <f t="shared" si="26"/>
        <v>0</v>
      </c>
      <c r="F84" s="62">
        <v>3.54</v>
      </c>
      <c r="G84" s="51">
        <f>+G82</f>
        <v>3608</v>
      </c>
      <c r="H84" s="41">
        <f t="shared" si="27"/>
        <v>12772.32</v>
      </c>
      <c r="I84" s="54">
        <f>+I82</f>
        <v>3437</v>
      </c>
      <c r="J84" s="119">
        <f t="shared" si="28"/>
        <v>12166.98</v>
      </c>
      <c r="K84" s="51">
        <f>+K82</f>
        <v>1377</v>
      </c>
      <c r="L84" s="41">
        <f t="shared" si="29"/>
        <v>4874.58</v>
      </c>
      <c r="M84" s="36">
        <f t="shared" si="30"/>
        <v>8422</v>
      </c>
      <c r="N84" s="41">
        <f t="shared" si="31"/>
        <v>29813.879999999997</v>
      </c>
      <c r="O84" s="43"/>
    </row>
    <row r="85" spans="1:15" x14ac:dyDescent="0.2">
      <c r="A85" s="59" t="s">
        <v>17</v>
      </c>
      <c r="B85" s="48" t="s">
        <v>23</v>
      </c>
      <c r="C85" s="64">
        <v>41.89</v>
      </c>
      <c r="D85" s="51">
        <f>+D82</f>
        <v>188</v>
      </c>
      <c r="E85" s="35">
        <f t="shared" si="26"/>
        <v>7875.32</v>
      </c>
      <c r="F85" s="62">
        <v>41.89</v>
      </c>
      <c r="G85" s="51">
        <f>+G82</f>
        <v>3608</v>
      </c>
      <c r="H85" s="41">
        <f t="shared" si="27"/>
        <v>151139.12</v>
      </c>
      <c r="I85" s="54">
        <f>+I82</f>
        <v>3437</v>
      </c>
      <c r="J85" s="119">
        <f t="shared" si="28"/>
        <v>143975.93</v>
      </c>
      <c r="K85" s="51">
        <f>+K84</f>
        <v>1377</v>
      </c>
      <c r="L85" s="41">
        <f t="shared" si="29"/>
        <v>57682.53</v>
      </c>
      <c r="M85" s="36">
        <f t="shared" si="30"/>
        <v>8610</v>
      </c>
      <c r="N85" s="41">
        <f t="shared" si="31"/>
        <v>360672.9</v>
      </c>
      <c r="O85" s="43"/>
    </row>
    <row r="86" spans="1:15" x14ac:dyDescent="0.2">
      <c r="A86" s="59" t="s">
        <v>24</v>
      </c>
      <c r="B86" s="55" t="s">
        <v>45</v>
      </c>
      <c r="C86" s="64">
        <v>2.44</v>
      </c>
      <c r="D86" s="51">
        <f>+D85</f>
        <v>188</v>
      </c>
      <c r="E86" s="35">
        <f t="shared" si="26"/>
        <v>458.71999999999997</v>
      </c>
      <c r="F86" s="62">
        <v>2.44</v>
      </c>
      <c r="G86" s="51">
        <f>+G85</f>
        <v>3608</v>
      </c>
      <c r="H86" s="41">
        <f t="shared" si="27"/>
        <v>8803.52</v>
      </c>
      <c r="I86" s="54">
        <f>+I85</f>
        <v>3437</v>
      </c>
      <c r="J86" s="119">
        <f t="shared" si="28"/>
        <v>8386.2800000000007</v>
      </c>
      <c r="K86" s="51">
        <f>+K85</f>
        <v>1377</v>
      </c>
      <c r="L86" s="41">
        <f t="shared" si="29"/>
        <v>3359.88</v>
      </c>
      <c r="M86" s="36">
        <f t="shared" si="30"/>
        <v>8610</v>
      </c>
      <c r="N86" s="41">
        <f t="shared" si="31"/>
        <v>21008.400000000001</v>
      </c>
      <c r="O86" s="43"/>
    </row>
    <row r="87" spans="1:15" x14ac:dyDescent="0.2">
      <c r="A87" s="59" t="s">
        <v>18</v>
      </c>
      <c r="B87" s="48" t="s">
        <v>25</v>
      </c>
      <c r="C87" s="64">
        <v>10</v>
      </c>
      <c r="D87" s="51">
        <f>+D86</f>
        <v>188</v>
      </c>
      <c r="E87" s="35">
        <f t="shared" si="26"/>
        <v>1880</v>
      </c>
      <c r="F87" s="62">
        <v>10.4</v>
      </c>
      <c r="G87" s="51">
        <f>+G86</f>
        <v>3608</v>
      </c>
      <c r="H87" s="41">
        <f t="shared" si="27"/>
        <v>37523.200000000004</v>
      </c>
      <c r="I87" s="54">
        <f>+I86</f>
        <v>3437</v>
      </c>
      <c r="J87" s="119">
        <f t="shared" si="28"/>
        <v>35744.800000000003</v>
      </c>
      <c r="K87" s="51">
        <f>+K86</f>
        <v>1377</v>
      </c>
      <c r="L87" s="41">
        <f t="shared" si="29"/>
        <v>14320.800000000001</v>
      </c>
      <c r="M87" s="36">
        <f t="shared" si="30"/>
        <v>8610</v>
      </c>
      <c r="N87" s="41">
        <f t="shared" si="31"/>
        <v>89468.800000000003</v>
      </c>
      <c r="O87" s="43"/>
    </row>
    <row r="88" spans="1:15" x14ac:dyDescent="0.2">
      <c r="A88" s="59" t="s">
        <v>19</v>
      </c>
      <c r="B88" s="48" t="s">
        <v>26</v>
      </c>
      <c r="C88" s="64">
        <v>13.75</v>
      </c>
      <c r="D88" s="51">
        <f>+D87</f>
        <v>188</v>
      </c>
      <c r="E88" s="35">
        <f t="shared" si="26"/>
        <v>2585</v>
      </c>
      <c r="F88" s="62">
        <v>14.3</v>
      </c>
      <c r="G88" s="51">
        <f>+G87</f>
        <v>3608</v>
      </c>
      <c r="H88" s="41">
        <f t="shared" si="27"/>
        <v>51594.400000000001</v>
      </c>
      <c r="I88" s="54">
        <f>+I87</f>
        <v>3437</v>
      </c>
      <c r="J88" s="119">
        <f t="shared" si="28"/>
        <v>49149.100000000006</v>
      </c>
      <c r="K88" s="51">
        <f>+K87</f>
        <v>1377</v>
      </c>
      <c r="L88" s="41">
        <f t="shared" si="29"/>
        <v>19691.100000000002</v>
      </c>
      <c r="M88" s="36">
        <f t="shared" si="30"/>
        <v>8610</v>
      </c>
      <c r="N88" s="41">
        <f t="shared" si="31"/>
        <v>123019.6</v>
      </c>
      <c r="O88" s="43"/>
    </row>
    <row r="89" spans="1:15" x14ac:dyDescent="0.2">
      <c r="A89" s="59" t="s">
        <v>27</v>
      </c>
      <c r="B89" s="66" t="s">
        <v>28</v>
      </c>
      <c r="C89" s="81">
        <v>7.5</v>
      </c>
      <c r="D89" s="68">
        <f>+D88</f>
        <v>188</v>
      </c>
      <c r="E89" s="85">
        <f t="shared" si="26"/>
        <v>1410</v>
      </c>
      <c r="F89" s="67">
        <v>7.8</v>
      </c>
      <c r="G89" s="68">
        <f>+G88</f>
        <v>3608</v>
      </c>
      <c r="H89" s="69">
        <f t="shared" si="27"/>
        <v>28142.399999999998</v>
      </c>
      <c r="I89" s="87">
        <f>+I88</f>
        <v>3437</v>
      </c>
      <c r="J89" s="120">
        <f t="shared" si="28"/>
        <v>26808.6</v>
      </c>
      <c r="K89" s="68">
        <f>+K88</f>
        <v>1377</v>
      </c>
      <c r="L89" s="69">
        <f t="shared" si="29"/>
        <v>10740.6</v>
      </c>
      <c r="M89" s="91">
        <f t="shared" si="30"/>
        <v>8610</v>
      </c>
      <c r="N89" s="69">
        <f t="shared" si="31"/>
        <v>67101.600000000006</v>
      </c>
      <c r="O89" s="43"/>
    </row>
    <row r="90" spans="1:15" x14ac:dyDescent="0.2">
      <c r="A90" s="71" t="s">
        <v>36</v>
      </c>
      <c r="B90" s="72"/>
      <c r="C90" s="193">
        <f>SUM(C82:C89)</f>
        <v>77.900000000000006</v>
      </c>
      <c r="D90" s="76"/>
      <c r="E90" s="86">
        <f>SUM(E82:E89)</f>
        <v>14645.199999999999</v>
      </c>
      <c r="F90" s="73">
        <f>SUM(F82:F89)</f>
        <v>82.69</v>
      </c>
      <c r="G90" s="76"/>
      <c r="H90" s="75">
        <f>SUM(H82:H89)</f>
        <v>298345.52</v>
      </c>
      <c r="I90" s="89"/>
      <c r="J90" s="93">
        <f>SUM(J82:J89)</f>
        <v>284205.53000000003</v>
      </c>
      <c r="K90" s="76"/>
      <c r="L90" s="75">
        <f>SUM(L82:L89)</f>
        <v>113864.13000000002</v>
      </c>
      <c r="M90" s="89">
        <f>SUM(M82:M89)</f>
        <v>60082</v>
      </c>
      <c r="N90" s="93">
        <f>SUM(N82:N89)</f>
        <v>711060.38</v>
      </c>
      <c r="O90" s="43"/>
    </row>
    <row r="91" spans="1:15" x14ac:dyDescent="0.2">
      <c r="A91" s="97" t="s">
        <v>37</v>
      </c>
      <c r="B91" s="32"/>
      <c r="C91" s="63"/>
      <c r="D91" s="70"/>
      <c r="E91" s="33"/>
      <c r="F91" s="107"/>
      <c r="G91" s="108"/>
      <c r="H91" s="40"/>
      <c r="I91" s="109"/>
      <c r="J91" s="118"/>
      <c r="K91" s="108"/>
      <c r="L91" s="40"/>
      <c r="M91" s="92"/>
      <c r="N91" s="44"/>
      <c r="O91" s="43"/>
    </row>
    <row r="92" spans="1:15" x14ac:dyDescent="0.2">
      <c r="A92" s="59" t="s">
        <v>21</v>
      </c>
      <c r="B92" s="48" t="s">
        <v>22</v>
      </c>
      <c r="C92" s="64"/>
      <c r="D92" s="51">
        <f>+D82+D72+D62+D52</f>
        <v>29444</v>
      </c>
      <c r="E92" s="119">
        <f>+E82+E72+E62+E52</f>
        <v>68310.080000000002</v>
      </c>
      <c r="F92" s="62"/>
      <c r="G92" s="51">
        <f t="shared" ref="G92:L99" si="32">+G82+G72+G62+G52</f>
        <v>265115</v>
      </c>
      <c r="H92" s="94">
        <f t="shared" si="32"/>
        <v>615066.79999999993</v>
      </c>
      <c r="I92" s="54">
        <f t="shared" si="32"/>
        <v>253038</v>
      </c>
      <c r="J92" s="119">
        <f t="shared" si="32"/>
        <v>587048.15999999992</v>
      </c>
      <c r="K92" s="51">
        <f t="shared" si="32"/>
        <v>74834</v>
      </c>
      <c r="L92" s="94">
        <f t="shared" si="32"/>
        <v>173614.87999999998</v>
      </c>
      <c r="M92" s="36">
        <f t="shared" ref="M92:M99" si="33">D92+G92+I92+K92</f>
        <v>622431</v>
      </c>
      <c r="N92" s="41">
        <f t="shared" ref="N92:N99" si="34">+E92+H92+J92+L92</f>
        <v>1444039.9199999997</v>
      </c>
      <c r="O92" s="43">
        <f t="shared" ref="O92:O99" si="35">+N52+N62+N72+N82</f>
        <v>1444039.92</v>
      </c>
    </row>
    <row r="93" spans="1:15" x14ac:dyDescent="0.2">
      <c r="A93" s="59" t="s">
        <v>41</v>
      </c>
      <c r="B93" s="48" t="s">
        <v>44</v>
      </c>
      <c r="C93" s="64"/>
      <c r="D93" s="51">
        <f t="shared" ref="D93:E99" si="36">+D83+D73+D63+D53</f>
        <v>0</v>
      </c>
      <c r="E93" s="119">
        <f t="shared" si="36"/>
        <v>0</v>
      </c>
      <c r="F93" s="62"/>
      <c r="G93" s="51">
        <f t="shared" si="32"/>
        <v>237019</v>
      </c>
      <c r="H93" s="94">
        <f t="shared" si="32"/>
        <v>1360489.06</v>
      </c>
      <c r="I93" s="54">
        <f t="shared" si="32"/>
        <v>224901</v>
      </c>
      <c r="J93" s="119">
        <f t="shared" si="32"/>
        <v>1290931.74</v>
      </c>
      <c r="K93" s="51">
        <f t="shared" si="32"/>
        <v>60919</v>
      </c>
      <c r="L93" s="94">
        <f t="shared" si="32"/>
        <v>349675.06</v>
      </c>
      <c r="M93" s="36">
        <f t="shared" si="33"/>
        <v>522839</v>
      </c>
      <c r="N93" s="41">
        <f t="shared" si="34"/>
        <v>3001095.86</v>
      </c>
      <c r="O93" s="43">
        <f t="shared" si="35"/>
        <v>3001095.86</v>
      </c>
    </row>
    <row r="94" spans="1:15" x14ac:dyDescent="0.2">
      <c r="A94" s="59" t="s">
        <v>42</v>
      </c>
      <c r="B94" s="48" t="s">
        <v>43</v>
      </c>
      <c r="C94" s="64"/>
      <c r="D94" s="51">
        <f t="shared" si="36"/>
        <v>0</v>
      </c>
      <c r="E94" s="119">
        <f t="shared" si="36"/>
        <v>0</v>
      </c>
      <c r="F94" s="62"/>
      <c r="G94" s="51">
        <f t="shared" si="32"/>
        <v>265115</v>
      </c>
      <c r="H94" s="94">
        <f t="shared" si="32"/>
        <v>938507.10000000009</v>
      </c>
      <c r="I94" s="54">
        <f t="shared" si="32"/>
        <v>253038</v>
      </c>
      <c r="J94" s="119">
        <f t="shared" si="32"/>
        <v>895754.52</v>
      </c>
      <c r="K94" s="51">
        <f t="shared" si="32"/>
        <v>74834</v>
      </c>
      <c r="L94" s="94">
        <f t="shared" si="32"/>
        <v>264912.36</v>
      </c>
      <c r="M94" s="36">
        <f t="shared" si="33"/>
        <v>592987</v>
      </c>
      <c r="N94" s="41">
        <f t="shared" si="34"/>
        <v>2099173.98</v>
      </c>
      <c r="O94" s="43">
        <f t="shared" si="35"/>
        <v>2099173.98</v>
      </c>
    </row>
    <row r="95" spans="1:15" x14ac:dyDescent="0.2">
      <c r="A95" s="59" t="s">
        <v>17</v>
      </c>
      <c r="B95" s="48" t="s">
        <v>23</v>
      </c>
      <c r="C95" s="64"/>
      <c r="D95" s="51">
        <f t="shared" si="36"/>
        <v>29444</v>
      </c>
      <c r="E95" s="119">
        <f t="shared" si="36"/>
        <v>158106.26</v>
      </c>
      <c r="F95" s="62"/>
      <c r="G95" s="51">
        <f t="shared" si="32"/>
        <v>265115</v>
      </c>
      <c r="H95" s="94">
        <f t="shared" si="32"/>
        <v>1739107.9</v>
      </c>
      <c r="I95" s="54">
        <f t="shared" si="32"/>
        <v>253038</v>
      </c>
      <c r="J95" s="119">
        <f t="shared" si="32"/>
        <v>1663421.8900000001</v>
      </c>
      <c r="K95" s="51">
        <f t="shared" si="32"/>
        <v>74834</v>
      </c>
      <c r="L95" s="94">
        <f t="shared" si="32"/>
        <v>516172.59</v>
      </c>
      <c r="M95" s="36">
        <f t="shared" si="33"/>
        <v>622431</v>
      </c>
      <c r="N95" s="41">
        <f t="shared" si="34"/>
        <v>4076808.6399999997</v>
      </c>
      <c r="O95" s="43">
        <f t="shared" si="35"/>
        <v>4076808.64</v>
      </c>
    </row>
    <row r="96" spans="1:15" x14ac:dyDescent="0.2">
      <c r="A96" s="59" t="s">
        <v>24</v>
      </c>
      <c r="B96" s="55" t="s">
        <v>45</v>
      </c>
      <c r="C96" s="64"/>
      <c r="D96" s="51">
        <f t="shared" si="36"/>
        <v>29444</v>
      </c>
      <c r="E96" s="119">
        <f t="shared" si="36"/>
        <v>71843.360000000001</v>
      </c>
      <c r="F96" s="62"/>
      <c r="G96" s="51">
        <f t="shared" si="32"/>
        <v>265115</v>
      </c>
      <c r="H96" s="94">
        <f t="shared" si="32"/>
        <v>646880.60000000009</v>
      </c>
      <c r="I96" s="54">
        <f t="shared" si="32"/>
        <v>253038</v>
      </c>
      <c r="J96" s="119">
        <f t="shared" si="32"/>
        <v>617412.72</v>
      </c>
      <c r="K96" s="51">
        <f t="shared" si="32"/>
        <v>74834</v>
      </c>
      <c r="L96" s="94">
        <f t="shared" si="32"/>
        <v>182594.95999999996</v>
      </c>
      <c r="M96" s="36">
        <f t="shared" si="33"/>
        <v>622431</v>
      </c>
      <c r="N96" s="41">
        <f t="shared" si="34"/>
        <v>1518731.6400000001</v>
      </c>
      <c r="O96" s="43">
        <f t="shared" si="35"/>
        <v>1518731.64</v>
      </c>
    </row>
    <row r="97" spans="1:15" x14ac:dyDescent="0.2">
      <c r="A97" s="59" t="s">
        <v>18</v>
      </c>
      <c r="B97" s="48" t="s">
        <v>25</v>
      </c>
      <c r="C97" s="64"/>
      <c r="D97" s="51">
        <f t="shared" si="36"/>
        <v>29444</v>
      </c>
      <c r="E97" s="119">
        <f t="shared" si="36"/>
        <v>294440</v>
      </c>
      <c r="F97" s="62"/>
      <c r="G97" s="51">
        <f t="shared" si="32"/>
        <v>265115</v>
      </c>
      <c r="H97" s="94">
        <f t="shared" si="32"/>
        <v>2757196</v>
      </c>
      <c r="I97" s="54">
        <f t="shared" si="32"/>
        <v>253038</v>
      </c>
      <c r="J97" s="119">
        <f t="shared" si="32"/>
        <v>2631595.2000000002</v>
      </c>
      <c r="K97" s="51">
        <f t="shared" si="32"/>
        <v>74834</v>
      </c>
      <c r="L97" s="94">
        <f t="shared" si="32"/>
        <v>778273.60000000009</v>
      </c>
      <c r="M97" s="36">
        <f t="shared" si="33"/>
        <v>622431</v>
      </c>
      <c r="N97" s="41">
        <f t="shared" si="34"/>
        <v>6461504.8000000007</v>
      </c>
      <c r="O97" s="43">
        <f t="shared" si="35"/>
        <v>6461504.7999999998</v>
      </c>
    </row>
    <row r="98" spans="1:15" x14ac:dyDescent="0.2">
      <c r="A98" s="59" t="s">
        <v>19</v>
      </c>
      <c r="B98" s="48" t="s">
        <v>26</v>
      </c>
      <c r="C98" s="64"/>
      <c r="D98" s="51">
        <f t="shared" si="36"/>
        <v>29444</v>
      </c>
      <c r="E98" s="119">
        <f t="shared" si="36"/>
        <v>404855</v>
      </c>
      <c r="F98" s="62"/>
      <c r="G98" s="51">
        <f t="shared" si="32"/>
        <v>265115</v>
      </c>
      <c r="H98" s="94">
        <f t="shared" si="32"/>
        <v>3791144.5</v>
      </c>
      <c r="I98" s="54">
        <f t="shared" si="32"/>
        <v>253038</v>
      </c>
      <c r="J98" s="119">
        <f t="shared" si="32"/>
        <v>3618443.4000000004</v>
      </c>
      <c r="K98" s="51">
        <f t="shared" si="32"/>
        <v>74834</v>
      </c>
      <c r="L98" s="94">
        <f t="shared" si="32"/>
        <v>1070126.2000000002</v>
      </c>
      <c r="M98" s="36">
        <f t="shared" si="33"/>
        <v>622431</v>
      </c>
      <c r="N98" s="41">
        <f t="shared" si="34"/>
        <v>8884569.1000000015</v>
      </c>
      <c r="O98" s="43">
        <f t="shared" si="35"/>
        <v>8884569.0999999996</v>
      </c>
    </row>
    <row r="99" spans="1:15" x14ac:dyDescent="0.2">
      <c r="A99" s="59" t="s">
        <v>27</v>
      </c>
      <c r="B99" s="66" t="s">
        <v>28</v>
      </c>
      <c r="C99" s="81"/>
      <c r="D99" s="68">
        <f t="shared" si="36"/>
        <v>29444</v>
      </c>
      <c r="E99" s="120">
        <f t="shared" si="36"/>
        <v>220830</v>
      </c>
      <c r="F99" s="67"/>
      <c r="G99" s="68">
        <f t="shared" si="32"/>
        <v>265115</v>
      </c>
      <c r="H99" s="95">
        <f t="shared" si="32"/>
        <v>2067897</v>
      </c>
      <c r="I99" s="87">
        <f t="shared" si="32"/>
        <v>253038</v>
      </c>
      <c r="J99" s="120">
        <f t="shared" si="32"/>
        <v>1973696.4</v>
      </c>
      <c r="K99" s="68">
        <f t="shared" si="32"/>
        <v>74834</v>
      </c>
      <c r="L99" s="95">
        <f t="shared" si="32"/>
        <v>583705.19999999995</v>
      </c>
      <c r="M99" s="36">
        <f t="shared" si="33"/>
        <v>622431</v>
      </c>
      <c r="N99" s="41">
        <f t="shared" si="34"/>
        <v>4846128.6000000006</v>
      </c>
      <c r="O99" s="116">
        <f t="shared" si="35"/>
        <v>4846128.5999999996</v>
      </c>
    </row>
    <row r="100" spans="1:15" x14ac:dyDescent="0.2">
      <c r="A100" s="77" t="s">
        <v>2</v>
      </c>
      <c r="B100" s="78"/>
      <c r="C100" s="82"/>
      <c r="D100" s="79"/>
      <c r="E100" s="121">
        <f>SUM(E92:E99)</f>
        <v>1218384.7</v>
      </c>
      <c r="F100" s="80"/>
      <c r="G100" s="79"/>
      <c r="H100" s="96">
        <f>SUM(H92:H99)</f>
        <v>13916288.959999999</v>
      </c>
      <c r="I100" s="90"/>
      <c r="J100" s="96">
        <f>SUM(J92:J99)</f>
        <v>13278304.030000001</v>
      </c>
      <c r="K100" s="79"/>
      <c r="L100" s="96">
        <f>SUM(L92:L99)</f>
        <v>3919074.8500000006</v>
      </c>
      <c r="M100" s="90"/>
      <c r="N100" s="96">
        <f>SUM(N92:N99)</f>
        <v>32332052.540000003</v>
      </c>
      <c r="O100" s="43">
        <f>SUM(O92:O99)</f>
        <v>32332052.539999999</v>
      </c>
    </row>
    <row r="101" spans="1:15" x14ac:dyDescent="0.2">
      <c r="A101" s="5"/>
      <c r="B101" s="60"/>
      <c r="C101" s="5"/>
      <c r="D101" s="5"/>
      <c r="E101" s="17">
        <f>+E90+E80+E70+E60</f>
        <v>1218384.7</v>
      </c>
      <c r="F101" s="43"/>
      <c r="G101" s="50"/>
      <c r="H101" s="39">
        <f>+H90+H80+H70+H60</f>
        <v>13916288.960000001</v>
      </c>
      <c r="I101" s="50"/>
      <c r="J101" s="17">
        <f>+J90+J80+J70+J60</f>
        <v>13278304.030000001</v>
      </c>
      <c r="K101" s="50"/>
      <c r="L101" s="39">
        <f>+L90+L80+L70+L60</f>
        <v>3919074.8499999996</v>
      </c>
      <c r="M101" s="15"/>
      <c r="N101" s="17">
        <f>+N90+N80+N70+N60</f>
        <v>32332052.539999999</v>
      </c>
      <c r="O101" s="43"/>
    </row>
    <row r="102" spans="1:15" x14ac:dyDescent="0.2">
      <c r="B102" s="30"/>
      <c r="C102" s="2"/>
      <c r="G102" s="52"/>
      <c r="I102" s="52"/>
      <c r="J102" s="52"/>
      <c r="K102" s="52"/>
      <c r="M102" s="16">
        <f>+M93-M92</f>
        <v>-99592</v>
      </c>
      <c r="N102" s="30"/>
    </row>
    <row r="103" spans="1:15" x14ac:dyDescent="0.2">
      <c r="B103" s="30"/>
      <c r="C103" s="2"/>
      <c r="D103" s="122">
        <f>+D93-D92</f>
        <v>-29444</v>
      </c>
      <c r="G103" s="122">
        <f>+G93-G92</f>
        <v>-28096</v>
      </c>
      <c r="I103" s="122">
        <f>+I93-I92</f>
        <v>-28137</v>
      </c>
      <c r="J103" s="52"/>
      <c r="K103" s="122">
        <f>+K93-K92</f>
        <v>-13915</v>
      </c>
      <c r="M103" s="16">
        <f>SUM(D103:L103)</f>
        <v>-99592</v>
      </c>
      <c r="N103" s="30"/>
    </row>
    <row r="104" spans="1:15" x14ac:dyDescent="0.2">
      <c r="C104" s="2"/>
      <c r="G104" s="52"/>
      <c r="I104" s="52"/>
      <c r="J104" s="52"/>
      <c r="K104" s="52"/>
      <c r="M104" s="16">
        <f>+M94-M92</f>
        <v>-29444</v>
      </c>
      <c r="N104" s="30"/>
    </row>
    <row r="105" spans="1:15" x14ac:dyDescent="0.2">
      <c r="C105" s="2"/>
      <c r="D105" s="16">
        <f>+D103</f>
        <v>-29444</v>
      </c>
      <c r="G105" s="52"/>
      <c r="I105" s="52"/>
      <c r="J105" s="52"/>
      <c r="K105" s="52"/>
      <c r="M105" s="16">
        <f>SUM(D105:L105)</f>
        <v>-29444</v>
      </c>
      <c r="N105" s="30"/>
    </row>
    <row r="106" spans="1:15" x14ac:dyDescent="0.2">
      <c r="C106" s="2"/>
      <c r="G106" s="52"/>
      <c r="I106" s="52"/>
      <c r="J106" s="52"/>
      <c r="K106" s="52"/>
      <c r="N106" s="30"/>
    </row>
    <row r="107" spans="1:15" x14ac:dyDescent="0.2">
      <c r="C107" s="2"/>
      <c r="G107" s="52"/>
      <c r="I107" s="52"/>
      <c r="J107" s="52"/>
      <c r="K107" s="52"/>
    </row>
    <row r="108" spans="1:15" x14ac:dyDescent="0.2">
      <c r="C108" s="2"/>
      <c r="G108" s="52"/>
      <c r="I108" s="52"/>
      <c r="J108" s="52"/>
      <c r="K108" s="52"/>
    </row>
    <row r="109" spans="1:15" x14ac:dyDescent="0.2">
      <c r="C109" s="2"/>
      <c r="G109" s="52"/>
      <c r="I109" s="52"/>
      <c r="J109" s="52"/>
      <c r="K109" s="52"/>
    </row>
    <row r="110" spans="1:15" x14ac:dyDescent="0.2">
      <c r="C110" s="2"/>
      <c r="G110" s="52"/>
      <c r="I110" s="52"/>
      <c r="J110" s="52"/>
      <c r="K110" s="52"/>
    </row>
    <row r="111" spans="1:15" x14ac:dyDescent="0.2">
      <c r="C111" s="2"/>
      <c r="G111" s="52"/>
      <c r="I111" s="52"/>
      <c r="J111" s="52"/>
      <c r="K111" s="52"/>
    </row>
    <row r="112" spans="1:15" x14ac:dyDescent="0.2">
      <c r="C112" s="2"/>
      <c r="G112" s="52"/>
      <c r="I112" s="52"/>
      <c r="J112" s="52"/>
      <c r="K112" s="52"/>
    </row>
    <row r="113" spans="7:11" s="2" customFormat="1" x14ac:dyDescent="0.2">
      <c r="G113" s="52"/>
      <c r="I113" s="52"/>
      <c r="J113" s="52"/>
      <c r="K113" s="52"/>
    </row>
    <row r="114" spans="7:11" s="2" customFormat="1" x14ac:dyDescent="0.2">
      <c r="G114" s="52"/>
      <c r="I114" s="52"/>
      <c r="J114" s="52"/>
      <c r="K114" s="52"/>
    </row>
    <row r="115" spans="7:11" s="2" customFormat="1" x14ac:dyDescent="0.2">
      <c r="G115" s="52"/>
      <c r="I115" s="52"/>
      <c r="J115" s="52"/>
      <c r="K115" s="52"/>
    </row>
    <row r="116" spans="7:11" s="2" customFormat="1" x14ac:dyDescent="0.2">
      <c r="G116" s="52"/>
      <c r="I116" s="52"/>
      <c r="J116" s="52"/>
      <c r="K116" s="52"/>
    </row>
    <row r="117" spans="7:11" s="2" customFormat="1" x14ac:dyDescent="0.2">
      <c r="G117" s="52"/>
      <c r="I117" s="52"/>
      <c r="J117" s="52"/>
      <c r="K117" s="52"/>
    </row>
    <row r="118" spans="7:11" s="2" customFormat="1" x14ac:dyDescent="0.2">
      <c r="G118" s="52"/>
      <c r="I118" s="52"/>
      <c r="J118" s="52"/>
      <c r="K118" s="52"/>
    </row>
    <row r="119" spans="7:11" s="2" customFormat="1" x14ac:dyDescent="0.2">
      <c r="G119" s="52"/>
      <c r="I119" s="52"/>
      <c r="J119" s="52"/>
      <c r="K119" s="52"/>
    </row>
    <row r="120" spans="7:11" s="2" customFormat="1" x14ac:dyDescent="0.2">
      <c r="G120" s="52"/>
      <c r="I120" s="52"/>
      <c r="J120" s="52"/>
      <c r="K120" s="52"/>
    </row>
    <row r="121" spans="7:11" s="2" customFormat="1" x14ac:dyDescent="0.2">
      <c r="G121" s="52"/>
      <c r="I121" s="52"/>
      <c r="J121" s="52"/>
      <c r="K121" s="52"/>
    </row>
    <row r="122" spans="7:11" s="2" customFormat="1" x14ac:dyDescent="0.2">
      <c r="G122" s="52"/>
      <c r="I122" s="52"/>
      <c r="J122" s="52"/>
      <c r="K122" s="52"/>
    </row>
    <row r="123" spans="7:11" s="2" customFormat="1" x14ac:dyDescent="0.2">
      <c r="G123" s="52"/>
      <c r="I123" s="52"/>
      <c r="J123" s="52"/>
      <c r="K123" s="52"/>
    </row>
    <row r="124" spans="7:11" s="2" customFormat="1" x14ac:dyDescent="0.2">
      <c r="G124" s="52"/>
      <c r="I124" s="52"/>
      <c r="J124" s="52"/>
      <c r="K124" s="52"/>
    </row>
    <row r="125" spans="7:11" s="2" customFormat="1" x14ac:dyDescent="0.2">
      <c r="G125" s="52"/>
      <c r="I125" s="52"/>
      <c r="J125" s="52"/>
      <c r="K125" s="52"/>
    </row>
    <row r="126" spans="7:11" s="2" customFormat="1" x14ac:dyDescent="0.2">
      <c r="G126" s="52"/>
      <c r="I126" s="52"/>
      <c r="J126" s="52"/>
      <c r="K126" s="52"/>
    </row>
    <row r="127" spans="7:11" s="2" customFormat="1" x14ac:dyDescent="0.2">
      <c r="G127" s="52"/>
      <c r="I127" s="52"/>
      <c r="J127" s="52"/>
      <c r="K127" s="52"/>
    </row>
    <row r="128" spans="7:11" s="2" customFormat="1" x14ac:dyDescent="0.2">
      <c r="G128" s="52"/>
      <c r="I128" s="52"/>
      <c r="J128" s="52"/>
      <c r="K128" s="52"/>
    </row>
    <row r="129" spans="7:11" s="2" customFormat="1" x14ac:dyDescent="0.2">
      <c r="G129" s="52"/>
      <c r="I129" s="52"/>
      <c r="J129" s="52"/>
      <c r="K129" s="52"/>
    </row>
    <row r="130" spans="7:11" s="2" customFormat="1" x14ac:dyDescent="0.2">
      <c r="G130" s="52"/>
      <c r="I130" s="52"/>
      <c r="J130" s="52"/>
      <c r="K130" s="52"/>
    </row>
    <row r="131" spans="7:11" s="2" customFormat="1" x14ac:dyDescent="0.2">
      <c r="G131" s="52"/>
      <c r="I131" s="52"/>
      <c r="J131" s="52"/>
      <c r="K131" s="52"/>
    </row>
    <row r="132" spans="7:11" s="2" customFormat="1" x14ac:dyDescent="0.2">
      <c r="G132" s="52"/>
      <c r="I132" s="52"/>
      <c r="J132" s="52"/>
      <c r="K132" s="52"/>
    </row>
    <row r="133" spans="7:11" s="2" customFormat="1" x14ac:dyDescent="0.2">
      <c r="G133" s="52"/>
      <c r="I133" s="52"/>
      <c r="J133" s="52"/>
      <c r="K133" s="52"/>
    </row>
    <row r="134" spans="7:11" s="2" customFormat="1" x14ac:dyDescent="0.2">
      <c r="G134" s="52"/>
      <c r="I134" s="52"/>
      <c r="J134" s="52"/>
      <c r="K134" s="52"/>
    </row>
    <row r="135" spans="7:11" s="2" customFormat="1" x14ac:dyDescent="0.2">
      <c r="G135" s="52"/>
      <c r="I135" s="52"/>
      <c r="J135" s="52"/>
      <c r="K135" s="52"/>
    </row>
    <row r="136" spans="7:11" s="2" customFormat="1" x14ac:dyDescent="0.2">
      <c r="G136" s="52"/>
      <c r="I136" s="52"/>
      <c r="J136" s="52"/>
      <c r="K136" s="52"/>
    </row>
    <row r="137" spans="7:11" s="2" customFormat="1" x14ac:dyDescent="0.2">
      <c r="G137" s="52"/>
      <c r="I137" s="52"/>
      <c r="J137" s="52"/>
      <c r="K137" s="52"/>
    </row>
    <row r="138" spans="7:11" s="2" customFormat="1" x14ac:dyDescent="0.2">
      <c r="G138" s="52"/>
      <c r="I138" s="52"/>
      <c r="J138" s="52"/>
      <c r="K138" s="52"/>
    </row>
    <row r="139" spans="7:11" s="2" customFormat="1" x14ac:dyDescent="0.2">
      <c r="G139" s="52"/>
      <c r="I139" s="52"/>
      <c r="J139" s="52"/>
      <c r="K139" s="52"/>
    </row>
    <row r="140" spans="7:11" s="2" customFormat="1" x14ac:dyDescent="0.2">
      <c r="G140" s="52"/>
      <c r="I140" s="52"/>
      <c r="J140" s="52"/>
      <c r="K140" s="52"/>
    </row>
    <row r="141" spans="7:11" s="2" customFormat="1" x14ac:dyDescent="0.2">
      <c r="G141" s="52"/>
      <c r="I141" s="52"/>
      <c r="J141" s="52"/>
      <c r="K141" s="52"/>
    </row>
    <row r="142" spans="7:11" s="2" customFormat="1" x14ac:dyDescent="0.2">
      <c r="G142" s="52"/>
      <c r="I142" s="52"/>
      <c r="J142" s="52"/>
      <c r="K142" s="52"/>
    </row>
    <row r="143" spans="7:11" s="2" customFormat="1" x14ac:dyDescent="0.2">
      <c r="G143" s="52"/>
      <c r="I143" s="52"/>
      <c r="J143" s="52"/>
      <c r="K143" s="52"/>
    </row>
    <row r="144" spans="7:11" s="2" customFormat="1" x14ac:dyDescent="0.2">
      <c r="G144" s="52"/>
      <c r="I144" s="52"/>
      <c r="J144" s="52"/>
      <c r="K144" s="52"/>
    </row>
    <row r="145" spans="3:12" s="2" customFormat="1" x14ac:dyDescent="0.2">
      <c r="G145" s="52"/>
      <c r="I145" s="52"/>
      <c r="J145" s="52"/>
      <c r="K145" s="52"/>
    </row>
    <row r="146" spans="3:12" s="2" customFormat="1" x14ac:dyDescent="0.2">
      <c r="G146" s="52"/>
      <c r="I146" s="52"/>
      <c r="J146" s="52"/>
      <c r="K146" s="52"/>
    </row>
    <row r="147" spans="3:12" s="2" customFormat="1" x14ac:dyDescent="0.2">
      <c r="G147" s="52"/>
      <c r="I147" s="52"/>
      <c r="J147" s="52"/>
      <c r="K147" s="52"/>
    </row>
    <row r="148" spans="3:12" s="2" customFormat="1" x14ac:dyDescent="0.2">
      <c r="G148" s="52"/>
      <c r="I148" s="52"/>
      <c r="J148" s="52"/>
      <c r="K148" s="52"/>
    </row>
    <row r="149" spans="3:12" s="2" customFormat="1" x14ac:dyDescent="0.2">
      <c r="G149" s="52"/>
      <c r="I149" s="52"/>
      <c r="J149" s="52"/>
      <c r="K149" s="52"/>
    </row>
    <row r="150" spans="3:12" s="2" customFormat="1" x14ac:dyDescent="0.2">
      <c r="I150" s="52"/>
      <c r="J150" s="52"/>
      <c r="K150" s="52"/>
    </row>
    <row r="151" spans="3:12" s="2" customFormat="1" x14ac:dyDescent="0.2">
      <c r="I151" s="52"/>
      <c r="J151" s="52"/>
      <c r="K151" s="52"/>
    </row>
    <row r="152" spans="3:12" s="2" customFormat="1" x14ac:dyDescent="0.2">
      <c r="I152" s="52"/>
      <c r="J152" s="52"/>
      <c r="K152" s="52"/>
    </row>
    <row r="153" spans="3:12" s="2" customFormat="1" x14ac:dyDescent="0.2">
      <c r="I153" s="52"/>
      <c r="J153" s="52"/>
      <c r="K153" s="52"/>
    </row>
    <row r="154" spans="3:12" s="2" customFormat="1" x14ac:dyDescent="0.2">
      <c r="I154" s="52"/>
      <c r="J154" s="52"/>
      <c r="K154" s="52"/>
    </row>
    <row r="155" spans="3:12" s="2" customFormat="1" x14ac:dyDescent="0.2">
      <c r="I155" s="52"/>
      <c r="J155" s="52"/>
      <c r="K155" s="52"/>
    </row>
    <row r="156" spans="3:12" s="2" customFormat="1" x14ac:dyDescent="0.2">
      <c r="C156" s="3"/>
      <c r="J156" s="52"/>
      <c r="K156" s="52"/>
      <c r="L156" s="52"/>
    </row>
    <row r="157" spans="3:12" s="2" customFormat="1" x14ac:dyDescent="0.2">
      <c r="C157" s="3"/>
      <c r="J157" s="52"/>
      <c r="K157" s="52"/>
      <c r="L157" s="52"/>
    </row>
    <row r="158" spans="3:12" s="2" customFormat="1" x14ac:dyDescent="0.2">
      <c r="C158" s="3"/>
      <c r="J158" s="52"/>
      <c r="K158" s="52"/>
      <c r="L158" s="52"/>
    </row>
    <row r="159" spans="3:12" s="2" customFormat="1" x14ac:dyDescent="0.2">
      <c r="C159" s="3"/>
      <c r="J159" s="52"/>
      <c r="K159" s="52"/>
      <c r="L159" s="52"/>
    </row>
    <row r="160" spans="3:12" s="2" customFormat="1" x14ac:dyDescent="0.2">
      <c r="C160" s="3"/>
      <c r="J160" s="52"/>
      <c r="K160" s="52"/>
      <c r="L160" s="52"/>
    </row>
    <row r="161" spans="10:12" s="2" customFormat="1" x14ac:dyDescent="0.2">
      <c r="J161" s="52"/>
      <c r="K161" s="52"/>
      <c r="L161" s="52"/>
    </row>
    <row r="162" spans="10:12" s="2" customFormat="1" x14ac:dyDescent="0.2">
      <c r="J162" s="52"/>
      <c r="K162" s="52"/>
      <c r="L162" s="52"/>
    </row>
    <row r="163" spans="10:12" s="2" customFormat="1" x14ac:dyDescent="0.2">
      <c r="J163" s="52"/>
      <c r="K163" s="52"/>
      <c r="L163" s="52"/>
    </row>
  </sheetData>
  <mergeCells count="16">
    <mergeCell ref="A1:O1"/>
    <mergeCell ref="A2:O2"/>
    <mergeCell ref="A3:O3"/>
    <mergeCell ref="A4:O4"/>
    <mergeCell ref="C7:E7"/>
    <mergeCell ref="G7:H7"/>
    <mergeCell ref="I7:J7"/>
    <mergeCell ref="K7:L7"/>
    <mergeCell ref="M7:O7"/>
    <mergeCell ref="A47:O47"/>
    <mergeCell ref="A48:O48"/>
    <mergeCell ref="C49:E49"/>
    <mergeCell ref="G49:H49"/>
    <mergeCell ref="I49:J49"/>
    <mergeCell ref="K49:L49"/>
    <mergeCell ref="M49:N49"/>
  </mergeCells>
  <pageMargins left="0.7" right="0.7" top="0.75" bottom="0.75" header="0.3" footer="0.3"/>
  <pageSetup paperSize="5" scale="8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62"/>
  <sheetViews>
    <sheetView workbookViewId="0">
      <pane xSplit="2" ySplit="8" topLeftCell="C18" activePane="bottomRight" state="frozen"/>
      <selection pane="topRight" activeCell="C1" sqref="C1"/>
      <selection pane="bottomLeft" activeCell="A9" sqref="A9"/>
      <selection pane="bottomRight" activeCell="G22" sqref="G22"/>
    </sheetView>
  </sheetViews>
  <sheetFormatPr defaultRowHeight="12" x14ac:dyDescent="0.2"/>
  <cols>
    <col min="1" max="1" width="14.28515625" style="2" customWidth="1"/>
    <col min="2" max="2" width="14.42578125" style="2" customWidth="1"/>
    <col min="3" max="3" width="12.28515625" style="3" customWidth="1"/>
    <col min="4" max="4" width="10.5703125" style="2" customWidth="1"/>
    <col min="5" max="5" width="11.85546875" style="2" customWidth="1"/>
    <col min="6" max="6" width="13.28515625" style="2" customWidth="1"/>
    <col min="7" max="7" width="11.7109375" style="2" customWidth="1"/>
    <col min="8" max="8" width="13" style="2" customWidth="1"/>
    <col min="9" max="9" width="11.28515625" style="2" customWidth="1"/>
    <col min="10" max="10" width="12.42578125" style="2" customWidth="1"/>
    <col min="11" max="11" width="10.85546875" style="2" customWidth="1"/>
    <col min="12" max="12" width="13.5703125" style="2" customWidth="1"/>
    <col min="13" max="13" width="11.140625" style="2" customWidth="1"/>
    <col min="14" max="14" width="10.7109375" style="2" customWidth="1"/>
    <col min="15" max="15" width="11" style="30" customWidth="1"/>
    <col min="16" max="17" width="11.140625" style="2" bestFit="1" customWidth="1"/>
    <col min="18" max="18" width="11.85546875" style="2" customWidth="1"/>
    <col min="19" max="24" width="9.140625" style="2"/>
    <col min="25" max="25" width="2" style="2" customWidth="1"/>
    <col min="26" max="16384" width="9.140625" style="2"/>
  </cols>
  <sheetData>
    <row r="1" spans="1:18" ht="15.75" x14ac:dyDescent="0.25">
      <c r="A1" s="305" t="s">
        <v>0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</row>
    <row r="2" spans="1:18" ht="15.75" x14ac:dyDescent="0.25">
      <c r="A2" s="306" t="s">
        <v>12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</row>
    <row r="3" spans="1:18" ht="15.75" x14ac:dyDescent="0.25">
      <c r="A3" s="305" t="s">
        <v>58</v>
      </c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</row>
    <row r="4" spans="1:18" ht="15.75" x14ac:dyDescent="0.25">
      <c r="A4" s="305" t="s">
        <v>91</v>
      </c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5"/>
      <c r="O4" s="305"/>
    </row>
    <row r="5" spans="1:18" x14ac:dyDescent="0.2">
      <c r="A5" s="1"/>
      <c r="B5" s="1"/>
      <c r="C5" s="46"/>
      <c r="D5" s="1"/>
      <c r="E5" s="1"/>
      <c r="F5" s="1"/>
      <c r="G5" s="1"/>
      <c r="H5" s="1"/>
      <c r="I5" s="1"/>
      <c r="J5" s="1"/>
      <c r="K5" s="1"/>
      <c r="L5" s="1"/>
      <c r="M5" s="1" t="s">
        <v>49</v>
      </c>
      <c r="N5" s="127" t="s">
        <v>50</v>
      </c>
      <c r="O5" s="111"/>
    </row>
    <row r="6" spans="1:18" x14ac:dyDescent="0.2">
      <c r="N6" s="126" t="s">
        <v>51</v>
      </c>
    </row>
    <row r="7" spans="1:18" x14ac:dyDescent="0.2">
      <c r="A7" s="4"/>
      <c r="B7" s="5"/>
      <c r="C7" s="310" t="s">
        <v>59</v>
      </c>
      <c r="D7" s="308"/>
      <c r="E7" s="309"/>
      <c r="F7" s="57"/>
      <c r="G7" s="308" t="s">
        <v>60</v>
      </c>
      <c r="H7" s="309"/>
      <c r="I7" s="308" t="s">
        <v>61</v>
      </c>
      <c r="J7" s="309"/>
      <c r="K7" s="308" t="s">
        <v>62</v>
      </c>
      <c r="L7" s="309"/>
      <c r="M7" s="308" t="s">
        <v>10</v>
      </c>
      <c r="N7" s="308"/>
      <c r="O7" s="308"/>
    </row>
    <row r="8" spans="1:18" ht="12.75" thickBot="1" x14ac:dyDescent="0.25">
      <c r="A8" s="6"/>
      <c r="B8" s="7" t="s">
        <v>11</v>
      </c>
      <c r="C8" s="45" t="s">
        <v>9</v>
      </c>
      <c r="D8" s="8" t="s">
        <v>8</v>
      </c>
      <c r="E8" s="8" t="s">
        <v>10</v>
      </c>
      <c r="F8" s="25" t="s">
        <v>9</v>
      </c>
      <c r="G8" s="8" t="s">
        <v>8</v>
      </c>
      <c r="H8" s="19" t="s">
        <v>10</v>
      </c>
      <c r="I8" s="8" t="s">
        <v>8</v>
      </c>
      <c r="J8" s="19" t="s">
        <v>10</v>
      </c>
      <c r="K8" s="8" t="s">
        <v>8</v>
      </c>
      <c r="L8" s="19" t="s">
        <v>10</v>
      </c>
      <c r="M8" s="8" t="s">
        <v>8</v>
      </c>
      <c r="N8" s="8" t="s">
        <v>3</v>
      </c>
      <c r="O8" s="112" t="s">
        <v>16</v>
      </c>
      <c r="Q8" s="2" t="s">
        <v>63</v>
      </c>
    </row>
    <row r="9" spans="1:18" x14ac:dyDescent="0.2">
      <c r="A9" s="97" t="s">
        <v>64</v>
      </c>
      <c r="B9" s="98"/>
      <c r="C9" s="37"/>
      <c r="D9" s="5"/>
      <c r="E9" s="17"/>
      <c r="F9" s="26"/>
      <c r="G9" s="5"/>
      <c r="H9" s="20"/>
      <c r="I9" s="24"/>
      <c r="J9" s="20"/>
      <c r="K9" s="24"/>
      <c r="L9" s="20"/>
      <c r="M9" s="5"/>
      <c r="N9" s="5"/>
      <c r="O9" s="43"/>
      <c r="P9" s="153" t="s">
        <v>65</v>
      </c>
      <c r="Q9" s="153" t="s">
        <v>66</v>
      </c>
      <c r="R9" s="2" t="s">
        <v>67</v>
      </c>
    </row>
    <row r="10" spans="1:18" x14ac:dyDescent="0.2">
      <c r="A10" s="9"/>
      <c r="B10" s="10" t="s">
        <v>4</v>
      </c>
      <c r="C10" s="154">
        <v>88.59</v>
      </c>
      <c r="D10" s="12">
        <f>+D22</f>
        <v>11423</v>
      </c>
      <c r="E10" s="18">
        <f>+D10*C10</f>
        <v>1011963.5700000001</v>
      </c>
      <c r="F10" s="154">
        <v>95.67</v>
      </c>
      <c r="G10" s="155">
        <v>91294</v>
      </c>
      <c r="H10" s="21">
        <f>+G10*F10</f>
        <v>8734096.9800000004</v>
      </c>
      <c r="I10" s="29">
        <v>77375</v>
      </c>
      <c r="J10" s="21">
        <f>+I10*F10</f>
        <v>7402466.25</v>
      </c>
      <c r="K10" s="12">
        <f>20451-D10</f>
        <v>9028</v>
      </c>
      <c r="L10" s="21">
        <f>+K10*C10</f>
        <v>799790.52</v>
      </c>
      <c r="M10" s="12">
        <f>+I10+G10+D10+K10</f>
        <v>189120</v>
      </c>
      <c r="N10" s="12">
        <f>+M10/40</f>
        <v>4728</v>
      </c>
      <c r="O10" s="12">
        <f>+E10+H10+J10+L10</f>
        <v>17948317.32</v>
      </c>
      <c r="P10" s="30">
        <f>+E10</f>
        <v>1011963.5700000001</v>
      </c>
      <c r="Q10" s="30">
        <f>+K10*C10</f>
        <v>799790.52</v>
      </c>
      <c r="R10" s="30">
        <f>+Q10+P10</f>
        <v>1811754.09</v>
      </c>
    </row>
    <row r="11" spans="1:18" x14ac:dyDescent="0.2">
      <c r="A11" s="4"/>
      <c r="B11" s="10" t="s">
        <v>5</v>
      </c>
      <c r="C11" s="154">
        <v>88.59</v>
      </c>
      <c r="D11" s="12">
        <f>+D23</f>
        <v>16333</v>
      </c>
      <c r="E11" s="18">
        <f t="shared" ref="E11:E13" si="0">+D11*C11</f>
        <v>1446940.47</v>
      </c>
      <c r="F11" s="154">
        <v>95.67</v>
      </c>
      <c r="G11" s="155">
        <v>138491</v>
      </c>
      <c r="H11" s="21">
        <f t="shared" ref="H11:H13" si="1">+G11*F11</f>
        <v>13249433.970000001</v>
      </c>
      <c r="I11" s="29">
        <v>136613</v>
      </c>
      <c r="J11" s="21">
        <f t="shared" ref="J11:J13" si="2">+I11*F11</f>
        <v>13069765.710000001</v>
      </c>
      <c r="K11" s="12">
        <f>56816-D11</f>
        <v>40483</v>
      </c>
      <c r="L11" s="21">
        <f>+K11*C11</f>
        <v>3586388.97</v>
      </c>
      <c r="M11" s="12">
        <f t="shared" ref="M11:M13" si="3">+I11+G11+D11+K11</f>
        <v>331920</v>
      </c>
      <c r="N11" s="12">
        <f>+M11/40</f>
        <v>8298</v>
      </c>
      <c r="O11" s="12">
        <f t="shared" ref="O11:O13" si="4">+E11+H11+J11+L11</f>
        <v>31352529.120000001</v>
      </c>
      <c r="P11" s="30">
        <f>+E11</f>
        <v>1446940.47</v>
      </c>
      <c r="Q11" s="30">
        <f>+K11*C11</f>
        <v>3586388.97</v>
      </c>
      <c r="R11" s="30">
        <f>+Q11+P11</f>
        <v>5033329.4400000004</v>
      </c>
    </row>
    <row r="12" spans="1:18" x14ac:dyDescent="0.2">
      <c r="A12" s="4"/>
      <c r="B12" s="10" t="s">
        <v>6</v>
      </c>
      <c r="C12" s="154">
        <v>241.09</v>
      </c>
      <c r="D12" s="12">
        <f>+D24</f>
        <v>2003</v>
      </c>
      <c r="E12" s="18">
        <f t="shared" si="0"/>
        <v>482903.27</v>
      </c>
      <c r="F12" s="154">
        <v>260.37</v>
      </c>
      <c r="G12" s="155">
        <v>24176</v>
      </c>
      <c r="H12" s="21">
        <f t="shared" si="1"/>
        <v>6294705.1200000001</v>
      </c>
      <c r="I12" s="29">
        <v>23909</v>
      </c>
      <c r="J12" s="21">
        <f t="shared" si="2"/>
        <v>6225186.3300000001</v>
      </c>
      <c r="K12" s="12">
        <f>13707-D12</f>
        <v>11704</v>
      </c>
      <c r="L12" s="21">
        <f>+K12*C12</f>
        <v>2821717.36</v>
      </c>
      <c r="M12" s="12">
        <f t="shared" si="3"/>
        <v>61792</v>
      </c>
      <c r="N12" s="12">
        <f>+M12/32</f>
        <v>1931</v>
      </c>
      <c r="O12" s="12">
        <f t="shared" si="4"/>
        <v>15824512.08</v>
      </c>
      <c r="P12" s="30">
        <f>+E12</f>
        <v>482903.27</v>
      </c>
      <c r="Q12" s="30">
        <f>+K12*C12</f>
        <v>2821717.36</v>
      </c>
      <c r="R12" s="30">
        <f>+Q12+P12</f>
        <v>3304620.63</v>
      </c>
    </row>
    <row r="13" spans="1:18" x14ac:dyDescent="0.2">
      <c r="A13" s="4"/>
      <c r="B13" s="10" t="s">
        <v>7</v>
      </c>
      <c r="C13" s="154">
        <v>241.09</v>
      </c>
      <c r="D13" s="12">
        <f>+D25</f>
        <v>378</v>
      </c>
      <c r="E13" s="18">
        <f t="shared" si="0"/>
        <v>91132.02</v>
      </c>
      <c r="F13" s="154">
        <v>260.37</v>
      </c>
      <c r="G13" s="155">
        <v>3678</v>
      </c>
      <c r="H13" s="21">
        <f t="shared" si="1"/>
        <v>957640.86</v>
      </c>
      <c r="I13" s="29">
        <v>3457</v>
      </c>
      <c r="J13" s="21">
        <f t="shared" si="2"/>
        <v>900099.09</v>
      </c>
      <c r="K13" s="12">
        <f>1890-D13</f>
        <v>1512</v>
      </c>
      <c r="L13" s="21">
        <f>+K13*C13</f>
        <v>364528.08</v>
      </c>
      <c r="M13" s="12">
        <f t="shared" si="3"/>
        <v>9025</v>
      </c>
      <c r="N13" s="12">
        <f>+M13/32</f>
        <v>282.03125</v>
      </c>
      <c r="O13" s="12">
        <f t="shared" si="4"/>
        <v>2313400.0499999998</v>
      </c>
      <c r="P13" s="116">
        <f>+E13</f>
        <v>91132.02</v>
      </c>
      <c r="Q13" s="116">
        <f>+K13*C13</f>
        <v>364528.08</v>
      </c>
      <c r="R13" s="116">
        <f>+Q13+P13</f>
        <v>455660.10000000003</v>
      </c>
    </row>
    <row r="14" spans="1:18" x14ac:dyDescent="0.2">
      <c r="A14" s="4"/>
      <c r="B14" s="156" t="s">
        <v>13</v>
      </c>
      <c r="C14" s="157"/>
      <c r="D14" s="158">
        <f>SUM(D10:D13)</f>
        <v>30137</v>
      </c>
      <c r="E14" s="159">
        <f>SUM(E10:E13)</f>
        <v>3032939.33</v>
      </c>
      <c r="F14" s="160"/>
      <c r="G14" s="161">
        <f t="shared" ref="G14:O14" si="5">SUM(G10:G13)</f>
        <v>257639</v>
      </c>
      <c r="H14" s="162">
        <f t="shared" si="5"/>
        <v>29235876.930000003</v>
      </c>
      <c r="I14" s="163">
        <f t="shared" si="5"/>
        <v>241354</v>
      </c>
      <c r="J14" s="162">
        <f t="shared" si="5"/>
        <v>27597517.379999999</v>
      </c>
      <c r="K14" s="163">
        <f>SUM(K10:K13)</f>
        <v>62727</v>
      </c>
      <c r="L14" s="162">
        <f>SUM(L10:L13)</f>
        <v>7572424.9299999997</v>
      </c>
      <c r="M14" s="158">
        <f t="shared" si="5"/>
        <v>591857</v>
      </c>
      <c r="N14" s="158">
        <f t="shared" si="5"/>
        <v>15239.03125</v>
      </c>
      <c r="O14" s="158">
        <f t="shared" si="5"/>
        <v>67438758.569999993</v>
      </c>
      <c r="P14" s="30">
        <f>SUM(P10:P13)</f>
        <v>3032939.33</v>
      </c>
      <c r="Q14" s="30">
        <f>SUM(Q10:Q13)</f>
        <v>7572424.9299999997</v>
      </c>
      <c r="R14" s="164">
        <f>SUM(R10:R13)</f>
        <v>10605364.26</v>
      </c>
    </row>
    <row r="15" spans="1:18" x14ac:dyDescent="0.2">
      <c r="A15" s="4"/>
      <c r="B15" s="10" t="s">
        <v>4</v>
      </c>
      <c r="C15" s="154">
        <v>429.15</v>
      </c>
      <c r="D15" s="12">
        <f>+D27</f>
        <v>301</v>
      </c>
      <c r="E15" s="18">
        <f t="shared" ref="E15:E18" si="6">+D15*C15</f>
        <v>129174.15</v>
      </c>
      <c r="F15" s="154">
        <v>463.48</v>
      </c>
      <c r="G15" s="155">
        <v>5582</v>
      </c>
      <c r="H15" s="21">
        <f t="shared" ref="H15:H18" si="7">+G15*F15</f>
        <v>2587145.36</v>
      </c>
      <c r="I15" s="29">
        <v>4492</v>
      </c>
      <c r="J15" s="21">
        <f t="shared" ref="J15:J18" si="8">+I15*F15</f>
        <v>2081952.1600000001</v>
      </c>
      <c r="K15" s="29">
        <f>621-D15</f>
        <v>320</v>
      </c>
      <c r="L15" s="21">
        <f>+K15*C15</f>
        <v>137328</v>
      </c>
      <c r="M15" s="12">
        <f t="shared" ref="M15:M18" si="9">+I15+G15+D15+K15</f>
        <v>10695</v>
      </c>
      <c r="N15" s="12">
        <f>+M15/40</f>
        <v>267.375</v>
      </c>
      <c r="O15" s="12">
        <f t="shared" ref="O15:O18" si="10">+E15+H15+J15+L15</f>
        <v>4935599.67</v>
      </c>
      <c r="P15" s="30">
        <f>+E15</f>
        <v>129174.15</v>
      </c>
      <c r="Q15" s="30">
        <f>+K15*C15</f>
        <v>137328</v>
      </c>
      <c r="R15" s="30">
        <f>+Q15+P15</f>
        <v>266502.15000000002</v>
      </c>
    </row>
    <row r="16" spans="1:18" x14ac:dyDescent="0.2">
      <c r="A16" s="5"/>
      <c r="B16" s="10" t="s">
        <v>5</v>
      </c>
      <c r="C16" s="154">
        <v>429.15</v>
      </c>
      <c r="D16" s="12">
        <f>+D28</f>
        <v>315</v>
      </c>
      <c r="E16" s="18">
        <f t="shared" si="6"/>
        <v>135182.25</v>
      </c>
      <c r="F16" s="154">
        <v>463.48</v>
      </c>
      <c r="G16" s="155">
        <v>6934</v>
      </c>
      <c r="H16" s="21">
        <f t="shared" si="7"/>
        <v>3213770.3200000003</v>
      </c>
      <c r="I16" s="29">
        <v>6737</v>
      </c>
      <c r="J16" s="21">
        <f t="shared" si="8"/>
        <v>3122464.7600000002</v>
      </c>
      <c r="K16" s="29">
        <f>1841-D16</f>
        <v>1526</v>
      </c>
      <c r="L16" s="21">
        <f>+K16*C16</f>
        <v>654882.9</v>
      </c>
      <c r="M16" s="12">
        <f t="shared" si="9"/>
        <v>15512</v>
      </c>
      <c r="N16" s="12">
        <f>+M16/40</f>
        <v>387.8</v>
      </c>
      <c r="O16" s="12">
        <f t="shared" si="10"/>
        <v>7126300.2300000004</v>
      </c>
      <c r="P16" s="30">
        <f>+E16</f>
        <v>135182.25</v>
      </c>
      <c r="Q16" s="30">
        <f>+K16*C16</f>
        <v>654882.9</v>
      </c>
      <c r="R16" s="30">
        <f>+Q16+P16</f>
        <v>790065.15</v>
      </c>
    </row>
    <row r="17" spans="1:18" x14ac:dyDescent="0.2">
      <c r="A17" s="5"/>
      <c r="B17" s="10" t="s">
        <v>6</v>
      </c>
      <c r="C17" s="154">
        <v>596.88</v>
      </c>
      <c r="D17" s="12">
        <f>+D29</f>
        <v>109</v>
      </c>
      <c r="E17" s="18">
        <f t="shared" si="6"/>
        <v>65059.92</v>
      </c>
      <c r="F17" s="154">
        <v>644.63</v>
      </c>
      <c r="G17" s="155">
        <v>2333</v>
      </c>
      <c r="H17" s="21">
        <f t="shared" si="7"/>
        <v>1503921.79</v>
      </c>
      <c r="I17" s="29">
        <v>2246</v>
      </c>
      <c r="J17" s="21">
        <f t="shared" si="8"/>
        <v>1447838.98</v>
      </c>
      <c r="K17" s="29">
        <f>749-D17</f>
        <v>640</v>
      </c>
      <c r="L17" s="21">
        <f>+K17*C17</f>
        <v>382003.20000000001</v>
      </c>
      <c r="M17" s="12">
        <f t="shared" si="9"/>
        <v>5328</v>
      </c>
      <c r="N17" s="12">
        <f>+M17/32</f>
        <v>166.5</v>
      </c>
      <c r="O17" s="12">
        <f t="shared" si="10"/>
        <v>3398823.89</v>
      </c>
      <c r="P17" s="30">
        <f>+E17</f>
        <v>65059.92</v>
      </c>
      <c r="Q17" s="30">
        <f>+K17*C17</f>
        <v>382003.20000000001</v>
      </c>
      <c r="R17" s="30">
        <f>+Q17+P17</f>
        <v>447063.12</v>
      </c>
    </row>
    <row r="18" spans="1:18" x14ac:dyDescent="0.2">
      <c r="A18" s="5"/>
      <c r="B18" s="10" t="s">
        <v>7</v>
      </c>
      <c r="C18" s="154">
        <v>596.88</v>
      </c>
      <c r="D18" s="12">
        <f>+D30</f>
        <v>1158</v>
      </c>
      <c r="E18" s="18">
        <f t="shared" si="6"/>
        <v>691187.04</v>
      </c>
      <c r="F18" s="154">
        <v>644.63</v>
      </c>
      <c r="G18" s="155">
        <v>1142</v>
      </c>
      <c r="H18" s="21">
        <f t="shared" si="7"/>
        <v>736167.46</v>
      </c>
      <c r="I18" s="29">
        <v>1070</v>
      </c>
      <c r="J18" s="21">
        <f t="shared" si="8"/>
        <v>689754.1</v>
      </c>
      <c r="K18" s="29">
        <f>613-D18</f>
        <v>-545</v>
      </c>
      <c r="L18" s="21">
        <f>+K18*C18</f>
        <v>-325299.59999999998</v>
      </c>
      <c r="M18" s="12">
        <f t="shared" si="9"/>
        <v>2825</v>
      </c>
      <c r="N18" s="12">
        <f>+M18/32</f>
        <v>88.28125</v>
      </c>
      <c r="O18" s="12">
        <f t="shared" si="10"/>
        <v>1791809</v>
      </c>
      <c r="P18" s="116">
        <f>+E18</f>
        <v>691187.04</v>
      </c>
      <c r="Q18" s="116">
        <f>+K18*C18</f>
        <v>-325299.59999999998</v>
      </c>
      <c r="R18" s="116">
        <f>+Q18+P18</f>
        <v>365887.44000000006</v>
      </c>
    </row>
    <row r="19" spans="1:18" x14ac:dyDescent="0.2">
      <c r="A19" s="5"/>
      <c r="B19" s="156" t="s">
        <v>14</v>
      </c>
      <c r="C19" s="157"/>
      <c r="D19" s="158">
        <f>SUM(D15:D18)</f>
        <v>1883</v>
      </c>
      <c r="E19" s="159">
        <f>SUM(E15:E18)</f>
        <v>1020603.3600000001</v>
      </c>
      <c r="F19" s="160"/>
      <c r="G19" s="161">
        <f t="shared" ref="G19:O19" si="11">SUM(G15:G18)</f>
        <v>15991</v>
      </c>
      <c r="H19" s="162">
        <f t="shared" si="11"/>
        <v>8041004.9299999997</v>
      </c>
      <c r="I19" s="163">
        <f t="shared" si="11"/>
        <v>14545</v>
      </c>
      <c r="J19" s="162">
        <f t="shared" si="11"/>
        <v>7342010</v>
      </c>
      <c r="K19" s="163">
        <f>SUM(K15:K18)</f>
        <v>1941</v>
      </c>
      <c r="L19" s="162">
        <f>SUM(L15:L18)</f>
        <v>848914.50000000012</v>
      </c>
      <c r="M19" s="158">
        <f t="shared" si="11"/>
        <v>34360</v>
      </c>
      <c r="N19" s="158">
        <f t="shared" si="11"/>
        <v>909.95624999999995</v>
      </c>
      <c r="O19" s="158">
        <f t="shared" si="11"/>
        <v>17252532.789999999</v>
      </c>
      <c r="P19" s="30">
        <f>SUM(P15:P18)</f>
        <v>1020603.3600000001</v>
      </c>
      <c r="Q19" s="30">
        <f>SUM(Q15:Q18)</f>
        <v>848914.50000000012</v>
      </c>
      <c r="R19" s="164">
        <f>SUM(R15:R18)</f>
        <v>1869517.8599999999</v>
      </c>
    </row>
    <row r="20" spans="1:18" ht="12.75" thickBot="1" x14ac:dyDescent="0.25">
      <c r="A20" s="13"/>
      <c r="B20" s="165" t="s">
        <v>1</v>
      </c>
      <c r="C20" s="166"/>
      <c r="D20" s="167"/>
      <c r="E20" s="168">
        <f>+E19+E14</f>
        <v>4053542.6900000004</v>
      </c>
      <c r="F20" s="169"/>
      <c r="G20" s="170"/>
      <c r="H20" s="171">
        <f>+H19+H14</f>
        <v>37276881.859999999</v>
      </c>
      <c r="I20" s="172"/>
      <c r="J20" s="171">
        <f>+J19+J14</f>
        <v>34939527.379999995</v>
      </c>
      <c r="K20" s="172"/>
      <c r="L20" s="171">
        <f>+L19+L14</f>
        <v>8421339.4299999997</v>
      </c>
      <c r="M20" s="173"/>
      <c r="N20" s="174">
        <f>+N14</f>
        <v>15239.03125</v>
      </c>
      <c r="O20" s="175">
        <f>+O19+O14</f>
        <v>84691291.359999985</v>
      </c>
      <c r="P20" s="30"/>
      <c r="Q20" s="30"/>
      <c r="R20" s="16">
        <f>+R19+R14</f>
        <v>12474882.119999999</v>
      </c>
    </row>
    <row r="21" spans="1:18" x14ac:dyDescent="0.2">
      <c r="A21" s="97" t="s">
        <v>68</v>
      </c>
      <c r="B21" s="98"/>
      <c r="C21" s="123"/>
      <c r="D21" s="5"/>
      <c r="E21" s="5"/>
      <c r="F21" s="124"/>
      <c r="G21" s="5"/>
      <c r="H21" s="22"/>
      <c r="I21" s="24"/>
      <c r="J21" s="22"/>
      <c r="K21" s="24"/>
      <c r="L21" s="22"/>
      <c r="M21" s="5"/>
      <c r="N21" s="5"/>
      <c r="O21" s="43"/>
      <c r="P21" s="30"/>
      <c r="Q21" s="30"/>
    </row>
    <row r="22" spans="1:18" x14ac:dyDescent="0.2">
      <c r="A22" s="9"/>
      <c r="B22" s="10" t="s">
        <v>4</v>
      </c>
      <c r="C22" s="154">
        <v>88.59</v>
      </c>
      <c r="D22" s="12">
        <f>11122+301</f>
        <v>11423</v>
      </c>
      <c r="E22" s="18">
        <f t="shared" ref="E22:E25" si="12">+D22*C22</f>
        <v>1011963.5700000001</v>
      </c>
      <c r="F22" s="154">
        <f>+F10</f>
        <v>95.67</v>
      </c>
      <c r="G22" s="11">
        <f>100252+G27</f>
        <v>106953</v>
      </c>
      <c r="H22" s="21">
        <f t="shared" ref="H22:H25" si="13">+G22*F22</f>
        <v>10232193.51</v>
      </c>
      <c r="I22" s="125">
        <f>86438+5120</f>
        <v>91558</v>
      </c>
      <c r="J22" s="21">
        <f t="shared" ref="J22:J25" si="14">+I22*F22</f>
        <v>8759353.8599999994</v>
      </c>
      <c r="K22" s="281">
        <f>5281+12575+145+373</f>
        <v>18374</v>
      </c>
      <c r="L22" s="21">
        <f t="shared" ref="L22:L25" si="15">+K22*F22</f>
        <v>1757840.58</v>
      </c>
      <c r="M22" s="12">
        <f t="shared" ref="M22:M25" si="16">+I22+G22+D22+K22</f>
        <v>228308</v>
      </c>
      <c r="N22" s="12">
        <f>+M22/40</f>
        <v>5707.7</v>
      </c>
      <c r="O22" s="12">
        <f t="shared" ref="O22:O25" si="17">+E22+H22+J22+L22</f>
        <v>21761351.519999996</v>
      </c>
      <c r="P22" s="16"/>
    </row>
    <row r="23" spans="1:18" x14ac:dyDescent="0.2">
      <c r="A23" s="4"/>
      <c r="B23" s="10" t="s">
        <v>5</v>
      </c>
      <c r="C23" s="154">
        <v>88.59</v>
      </c>
      <c r="D23" s="12">
        <f>16018+315</f>
        <v>16333</v>
      </c>
      <c r="E23" s="18">
        <f t="shared" si="12"/>
        <v>1446940.47</v>
      </c>
      <c r="F23" s="154">
        <f>+F11</f>
        <v>95.67</v>
      </c>
      <c r="G23" s="11">
        <f>135526+G28</f>
        <v>141361</v>
      </c>
      <c r="H23" s="21">
        <f t="shared" si="13"/>
        <v>13524006.870000001</v>
      </c>
      <c r="I23" s="125">
        <f>136073+6164</f>
        <v>142237</v>
      </c>
      <c r="J23" s="21">
        <f t="shared" si="14"/>
        <v>13607813.790000001</v>
      </c>
      <c r="K23" s="281">
        <f>22291+19894+736+601</f>
        <v>43522</v>
      </c>
      <c r="L23" s="21">
        <f t="shared" si="15"/>
        <v>4163749.74</v>
      </c>
      <c r="M23" s="12">
        <f t="shared" si="16"/>
        <v>343453</v>
      </c>
      <c r="N23" s="12">
        <f>+M23/40</f>
        <v>8586.3250000000007</v>
      </c>
      <c r="O23" s="12">
        <f t="shared" si="17"/>
        <v>32742510.870000005</v>
      </c>
    </row>
    <row r="24" spans="1:18" x14ac:dyDescent="0.2">
      <c r="A24" s="4"/>
      <c r="B24" s="10" t="s">
        <v>6</v>
      </c>
      <c r="C24" s="154">
        <v>241.09</v>
      </c>
      <c r="D24" s="12">
        <f>1894+109</f>
        <v>2003</v>
      </c>
      <c r="E24" s="18">
        <f t="shared" si="12"/>
        <v>482903.27</v>
      </c>
      <c r="F24" s="154">
        <v>260.38</v>
      </c>
      <c r="G24" s="11">
        <f>21087+G29</f>
        <v>23595</v>
      </c>
      <c r="H24" s="21">
        <f t="shared" si="13"/>
        <v>6143666.0999999996</v>
      </c>
      <c r="I24" s="125">
        <f>20891+2280</f>
        <v>23171</v>
      </c>
      <c r="J24" s="21">
        <f t="shared" si="14"/>
        <v>6033264.9799999995</v>
      </c>
      <c r="K24" s="281">
        <f>7840+2157+485+146</f>
        <v>10628</v>
      </c>
      <c r="L24" s="21">
        <f t="shared" si="15"/>
        <v>2767318.64</v>
      </c>
      <c r="M24" s="12">
        <f t="shared" si="16"/>
        <v>59397</v>
      </c>
      <c r="N24" s="12">
        <f>+M24/32</f>
        <v>1856.15625</v>
      </c>
      <c r="O24" s="12">
        <f t="shared" si="17"/>
        <v>15427152.989999998</v>
      </c>
      <c r="P24" s="283"/>
    </row>
    <row r="25" spans="1:18" x14ac:dyDescent="0.2">
      <c r="A25" s="4"/>
      <c r="B25" s="10" t="s">
        <v>7</v>
      </c>
      <c r="C25" s="154">
        <v>241.09</v>
      </c>
      <c r="D25" s="12">
        <f>263+115</f>
        <v>378</v>
      </c>
      <c r="E25" s="18">
        <f t="shared" si="12"/>
        <v>91132.02</v>
      </c>
      <c r="F25" s="154">
        <v>260.38</v>
      </c>
      <c r="G25" s="11">
        <f>3583+G30</f>
        <v>5071</v>
      </c>
      <c r="H25" s="21">
        <f t="shared" si="13"/>
        <v>1320386.98</v>
      </c>
      <c r="I25" s="125">
        <f>3534+1469</f>
        <v>5003</v>
      </c>
      <c r="J25" s="21">
        <f t="shared" si="14"/>
        <v>1302681.1399999999</v>
      </c>
      <c r="K25" s="281">
        <f>1310+395+478+138</f>
        <v>2321</v>
      </c>
      <c r="L25" s="21">
        <f t="shared" si="15"/>
        <v>604341.98</v>
      </c>
      <c r="M25" s="12">
        <f t="shared" si="16"/>
        <v>12773</v>
      </c>
      <c r="N25" s="12">
        <f>+M25/32</f>
        <v>399.15625</v>
      </c>
      <c r="O25" s="12">
        <f t="shared" si="17"/>
        <v>3318542.1199999996</v>
      </c>
    </row>
    <row r="26" spans="1:18" x14ac:dyDescent="0.2">
      <c r="A26" s="4"/>
      <c r="B26" s="156" t="s">
        <v>13</v>
      </c>
      <c r="C26" s="157"/>
      <c r="D26" s="158">
        <f>SUM(D22:D25)</f>
        <v>30137</v>
      </c>
      <c r="E26" s="159">
        <f>SUM(E22:E25)</f>
        <v>3032939.33</v>
      </c>
      <c r="F26" s="160"/>
      <c r="G26" s="161">
        <f t="shared" ref="G26:N26" si="18">SUM(G22:G25)</f>
        <v>276980</v>
      </c>
      <c r="H26" s="162">
        <f t="shared" si="18"/>
        <v>31220253.460000005</v>
      </c>
      <c r="I26" s="192">
        <f t="shared" si="18"/>
        <v>261969</v>
      </c>
      <c r="J26" s="162">
        <f t="shared" si="18"/>
        <v>29703113.77</v>
      </c>
      <c r="K26" s="282">
        <f>SUM(K22:K25)</f>
        <v>74845</v>
      </c>
      <c r="L26" s="162">
        <f>SUM(L22:L25)</f>
        <v>9293250.9400000013</v>
      </c>
      <c r="M26" s="158">
        <f t="shared" si="18"/>
        <v>643931</v>
      </c>
      <c r="N26" s="158">
        <f t="shared" si="18"/>
        <v>16549.337500000001</v>
      </c>
      <c r="O26" s="158">
        <f>SUM(O22:O25)</f>
        <v>73249557.5</v>
      </c>
      <c r="P26" s="16"/>
    </row>
    <row r="27" spans="1:18" x14ac:dyDescent="0.2">
      <c r="A27" s="4"/>
      <c r="B27" s="10" t="s">
        <v>4</v>
      </c>
      <c r="C27" s="154">
        <v>423.41</v>
      </c>
      <c r="D27" s="12">
        <v>301</v>
      </c>
      <c r="E27" s="18">
        <f t="shared" ref="E27:E30" si="19">+D27*C27</f>
        <v>127446.41</v>
      </c>
      <c r="F27" s="154">
        <v>423.41</v>
      </c>
      <c r="G27" s="11">
        <v>6701</v>
      </c>
      <c r="H27" s="21">
        <f t="shared" ref="H27:H30" si="20">+G27*F27</f>
        <v>2837270.41</v>
      </c>
      <c r="I27" s="125">
        <v>5120</v>
      </c>
      <c r="J27" s="21">
        <f t="shared" ref="J27:J30" si="21">+I27*F27</f>
        <v>2167859.2000000002</v>
      </c>
      <c r="K27" s="281">
        <f>145+373</f>
        <v>518</v>
      </c>
      <c r="L27" s="21">
        <f t="shared" ref="L27:L30" si="22">+K27*F27</f>
        <v>219326.38</v>
      </c>
      <c r="M27" s="12">
        <f t="shared" ref="M27:M30" si="23">+I27+G27+D27+K27</f>
        <v>12640</v>
      </c>
      <c r="N27" s="12">
        <f>+M27/40</f>
        <v>316</v>
      </c>
      <c r="O27" s="12">
        <f t="shared" ref="O27:O30" si="24">+E27+H27+J27+L27</f>
        <v>5351902.4000000004</v>
      </c>
    </row>
    <row r="28" spans="1:18" x14ac:dyDescent="0.2">
      <c r="A28" s="4"/>
      <c r="B28" s="10" t="s">
        <v>5</v>
      </c>
      <c r="C28" s="154">
        <v>423.41</v>
      </c>
      <c r="D28" s="12">
        <v>315</v>
      </c>
      <c r="E28" s="18">
        <f t="shared" si="19"/>
        <v>133374.15</v>
      </c>
      <c r="F28" s="154">
        <v>423.41</v>
      </c>
      <c r="G28" s="11">
        <v>5835</v>
      </c>
      <c r="H28" s="21">
        <f t="shared" si="20"/>
        <v>2470597.35</v>
      </c>
      <c r="I28" s="125">
        <v>6164</v>
      </c>
      <c r="J28" s="21">
        <f t="shared" si="21"/>
        <v>2609899.2400000002</v>
      </c>
      <c r="K28" s="281">
        <f>736+601</f>
        <v>1337</v>
      </c>
      <c r="L28" s="21">
        <f t="shared" si="22"/>
        <v>566099.17000000004</v>
      </c>
      <c r="M28" s="12">
        <f t="shared" si="23"/>
        <v>13651</v>
      </c>
      <c r="N28" s="12">
        <f>+M28/40</f>
        <v>341.27499999999998</v>
      </c>
      <c r="O28" s="12">
        <f t="shared" si="24"/>
        <v>5779969.9100000001</v>
      </c>
    </row>
    <row r="29" spans="1:18" x14ac:dyDescent="0.2">
      <c r="A29" s="4"/>
      <c r="B29" s="10" t="s">
        <v>6</v>
      </c>
      <c r="C29" s="154">
        <v>596.88</v>
      </c>
      <c r="D29" s="12">
        <v>109</v>
      </c>
      <c r="E29" s="18">
        <f t="shared" si="19"/>
        <v>65059.92</v>
      </c>
      <c r="F29" s="154">
        <v>577.59</v>
      </c>
      <c r="G29" s="11">
        <v>2508</v>
      </c>
      <c r="H29" s="21">
        <f t="shared" si="20"/>
        <v>1448595.72</v>
      </c>
      <c r="I29" s="125">
        <v>2280</v>
      </c>
      <c r="J29" s="21">
        <f t="shared" si="21"/>
        <v>1316905.2000000002</v>
      </c>
      <c r="K29" s="281">
        <f>485+146</f>
        <v>631</v>
      </c>
      <c r="L29" s="21">
        <f t="shared" si="22"/>
        <v>364459.29000000004</v>
      </c>
      <c r="M29" s="12">
        <f t="shared" si="23"/>
        <v>5528</v>
      </c>
      <c r="N29" s="12">
        <f>+M29/32</f>
        <v>172.75</v>
      </c>
      <c r="O29" s="12">
        <f t="shared" si="24"/>
        <v>3195020.13</v>
      </c>
    </row>
    <row r="30" spans="1:18" x14ac:dyDescent="0.2">
      <c r="A30" s="4"/>
      <c r="B30" s="10" t="s">
        <v>7</v>
      </c>
      <c r="C30" s="154">
        <v>596.88</v>
      </c>
      <c r="D30" s="12">
        <v>1158</v>
      </c>
      <c r="E30" s="18">
        <f t="shared" si="19"/>
        <v>691187.04</v>
      </c>
      <c r="F30" s="154">
        <v>577.59</v>
      </c>
      <c r="G30" s="11">
        <v>1488</v>
      </c>
      <c r="H30" s="21">
        <f t="shared" si="20"/>
        <v>859453.92</v>
      </c>
      <c r="I30" s="125">
        <v>1469</v>
      </c>
      <c r="J30" s="21">
        <f t="shared" si="21"/>
        <v>848479.71000000008</v>
      </c>
      <c r="K30" s="281">
        <f>478+138</f>
        <v>616</v>
      </c>
      <c r="L30" s="21">
        <f t="shared" si="22"/>
        <v>355795.44</v>
      </c>
      <c r="M30" s="12">
        <f t="shared" si="23"/>
        <v>4731</v>
      </c>
      <c r="N30" s="12">
        <f>+M30/32</f>
        <v>147.84375</v>
      </c>
      <c r="O30" s="12">
        <f t="shared" si="24"/>
        <v>2754916.11</v>
      </c>
    </row>
    <row r="31" spans="1:18" x14ac:dyDescent="0.2">
      <c r="A31" s="4"/>
      <c r="B31" s="156" t="s">
        <v>14</v>
      </c>
      <c r="C31" s="179"/>
      <c r="D31" s="158">
        <f>SUM(D27:D30)</f>
        <v>1883</v>
      </c>
      <c r="E31" s="159">
        <f>SUM(E27:E30)</f>
        <v>1017067.52</v>
      </c>
      <c r="F31" s="180"/>
      <c r="G31" s="161">
        <f t="shared" ref="G31:O31" si="25">SUM(G27:G30)</f>
        <v>16532</v>
      </c>
      <c r="H31" s="162">
        <f t="shared" si="25"/>
        <v>7615917.3999999994</v>
      </c>
      <c r="I31" s="163">
        <f t="shared" si="25"/>
        <v>15033</v>
      </c>
      <c r="J31" s="162">
        <f t="shared" si="25"/>
        <v>6943143.3500000006</v>
      </c>
      <c r="K31" s="282">
        <f>SUM(K27:K30)</f>
        <v>3102</v>
      </c>
      <c r="L31" s="162">
        <f>SUM(L27:L30)</f>
        <v>1505680.28</v>
      </c>
      <c r="M31" s="158">
        <f t="shared" si="25"/>
        <v>36550</v>
      </c>
      <c r="N31" s="158">
        <f t="shared" si="25"/>
        <v>977.86874999999998</v>
      </c>
      <c r="O31" s="158">
        <f t="shared" si="25"/>
        <v>17081808.550000001</v>
      </c>
    </row>
    <row r="32" spans="1:18" ht="12.75" thickBot="1" x14ac:dyDescent="0.25">
      <c r="A32" s="6"/>
      <c r="B32" s="165" t="s">
        <v>1</v>
      </c>
      <c r="C32" s="181"/>
      <c r="D32" s="167"/>
      <c r="E32" s="168">
        <f>+E31+E26</f>
        <v>4050006.85</v>
      </c>
      <c r="F32" s="182"/>
      <c r="G32" s="170"/>
      <c r="H32" s="171">
        <f>+H31+H26</f>
        <v>38836170.860000007</v>
      </c>
      <c r="I32" s="172"/>
      <c r="J32" s="171">
        <f>+J31+J26</f>
        <v>36646257.119999997</v>
      </c>
      <c r="K32" s="172"/>
      <c r="L32" s="171">
        <f>+L31+L26</f>
        <v>10798931.220000001</v>
      </c>
      <c r="M32" s="173"/>
      <c r="N32" s="174">
        <f>+N26</f>
        <v>16549.337500000001</v>
      </c>
      <c r="O32" s="175">
        <f>+O31+O26</f>
        <v>90331366.049999997</v>
      </c>
      <c r="P32" s="16">
        <f>+O32-O20</f>
        <v>5640074.6900000125</v>
      </c>
    </row>
    <row r="33" spans="1:15" x14ac:dyDescent="0.2">
      <c r="A33" s="97" t="s">
        <v>15</v>
      </c>
      <c r="B33" s="98"/>
      <c r="C33" s="37"/>
      <c r="D33" s="5"/>
      <c r="E33" s="17"/>
      <c r="F33" s="26"/>
      <c r="G33" s="5"/>
      <c r="H33" s="20"/>
      <c r="I33" s="28"/>
      <c r="J33" s="23"/>
      <c r="K33" s="280"/>
      <c r="L33" s="23"/>
      <c r="M33" s="5"/>
      <c r="N33" s="5"/>
      <c r="O33" s="43"/>
    </row>
    <row r="34" spans="1:15" x14ac:dyDescent="0.2">
      <c r="A34" s="9"/>
      <c r="B34" s="10" t="s">
        <v>4</v>
      </c>
      <c r="C34" s="38">
        <f t="shared" ref="C34:L37" si="26">+C22-C10</f>
        <v>0</v>
      </c>
      <c r="D34" s="12">
        <f t="shared" si="26"/>
        <v>0</v>
      </c>
      <c r="E34" s="18">
        <f t="shared" si="26"/>
        <v>0</v>
      </c>
      <c r="F34" s="27">
        <f t="shared" si="26"/>
        <v>0</v>
      </c>
      <c r="G34" s="11">
        <f t="shared" si="26"/>
        <v>15659</v>
      </c>
      <c r="H34" s="21">
        <f t="shared" si="26"/>
        <v>1498096.5299999993</v>
      </c>
      <c r="I34" s="29">
        <f t="shared" si="26"/>
        <v>14183</v>
      </c>
      <c r="J34" s="21">
        <f t="shared" si="26"/>
        <v>1356887.6099999994</v>
      </c>
      <c r="K34" s="29">
        <f t="shared" si="26"/>
        <v>9346</v>
      </c>
      <c r="L34" s="21">
        <f t="shared" si="26"/>
        <v>958050.06</v>
      </c>
      <c r="M34" s="12">
        <f>+I34+G34+D34+K34</f>
        <v>39188</v>
      </c>
      <c r="N34" s="12">
        <f>+M34/40</f>
        <v>979.7</v>
      </c>
      <c r="O34" s="12">
        <f>+E34+H34+J34+L34</f>
        <v>3813034.1999999988</v>
      </c>
    </row>
    <row r="35" spans="1:15" x14ac:dyDescent="0.2">
      <c r="A35" s="4"/>
      <c r="B35" s="10" t="s">
        <v>5</v>
      </c>
      <c r="C35" s="38">
        <f t="shared" si="26"/>
        <v>0</v>
      </c>
      <c r="D35" s="12">
        <f t="shared" si="26"/>
        <v>0</v>
      </c>
      <c r="E35" s="18">
        <f t="shared" si="26"/>
        <v>0</v>
      </c>
      <c r="F35" s="27">
        <f t="shared" si="26"/>
        <v>0</v>
      </c>
      <c r="G35" s="11">
        <f t="shared" si="26"/>
        <v>2870</v>
      </c>
      <c r="H35" s="21">
        <f t="shared" si="26"/>
        <v>274572.90000000037</v>
      </c>
      <c r="I35" s="29">
        <f t="shared" si="26"/>
        <v>5624</v>
      </c>
      <c r="J35" s="21">
        <f t="shared" si="26"/>
        <v>538048.08000000007</v>
      </c>
      <c r="K35" s="29">
        <f t="shared" si="26"/>
        <v>3039</v>
      </c>
      <c r="L35" s="21">
        <f t="shared" si="26"/>
        <v>577360.77</v>
      </c>
      <c r="M35" s="12">
        <f>+I35+G35+D35+K35</f>
        <v>11533</v>
      </c>
      <c r="N35" s="12">
        <f>+M35/40</f>
        <v>288.32499999999999</v>
      </c>
      <c r="O35" s="12">
        <f>+E35+H35+J35+L35</f>
        <v>1389981.7500000005</v>
      </c>
    </row>
    <row r="36" spans="1:15" x14ac:dyDescent="0.2">
      <c r="A36" s="4"/>
      <c r="B36" s="10" t="s">
        <v>6</v>
      </c>
      <c r="C36" s="38">
        <f t="shared" si="26"/>
        <v>0</v>
      </c>
      <c r="D36" s="12">
        <f t="shared" si="26"/>
        <v>0</v>
      </c>
      <c r="E36" s="18">
        <f t="shared" si="26"/>
        <v>0</v>
      </c>
      <c r="F36" s="27">
        <f t="shared" si="26"/>
        <v>9.9999999999909051E-3</v>
      </c>
      <c r="G36" s="11">
        <f t="shared" si="26"/>
        <v>-581</v>
      </c>
      <c r="H36" s="21">
        <f t="shared" si="26"/>
        <v>-151039.02000000048</v>
      </c>
      <c r="I36" s="29">
        <f t="shared" si="26"/>
        <v>-738</v>
      </c>
      <c r="J36" s="21">
        <f t="shared" si="26"/>
        <v>-191921.35000000056</v>
      </c>
      <c r="K36" s="29">
        <f t="shared" si="26"/>
        <v>-1076</v>
      </c>
      <c r="L36" s="21">
        <f t="shared" si="26"/>
        <v>-54398.719999999739</v>
      </c>
      <c r="M36" s="12">
        <f>+I36+G36+D36+K36</f>
        <v>-2395</v>
      </c>
      <c r="N36" s="12">
        <f>+M36/32</f>
        <v>-74.84375</v>
      </c>
      <c r="O36" s="12">
        <f>+E36+H36+J36+L36</f>
        <v>-397359.09000000078</v>
      </c>
    </row>
    <row r="37" spans="1:15" x14ac:dyDescent="0.2">
      <c r="A37" s="4"/>
      <c r="B37" s="10" t="s">
        <v>7</v>
      </c>
      <c r="C37" s="38">
        <f t="shared" si="26"/>
        <v>0</v>
      </c>
      <c r="D37" s="12">
        <f t="shared" si="26"/>
        <v>0</v>
      </c>
      <c r="E37" s="18">
        <f t="shared" si="26"/>
        <v>0</v>
      </c>
      <c r="F37" s="27">
        <f t="shared" si="26"/>
        <v>9.9999999999909051E-3</v>
      </c>
      <c r="G37" s="11">
        <f t="shared" si="26"/>
        <v>1393</v>
      </c>
      <c r="H37" s="21">
        <f t="shared" si="26"/>
        <v>362746.12</v>
      </c>
      <c r="I37" s="29">
        <f t="shared" si="26"/>
        <v>1546</v>
      </c>
      <c r="J37" s="21">
        <f t="shared" si="26"/>
        <v>402582.04999999993</v>
      </c>
      <c r="K37" s="29">
        <f t="shared" si="26"/>
        <v>809</v>
      </c>
      <c r="L37" s="21">
        <f t="shared" si="26"/>
        <v>239813.89999999997</v>
      </c>
      <c r="M37" s="12">
        <f>+I37+G37+D37+K37</f>
        <v>3748</v>
      </c>
      <c r="N37" s="12">
        <f>+M37/32</f>
        <v>117.125</v>
      </c>
      <c r="O37" s="12">
        <f>+E37+H37+J37+L37</f>
        <v>1005142.0699999998</v>
      </c>
    </row>
    <row r="38" spans="1:15" x14ac:dyDescent="0.2">
      <c r="A38" s="4"/>
      <c r="B38" s="156" t="s">
        <v>13</v>
      </c>
      <c r="C38" s="179"/>
      <c r="D38" s="158">
        <f>SUM(D34:D37)</f>
        <v>0</v>
      </c>
      <c r="E38" s="159">
        <f>SUM(E34:E37)</f>
        <v>0</v>
      </c>
      <c r="F38" s="183"/>
      <c r="G38" s="161">
        <f t="shared" ref="G38:O38" si="27">SUM(G34:G37)</f>
        <v>19341</v>
      </c>
      <c r="H38" s="162">
        <f t="shared" si="27"/>
        <v>1984376.5299999993</v>
      </c>
      <c r="I38" s="163">
        <f t="shared" si="27"/>
        <v>20615</v>
      </c>
      <c r="J38" s="162">
        <f t="shared" si="27"/>
        <v>2105596.3899999987</v>
      </c>
      <c r="K38" s="163">
        <f>SUM(K34:K37)</f>
        <v>12118</v>
      </c>
      <c r="L38" s="162">
        <f>SUM(L34:L37)</f>
        <v>1720826.0100000002</v>
      </c>
      <c r="M38" s="158">
        <f t="shared" si="27"/>
        <v>52074</v>
      </c>
      <c r="N38" s="158">
        <f t="shared" si="27"/>
        <v>1310.3062500000001</v>
      </c>
      <c r="O38" s="158">
        <f t="shared" si="27"/>
        <v>5810798.9299999978</v>
      </c>
    </row>
    <row r="39" spans="1:15" x14ac:dyDescent="0.2">
      <c r="A39" s="4"/>
      <c r="B39" s="10" t="s">
        <v>4</v>
      </c>
      <c r="C39" s="38">
        <f t="shared" ref="C39:L42" si="28">+C27-C15</f>
        <v>-5.7399999999999523</v>
      </c>
      <c r="D39" s="12">
        <f t="shared" si="28"/>
        <v>0</v>
      </c>
      <c r="E39" s="18">
        <f t="shared" si="28"/>
        <v>-1727.7399999999907</v>
      </c>
      <c r="F39" s="27">
        <f t="shared" si="28"/>
        <v>-40.069999999999993</v>
      </c>
      <c r="G39" s="11">
        <f t="shared" si="28"/>
        <v>1119</v>
      </c>
      <c r="H39" s="21">
        <f t="shared" si="28"/>
        <v>250125.05000000028</v>
      </c>
      <c r="I39" s="29">
        <f t="shared" si="28"/>
        <v>628</v>
      </c>
      <c r="J39" s="21">
        <f t="shared" si="28"/>
        <v>85907.040000000037</v>
      </c>
      <c r="K39" s="29">
        <f t="shared" si="28"/>
        <v>198</v>
      </c>
      <c r="L39" s="21">
        <f t="shared" si="28"/>
        <v>81998.38</v>
      </c>
      <c r="M39" s="12">
        <f>+I39+G39+D39+K39</f>
        <v>1945</v>
      </c>
      <c r="N39" s="12">
        <f>+M39/40</f>
        <v>48.625</v>
      </c>
      <c r="O39" s="12">
        <f>+E39+H39+J39+L39</f>
        <v>416302.73000000033</v>
      </c>
    </row>
    <row r="40" spans="1:15" x14ac:dyDescent="0.2">
      <c r="A40" s="5"/>
      <c r="B40" s="10" t="s">
        <v>5</v>
      </c>
      <c r="C40" s="38">
        <f t="shared" si="28"/>
        <v>-5.7399999999999523</v>
      </c>
      <c r="D40" s="12">
        <f t="shared" si="28"/>
        <v>0</v>
      </c>
      <c r="E40" s="18">
        <f t="shared" si="28"/>
        <v>-1808.1000000000058</v>
      </c>
      <c r="F40" s="27">
        <f t="shared" si="28"/>
        <v>-40.069999999999993</v>
      </c>
      <c r="G40" s="11">
        <f t="shared" si="28"/>
        <v>-1099</v>
      </c>
      <c r="H40" s="21">
        <f t="shared" si="28"/>
        <v>-743172.9700000002</v>
      </c>
      <c r="I40" s="29">
        <f t="shared" si="28"/>
        <v>-573</v>
      </c>
      <c r="J40" s="21">
        <f t="shared" si="28"/>
        <v>-512565.52</v>
      </c>
      <c r="K40" s="29">
        <f t="shared" si="28"/>
        <v>-189</v>
      </c>
      <c r="L40" s="21">
        <f t="shared" si="28"/>
        <v>-88783.729999999981</v>
      </c>
      <c r="M40" s="12">
        <f>+I40+G40+D40+K40</f>
        <v>-1861</v>
      </c>
      <c r="N40" s="12">
        <f>+M40/40</f>
        <v>-46.524999999999999</v>
      </c>
      <c r="O40" s="12">
        <f>+E40+H40+J40+L40</f>
        <v>-1346330.3200000003</v>
      </c>
    </row>
    <row r="41" spans="1:15" x14ac:dyDescent="0.2">
      <c r="A41" s="5"/>
      <c r="B41" s="10" t="s">
        <v>6</v>
      </c>
      <c r="C41" s="38">
        <f t="shared" si="28"/>
        <v>0</v>
      </c>
      <c r="D41" s="12">
        <f t="shared" si="28"/>
        <v>0</v>
      </c>
      <c r="E41" s="18">
        <f t="shared" si="28"/>
        <v>0</v>
      </c>
      <c r="F41" s="27">
        <f t="shared" si="28"/>
        <v>-67.039999999999964</v>
      </c>
      <c r="G41" s="11">
        <f t="shared" si="28"/>
        <v>175</v>
      </c>
      <c r="H41" s="21">
        <f t="shared" si="28"/>
        <v>-55326.070000000065</v>
      </c>
      <c r="I41" s="29">
        <f t="shared" si="28"/>
        <v>34</v>
      </c>
      <c r="J41" s="21">
        <f t="shared" si="28"/>
        <v>-130933.7799999998</v>
      </c>
      <c r="K41" s="29">
        <f t="shared" si="28"/>
        <v>-9</v>
      </c>
      <c r="L41" s="21">
        <f t="shared" si="28"/>
        <v>-17543.909999999974</v>
      </c>
      <c r="M41" s="12">
        <f>+I41+G41+D41+K41</f>
        <v>200</v>
      </c>
      <c r="N41" s="12">
        <f>+M41/32</f>
        <v>6.25</v>
      </c>
      <c r="O41" s="12">
        <f>+E41+H41+J41+L41</f>
        <v>-203803.75999999983</v>
      </c>
    </row>
    <row r="42" spans="1:15" x14ac:dyDescent="0.2">
      <c r="A42" s="5"/>
      <c r="B42" s="10" t="s">
        <v>7</v>
      </c>
      <c r="C42" s="38">
        <f t="shared" si="28"/>
        <v>0</v>
      </c>
      <c r="D42" s="12">
        <f t="shared" si="28"/>
        <v>0</v>
      </c>
      <c r="E42" s="18">
        <f t="shared" si="28"/>
        <v>0</v>
      </c>
      <c r="F42" s="27">
        <f t="shared" si="28"/>
        <v>-67.039999999999964</v>
      </c>
      <c r="G42" s="11">
        <f t="shared" si="28"/>
        <v>346</v>
      </c>
      <c r="H42" s="21">
        <f t="shared" si="28"/>
        <v>123286.46000000008</v>
      </c>
      <c r="I42" s="29">
        <f t="shared" si="28"/>
        <v>399</v>
      </c>
      <c r="J42" s="21">
        <f t="shared" si="28"/>
        <v>158725.6100000001</v>
      </c>
      <c r="K42" s="29">
        <f t="shared" si="28"/>
        <v>1161</v>
      </c>
      <c r="L42" s="21">
        <f t="shared" si="28"/>
        <v>681095.04</v>
      </c>
      <c r="M42" s="12">
        <f>+I42+G42+D42+K42</f>
        <v>1906</v>
      </c>
      <c r="N42" s="12">
        <f>+M42/32</f>
        <v>59.5625</v>
      </c>
      <c r="O42" s="12">
        <f>+E42+H42+J42+L42</f>
        <v>963107.11000000022</v>
      </c>
    </row>
    <row r="43" spans="1:15" x14ac:dyDescent="0.2">
      <c r="A43" s="5"/>
      <c r="B43" s="156" t="s">
        <v>14</v>
      </c>
      <c r="C43" s="179"/>
      <c r="D43" s="158">
        <f>SUM(D39:D42)</f>
        <v>0</v>
      </c>
      <c r="E43" s="159">
        <f>SUM(E39:E42)</f>
        <v>-3535.8399999999965</v>
      </c>
      <c r="F43" s="183"/>
      <c r="G43" s="161">
        <f t="shared" ref="G43:O43" si="29">SUM(G39:G42)</f>
        <v>541</v>
      </c>
      <c r="H43" s="162">
        <f t="shared" si="29"/>
        <v>-425087.52999999991</v>
      </c>
      <c r="I43" s="163">
        <f t="shared" si="29"/>
        <v>488</v>
      </c>
      <c r="J43" s="162">
        <f t="shared" si="29"/>
        <v>-398866.64999999967</v>
      </c>
      <c r="K43" s="163">
        <f>SUM(K39:K42)</f>
        <v>1161</v>
      </c>
      <c r="L43" s="162">
        <f>SUM(L39:L42)</f>
        <v>656765.78</v>
      </c>
      <c r="M43" s="158">
        <f t="shared" si="29"/>
        <v>2190</v>
      </c>
      <c r="N43" s="158">
        <f t="shared" si="29"/>
        <v>67.912499999999994</v>
      </c>
      <c r="O43" s="158">
        <f t="shared" si="29"/>
        <v>-170724.23999999964</v>
      </c>
    </row>
    <row r="44" spans="1:15" ht="12.75" thickBot="1" x14ac:dyDescent="0.25">
      <c r="A44" s="14"/>
      <c r="B44" s="165" t="s">
        <v>1</v>
      </c>
      <c r="C44" s="181"/>
      <c r="D44" s="173"/>
      <c r="E44" s="173">
        <f>+E43+E38</f>
        <v>-3535.8399999999965</v>
      </c>
      <c r="F44" s="184"/>
      <c r="G44" s="185"/>
      <c r="H44" s="186">
        <f>+H43+H38</f>
        <v>1559288.9999999995</v>
      </c>
      <c r="I44" s="187"/>
      <c r="J44" s="186">
        <f>+J43+J38</f>
        <v>1706729.7399999991</v>
      </c>
      <c r="K44" s="187"/>
      <c r="L44" s="186">
        <f>+L43+L38</f>
        <v>2377591.79</v>
      </c>
      <c r="M44" s="173"/>
      <c r="N44" s="174"/>
      <c r="O44" s="174">
        <f>+O43+O38</f>
        <v>5640074.6899999985</v>
      </c>
    </row>
    <row r="45" spans="1:15" x14ac:dyDescent="0.2">
      <c r="E45" s="58">
        <f>+E32-E20</f>
        <v>-3535.8400000003166</v>
      </c>
      <c r="H45" s="58">
        <f>+H32-H20</f>
        <v>1559289.0000000075</v>
      </c>
      <c r="I45" s="56"/>
      <c r="J45" s="58">
        <f>+J32-J20</f>
        <v>1706729.7400000021</v>
      </c>
      <c r="K45" s="56"/>
      <c r="L45" s="58">
        <f>+L32-L20</f>
        <v>2377591.790000001</v>
      </c>
      <c r="M45" s="56"/>
      <c r="N45" s="56"/>
      <c r="O45" s="113">
        <f>SUM(E45:M45)</f>
        <v>5640074.6900000107</v>
      </c>
    </row>
    <row r="46" spans="1:15" x14ac:dyDescent="0.2">
      <c r="I46" s="56"/>
      <c r="J46" s="56"/>
      <c r="K46" s="56"/>
      <c r="L46" s="56"/>
      <c r="M46" s="56"/>
      <c r="N46" s="56"/>
      <c r="O46" s="113"/>
    </row>
    <row r="47" spans="1:15" ht="15.75" x14ac:dyDescent="0.25">
      <c r="A47" s="306" t="s">
        <v>38</v>
      </c>
      <c r="B47" s="306"/>
      <c r="C47" s="306"/>
      <c r="D47" s="306"/>
      <c r="E47" s="306"/>
      <c r="F47" s="306"/>
      <c r="G47" s="306"/>
      <c r="H47" s="306"/>
      <c r="I47" s="306"/>
      <c r="J47" s="306"/>
      <c r="K47" s="306"/>
      <c r="L47" s="306"/>
      <c r="M47" s="306"/>
      <c r="N47" s="306"/>
      <c r="O47" s="306"/>
    </row>
    <row r="48" spans="1:15" x14ac:dyDescent="0.2">
      <c r="A48" s="302" t="s">
        <v>58</v>
      </c>
      <c r="B48" s="302"/>
      <c r="C48" s="302"/>
      <c r="D48" s="302"/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2"/>
    </row>
    <row r="49" spans="1:15" x14ac:dyDescent="0.2">
      <c r="A49" s="5"/>
      <c r="B49" s="99"/>
      <c r="C49" s="307" t="s">
        <v>46</v>
      </c>
      <c r="D49" s="308"/>
      <c r="E49" s="309"/>
      <c r="F49" s="83"/>
      <c r="G49" s="308" t="s">
        <v>39</v>
      </c>
      <c r="H49" s="308"/>
      <c r="I49" s="307" t="s">
        <v>40</v>
      </c>
      <c r="J49" s="309"/>
      <c r="K49" s="308" t="s">
        <v>47</v>
      </c>
      <c r="L49" s="308"/>
      <c r="M49" s="307" t="s">
        <v>10</v>
      </c>
      <c r="N49" s="308"/>
      <c r="O49" s="114"/>
    </row>
    <row r="50" spans="1:15" ht="12.75" thickBot="1" x14ac:dyDescent="0.25">
      <c r="A50" s="6" t="s">
        <v>20</v>
      </c>
      <c r="B50" s="100" t="s">
        <v>48</v>
      </c>
      <c r="C50" s="101" t="s">
        <v>9</v>
      </c>
      <c r="D50" s="8" t="s">
        <v>8</v>
      </c>
      <c r="E50" s="19" t="s">
        <v>10</v>
      </c>
      <c r="F50" s="102" t="s">
        <v>9</v>
      </c>
      <c r="G50" s="8" t="s">
        <v>8</v>
      </c>
      <c r="H50" s="8" t="s">
        <v>10</v>
      </c>
      <c r="I50" s="103" t="s">
        <v>8</v>
      </c>
      <c r="J50" s="19" t="s">
        <v>10</v>
      </c>
      <c r="K50" s="8" t="s">
        <v>8</v>
      </c>
      <c r="L50" s="8" t="s">
        <v>10</v>
      </c>
      <c r="M50" s="103" t="s">
        <v>8</v>
      </c>
      <c r="N50" s="104" t="s">
        <v>10</v>
      </c>
      <c r="O50" s="114"/>
    </row>
    <row r="51" spans="1:15" s="5" customFormat="1" x14ac:dyDescent="0.2">
      <c r="A51" s="97" t="s">
        <v>29</v>
      </c>
      <c r="B51" s="59"/>
      <c r="C51" s="31"/>
      <c r="D51" s="60"/>
      <c r="E51" s="84"/>
      <c r="G51" s="60"/>
      <c r="H51" s="50"/>
      <c r="I51" s="24"/>
      <c r="J51" s="117"/>
      <c r="K51" s="50"/>
      <c r="L51" s="50"/>
      <c r="M51" s="24"/>
      <c r="N51" s="17"/>
      <c r="O51" s="43"/>
    </row>
    <row r="52" spans="1:15" x14ac:dyDescent="0.2">
      <c r="A52" s="59" t="s">
        <v>21</v>
      </c>
      <c r="B52" s="47" t="s">
        <v>22</v>
      </c>
      <c r="C52" s="128">
        <v>2.3199999999999998</v>
      </c>
      <c r="D52" s="49">
        <f>+D22+D23-D27-D28</f>
        <v>27140</v>
      </c>
      <c r="E52" s="33">
        <f>+D52*C52</f>
        <v>62964.799999999996</v>
      </c>
      <c r="F52" s="61">
        <v>2.3199999999999998</v>
      </c>
      <c r="G52" s="49">
        <f>+G22+G23-G27-G28</f>
        <v>235778</v>
      </c>
      <c r="H52" s="40">
        <f>+G52*F52</f>
        <v>547004.96</v>
      </c>
      <c r="I52" s="53">
        <f>+I22+I23-I27-I28</f>
        <v>222511</v>
      </c>
      <c r="J52" s="118">
        <f>+I52*F52</f>
        <v>516225.51999999996</v>
      </c>
      <c r="K52" s="49">
        <f>+K22+K23-K27-K28</f>
        <v>60041</v>
      </c>
      <c r="L52" s="40">
        <f>+K52*F52</f>
        <v>139295.12</v>
      </c>
      <c r="M52" s="34">
        <f>D52+G52+I52+K52</f>
        <v>545470</v>
      </c>
      <c r="N52" s="40">
        <f>+E52+H52+J52+L52</f>
        <v>1265490.3999999999</v>
      </c>
      <c r="O52" s="43"/>
    </row>
    <row r="53" spans="1:15" x14ac:dyDescent="0.2">
      <c r="A53" s="59" t="s">
        <v>41</v>
      </c>
      <c r="B53" s="48" t="s">
        <v>44</v>
      </c>
      <c r="C53" s="129">
        <v>5.74</v>
      </c>
      <c r="D53" s="51">
        <f>+D52</f>
        <v>27140</v>
      </c>
      <c r="E53" s="35">
        <f t="shared" ref="E53:E59" si="30">+D53*C53</f>
        <v>155783.6</v>
      </c>
      <c r="F53" s="62">
        <v>12.8</v>
      </c>
      <c r="G53" s="51">
        <f>+G52</f>
        <v>235778</v>
      </c>
      <c r="H53" s="41">
        <f t="shared" ref="H53:H59" si="31">+G53*F53</f>
        <v>3017958.4000000004</v>
      </c>
      <c r="I53" s="54">
        <f>+I52</f>
        <v>222511</v>
      </c>
      <c r="J53" s="119">
        <f t="shared" ref="J53:J59" si="32">+I53*F53</f>
        <v>2848140.8000000003</v>
      </c>
      <c r="K53" s="51">
        <f>+K52</f>
        <v>60041</v>
      </c>
      <c r="L53" s="41">
        <f t="shared" ref="L53:L59" si="33">+K53*F53</f>
        <v>768524.80000000005</v>
      </c>
      <c r="M53" s="36">
        <f t="shared" ref="M53:M59" si="34">D53+G53+I53+K53</f>
        <v>545470</v>
      </c>
      <c r="N53" s="41">
        <f t="shared" ref="N53:N59" si="35">+E53+H53+J53+L53</f>
        <v>6790407.6000000006</v>
      </c>
      <c r="O53" s="43"/>
    </row>
    <row r="54" spans="1:15" x14ac:dyDescent="0.2">
      <c r="A54" s="59" t="s">
        <v>42</v>
      </c>
      <c r="B54" s="48" t="s">
        <v>43</v>
      </c>
      <c r="C54" s="129">
        <v>3.54</v>
      </c>
      <c r="D54" s="51">
        <f>+D53</f>
        <v>27140</v>
      </c>
      <c r="E54" s="35">
        <f t="shared" si="30"/>
        <v>96075.6</v>
      </c>
      <c r="F54" s="62">
        <v>4.42</v>
      </c>
      <c r="G54" s="51">
        <f>+G53</f>
        <v>235778</v>
      </c>
      <c r="H54" s="41">
        <f t="shared" si="31"/>
        <v>1042138.76</v>
      </c>
      <c r="I54" s="54">
        <f>+I53</f>
        <v>222511</v>
      </c>
      <c r="J54" s="119">
        <f t="shared" si="32"/>
        <v>983498.62</v>
      </c>
      <c r="K54" s="51">
        <f>+K53</f>
        <v>60041</v>
      </c>
      <c r="L54" s="41">
        <f t="shared" si="33"/>
        <v>265381.21999999997</v>
      </c>
      <c r="M54" s="36">
        <f t="shared" si="34"/>
        <v>545470</v>
      </c>
      <c r="N54" s="41">
        <f t="shared" si="35"/>
        <v>2387094.2000000002</v>
      </c>
      <c r="O54" s="43"/>
    </row>
    <row r="55" spans="1:15" x14ac:dyDescent="0.2">
      <c r="A55" s="59" t="s">
        <v>17</v>
      </c>
      <c r="B55" s="48" t="s">
        <v>23</v>
      </c>
      <c r="C55" s="129">
        <v>4.42</v>
      </c>
      <c r="D55" s="51">
        <f>+D52</f>
        <v>27140</v>
      </c>
      <c r="E55" s="35">
        <f t="shared" si="30"/>
        <v>119958.8</v>
      </c>
      <c r="F55" s="62">
        <v>4.78</v>
      </c>
      <c r="G55" s="51">
        <f>+G52</f>
        <v>235778</v>
      </c>
      <c r="H55" s="41">
        <f t="shared" si="31"/>
        <v>1127018.8400000001</v>
      </c>
      <c r="I55" s="54">
        <f>+I52</f>
        <v>222511</v>
      </c>
      <c r="J55" s="119">
        <f t="shared" si="32"/>
        <v>1063602.58</v>
      </c>
      <c r="K55" s="51">
        <f>+K52</f>
        <v>60041</v>
      </c>
      <c r="L55" s="41">
        <f t="shared" si="33"/>
        <v>286995.98000000004</v>
      </c>
      <c r="M55" s="36">
        <f t="shared" si="34"/>
        <v>545470</v>
      </c>
      <c r="N55" s="41">
        <f t="shared" si="35"/>
        <v>2597576.2000000002</v>
      </c>
      <c r="O55" s="43"/>
    </row>
    <row r="56" spans="1:15" x14ac:dyDescent="0.2">
      <c r="A56" s="59" t="s">
        <v>24</v>
      </c>
      <c r="B56" s="55" t="s">
        <v>45</v>
      </c>
      <c r="C56" s="129">
        <v>2.44</v>
      </c>
      <c r="D56" s="51">
        <f>+D55</f>
        <v>27140</v>
      </c>
      <c r="E56" s="35">
        <f t="shared" si="30"/>
        <v>66221.600000000006</v>
      </c>
      <c r="F56" s="62">
        <v>2.44</v>
      </c>
      <c r="G56" s="51">
        <f>+G55</f>
        <v>235778</v>
      </c>
      <c r="H56" s="41">
        <f t="shared" si="31"/>
        <v>575298.31999999995</v>
      </c>
      <c r="I56" s="54">
        <f>+I55</f>
        <v>222511</v>
      </c>
      <c r="J56" s="119">
        <f t="shared" si="32"/>
        <v>542926.84</v>
      </c>
      <c r="K56" s="51">
        <f>+K55</f>
        <v>60041</v>
      </c>
      <c r="L56" s="41">
        <f t="shared" si="33"/>
        <v>146500.04</v>
      </c>
      <c r="M56" s="36">
        <f t="shared" si="34"/>
        <v>545470</v>
      </c>
      <c r="N56" s="41">
        <f t="shared" si="35"/>
        <v>1330946.7999999998</v>
      </c>
      <c r="O56" s="43"/>
    </row>
    <row r="57" spans="1:15" x14ac:dyDescent="0.2">
      <c r="A57" s="59" t="s">
        <v>18</v>
      </c>
      <c r="B57" s="48" t="s">
        <v>25</v>
      </c>
      <c r="C57" s="129">
        <v>10.4</v>
      </c>
      <c r="D57" s="51">
        <f>+D56</f>
        <v>27140</v>
      </c>
      <c r="E57" s="35">
        <f t="shared" si="30"/>
        <v>282256</v>
      </c>
      <c r="F57" s="62">
        <v>11.96</v>
      </c>
      <c r="G57" s="51">
        <f>+G56</f>
        <v>235778</v>
      </c>
      <c r="H57" s="41">
        <f t="shared" si="31"/>
        <v>2819904.8800000004</v>
      </c>
      <c r="I57" s="54">
        <f>+I56</f>
        <v>222511</v>
      </c>
      <c r="J57" s="119">
        <f t="shared" si="32"/>
        <v>2661231.56</v>
      </c>
      <c r="K57" s="51">
        <f>+K56</f>
        <v>60041</v>
      </c>
      <c r="L57" s="41">
        <f t="shared" si="33"/>
        <v>718090.3600000001</v>
      </c>
      <c r="M57" s="36">
        <f t="shared" si="34"/>
        <v>545470</v>
      </c>
      <c r="N57" s="41">
        <f t="shared" si="35"/>
        <v>6481482.8000000007</v>
      </c>
      <c r="O57" s="43"/>
    </row>
    <row r="58" spans="1:15" x14ac:dyDescent="0.2">
      <c r="A58" s="59" t="s">
        <v>19</v>
      </c>
      <c r="B58" s="48" t="s">
        <v>26</v>
      </c>
      <c r="C58" s="129">
        <v>14.3</v>
      </c>
      <c r="D58" s="51">
        <f>+D57</f>
        <v>27140</v>
      </c>
      <c r="E58" s="35">
        <f t="shared" si="30"/>
        <v>388102</v>
      </c>
      <c r="F58" s="62">
        <v>16.45</v>
      </c>
      <c r="G58" s="51">
        <f>+G57</f>
        <v>235778</v>
      </c>
      <c r="H58" s="41">
        <f t="shared" si="31"/>
        <v>3878548.0999999996</v>
      </c>
      <c r="I58" s="54">
        <f>+I57</f>
        <v>222511</v>
      </c>
      <c r="J58" s="119">
        <f t="shared" si="32"/>
        <v>3660305.9499999997</v>
      </c>
      <c r="K58" s="51">
        <f>+K57</f>
        <v>60041</v>
      </c>
      <c r="L58" s="41">
        <f t="shared" si="33"/>
        <v>987674.45</v>
      </c>
      <c r="M58" s="36">
        <f t="shared" si="34"/>
        <v>545470</v>
      </c>
      <c r="N58" s="41">
        <f t="shared" si="35"/>
        <v>8914630.4999999981</v>
      </c>
      <c r="O58" s="43"/>
    </row>
    <row r="59" spans="1:15" x14ac:dyDescent="0.2">
      <c r="A59" s="59" t="s">
        <v>27</v>
      </c>
      <c r="B59" s="66" t="s">
        <v>28</v>
      </c>
      <c r="C59" s="130">
        <v>7.8</v>
      </c>
      <c r="D59" s="68">
        <f>+D58</f>
        <v>27140</v>
      </c>
      <c r="E59" s="85">
        <f t="shared" si="30"/>
        <v>211692</v>
      </c>
      <c r="F59" s="67">
        <v>8.9700000000000006</v>
      </c>
      <c r="G59" s="68">
        <f>+G58</f>
        <v>235778</v>
      </c>
      <c r="H59" s="69">
        <f t="shared" si="31"/>
        <v>2114928.66</v>
      </c>
      <c r="I59" s="87">
        <f>+I58</f>
        <v>222511</v>
      </c>
      <c r="J59" s="120">
        <f t="shared" si="32"/>
        <v>1995923.6700000002</v>
      </c>
      <c r="K59" s="68">
        <f>+K58</f>
        <v>60041</v>
      </c>
      <c r="L59" s="69">
        <f t="shared" si="33"/>
        <v>538567.77</v>
      </c>
      <c r="M59" s="91">
        <f t="shared" si="34"/>
        <v>545470</v>
      </c>
      <c r="N59" s="69">
        <f t="shared" si="35"/>
        <v>4861112.0999999996</v>
      </c>
      <c r="O59" s="43"/>
    </row>
    <row r="60" spans="1:15" s="65" customFormat="1" x14ac:dyDescent="0.2">
      <c r="A60" s="71" t="s">
        <v>34</v>
      </c>
      <c r="B60" s="72"/>
      <c r="C60" s="131">
        <f>SUM(C52:C59)</f>
        <v>50.960000000000008</v>
      </c>
      <c r="D60" s="105"/>
      <c r="E60" s="86">
        <f>SUM(E52:E59)</f>
        <v>1383054.4</v>
      </c>
      <c r="F60" s="73">
        <f>SUM(F52:F59)</f>
        <v>64.14</v>
      </c>
      <c r="G60" s="74"/>
      <c r="H60" s="75">
        <f>SUM(H52:H59)</f>
        <v>15122800.92</v>
      </c>
      <c r="I60" s="88"/>
      <c r="J60" s="93">
        <f>SUM(J52:J59)</f>
        <v>14271855.539999999</v>
      </c>
      <c r="K60" s="74"/>
      <c r="L60" s="75">
        <f>SUM(L52:L59)</f>
        <v>3851029.7400000007</v>
      </c>
      <c r="M60" s="88"/>
      <c r="N60" s="93">
        <f>SUM(N52:N59)</f>
        <v>34628740.600000001</v>
      </c>
      <c r="O60" s="115"/>
    </row>
    <row r="61" spans="1:15" x14ac:dyDescent="0.2">
      <c r="A61" s="97" t="s">
        <v>31</v>
      </c>
      <c r="B61" s="32"/>
      <c r="C61" s="128"/>
      <c r="D61" s="70"/>
      <c r="E61" s="106"/>
      <c r="F61" s="107"/>
      <c r="G61" s="108"/>
      <c r="H61" s="44"/>
      <c r="I61" s="109"/>
      <c r="J61" s="118"/>
      <c r="K61" s="108"/>
      <c r="L61" s="44"/>
      <c r="M61" s="110"/>
      <c r="N61" s="44"/>
      <c r="O61" s="43"/>
    </row>
    <row r="62" spans="1:15" x14ac:dyDescent="0.2">
      <c r="A62" s="59" t="s">
        <v>21</v>
      </c>
      <c r="B62" s="48" t="s">
        <v>22</v>
      </c>
      <c r="C62" s="129">
        <v>2.3199999999999998</v>
      </c>
      <c r="D62" s="51">
        <f>+D24+D25-D29-D30</f>
        <v>1114</v>
      </c>
      <c r="E62" s="35">
        <f t="shared" ref="E62:E69" si="36">+D62*C62</f>
        <v>2584.48</v>
      </c>
      <c r="F62" s="62">
        <v>2.3199999999999998</v>
      </c>
      <c r="G62" s="51">
        <f>+G24+G25-G29-G30</f>
        <v>24670</v>
      </c>
      <c r="H62" s="41">
        <f t="shared" ref="H62:H69" si="37">+G62*F62</f>
        <v>57234.399999999994</v>
      </c>
      <c r="I62" s="54">
        <f>+I24+I25-I29-I30</f>
        <v>24425</v>
      </c>
      <c r="J62" s="119">
        <f t="shared" ref="J62:J69" si="38">+I62*F62</f>
        <v>56665.999999999993</v>
      </c>
      <c r="K62" s="51">
        <f>+K24+K25-K29-K30</f>
        <v>11702</v>
      </c>
      <c r="L62" s="41">
        <f t="shared" ref="L62:L69" si="39">+K62*F62</f>
        <v>27148.639999999999</v>
      </c>
      <c r="M62" s="36">
        <f t="shared" ref="M62:M69" si="40">D62+G62+I62+K62</f>
        <v>61911</v>
      </c>
      <c r="N62" s="41">
        <f t="shared" ref="N62:N69" si="41">+E62+H62+J62+L62</f>
        <v>143633.51999999999</v>
      </c>
      <c r="O62" s="43"/>
    </row>
    <row r="63" spans="1:15" x14ac:dyDescent="0.2">
      <c r="A63" s="59" t="s">
        <v>41</v>
      </c>
      <c r="B63" s="48" t="s">
        <v>44</v>
      </c>
      <c r="C63" s="129">
        <v>0</v>
      </c>
      <c r="D63" s="51">
        <v>0</v>
      </c>
      <c r="E63" s="35">
        <f t="shared" si="36"/>
        <v>0</v>
      </c>
      <c r="F63" s="62">
        <v>0</v>
      </c>
      <c r="G63" s="51">
        <v>0</v>
      </c>
      <c r="H63" s="41">
        <f t="shared" si="37"/>
        <v>0</v>
      </c>
      <c r="I63" s="54">
        <v>0</v>
      </c>
      <c r="J63" s="119">
        <f t="shared" si="38"/>
        <v>0</v>
      </c>
      <c r="K63" s="51">
        <v>0</v>
      </c>
      <c r="L63" s="41">
        <f t="shared" si="39"/>
        <v>0</v>
      </c>
      <c r="M63" s="36">
        <f t="shared" si="40"/>
        <v>0</v>
      </c>
      <c r="N63" s="41">
        <f t="shared" si="41"/>
        <v>0</v>
      </c>
      <c r="O63" s="43"/>
    </row>
    <row r="64" spans="1:15" x14ac:dyDescent="0.2">
      <c r="A64" s="59" t="s">
        <v>42</v>
      </c>
      <c r="B64" s="48" t="s">
        <v>43</v>
      </c>
      <c r="C64" s="129">
        <v>3.54</v>
      </c>
      <c r="D64" s="51">
        <f>+D62</f>
        <v>1114</v>
      </c>
      <c r="E64" s="35">
        <f t="shared" si="36"/>
        <v>3943.56</v>
      </c>
      <c r="F64" s="62">
        <v>4.42</v>
      </c>
      <c r="G64" s="51">
        <f>+G62</f>
        <v>24670</v>
      </c>
      <c r="H64" s="41">
        <f t="shared" si="37"/>
        <v>109041.4</v>
      </c>
      <c r="I64" s="54">
        <f>+I62</f>
        <v>24425</v>
      </c>
      <c r="J64" s="119">
        <f t="shared" si="38"/>
        <v>107958.5</v>
      </c>
      <c r="K64" s="51">
        <f>+K62</f>
        <v>11702</v>
      </c>
      <c r="L64" s="41">
        <f t="shared" si="39"/>
        <v>51722.84</v>
      </c>
      <c r="M64" s="36">
        <f t="shared" si="40"/>
        <v>61911</v>
      </c>
      <c r="N64" s="41">
        <f t="shared" si="41"/>
        <v>272666.3</v>
      </c>
      <c r="O64" s="43"/>
    </row>
    <row r="65" spans="1:15" x14ac:dyDescent="0.2">
      <c r="A65" s="59" t="s">
        <v>17</v>
      </c>
      <c r="B65" s="48" t="s">
        <v>23</v>
      </c>
      <c r="C65" s="129">
        <v>12.05</v>
      </c>
      <c r="D65" s="51">
        <f>+D62</f>
        <v>1114</v>
      </c>
      <c r="E65" s="35">
        <f t="shared" si="36"/>
        <v>13423.7</v>
      </c>
      <c r="F65" s="62">
        <v>13.02</v>
      </c>
      <c r="G65" s="51">
        <f>+G62</f>
        <v>24670</v>
      </c>
      <c r="H65" s="41">
        <f t="shared" si="37"/>
        <v>321203.39999999997</v>
      </c>
      <c r="I65" s="54">
        <f>+I62</f>
        <v>24425</v>
      </c>
      <c r="J65" s="119">
        <f t="shared" si="38"/>
        <v>318013.5</v>
      </c>
      <c r="K65" s="51">
        <f>+K62</f>
        <v>11702</v>
      </c>
      <c r="L65" s="41">
        <f t="shared" si="39"/>
        <v>152360.04</v>
      </c>
      <c r="M65" s="36">
        <f t="shared" si="40"/>
        <v>61911</v>
      </c>
      <c r="N65" s="41">
        <f t="shared" si="41"/>
        <v>805000.64</v>
      </c>
      <c r="O65" s="43"/>
    </row>
    <row r="66" spans="1:15" x14ac:dyDescent="0.2">
      <c r="A66" s="59" t="s">
        <v>24</v>
      </c>
      <c r="B66" s="55" t="s">
        <v>45</v>
      </c>
      <c r="C66" s="129">
        <v>2.44</v>
      </c>
      <c r="D66" s="51">
        <f>+D65</f>
        <v>1114</v>
      </c>
      <c r="E66" s="35">
        <f t="shared" si="36"/>
        <v>2718.16</v>
      </c>
      <c r="F66" s="62">
        <v>2.44</v>
      </c>
      <c r="G66" s="51">
        <f>+G65</f>
        <v>24670</v>
      </c>
      <c r="H66" s="41">
        <f t="shared" si="37"/>
        <v>60194.799999999996</v>
      </c>
      <c r="I66" s="54">
        <f>+I65</f>
        <v>24425</v>
      </c>
      <c r="J66" s="119">
        <f t="shared" si="38"/>
        <v>59597</v>
      </c>
      <c r="K66" s="51">
        <f>+K65</f>
        <v>11702</v>
      </c>
      <c r="L66" s="41">
        <f t="shared" si="39"/>
        <v>28552.880000000001</v>
      </c>
      <c r="M66" s="36">
        <f t="shared" si="40"/>
        <v>61911</v>
      </c>
      <c r="N66" s="41">
        <f t="shared" si="41"/>
        <v>151062.84</v>
      </c>
      <c r="O66" s="43"/>
    </row>
    <row r="67" spans="1:15" x14ac:dyDescent="0.2">
      <c r="A67" s="59" t="s">
        <v>18</v>
      </c>
      <c r="B67" s="48" t="s">
        <v>25</v>
      </c>
      <c r="C67" s="129">
        <v>10.4</v>
      </c>
      <c r="D67" s="51">
        <f>+D66</f>
        <v>1114</v>
      </c>
      <c r="E67" s="35">
        <f t="shared" si="36"/>
        <v>11585.6</v>
      </c>
      <c r="F67" s="62">
        <v>11.96</v>
      </c>
      <c r="G67" s="51">
        <f>+G66</f>
        <v>24670</v>
      </c>
      <c r="H67" s="41">
        <f t="shared" si="37"/>
        <v>295053.2</v>
      </c>
      <c r="I67" s="54">
        <f>+I66</f>
        <v>24425</v>
      </c>
      <c r="J67" s="119">
        <f t="shared" si="38"/>
        <v>292123</v>
      </c>
      <c r="K67" s="51">
        <f>+K66</f>
        <v>11702</v>
      </c>
      <c r="L67" s="41">
        <f t="shared" si="39"/>
        <v>139955.92000000001</v>
      </c>
      <c r="M67" s="36">
        <f t="shared" si="40"/>
        <v>61911</v>
      </c>
      <c r="N67" s="41">
        <f t="shared" si="41"/>
        <v>738717.72000000009</v>
      </c>
      <c r="O67" s="43"/>
    </row>
    <row r="68" spans="1:15" x14ac:dyDescent="0.2">
      <c r="A68" s="59" t="s">
        <v>19</v>
      </c>
      <c r="B68" s="48" t="s">
        <v>26</v>
      </c>
      <c r="C68" s="129">
        <v>14.3</v>
      </c>
      <c r="D68" s="51">
        <f>+D67</f>
        <v>1114</v>
      </c>
      <c r="E68" s="35">
        <f t="shared" si="36"/>
        <v>15930.2</v>
      </c>
      <c r="F68" s="62">
        <v>16.45</v>
      </c>
      <c r="G68" s="51">
        <f>+G67</f>
        <v>24670</v>
      </c>
      <c r="H68" s="41">
        <f t="shared" si="37"/>
        <v>405821.5</v>
      </c>
      <c r="I68" s="54">
        <f>+I67</f>
        <v>24425</v>
      </c>
      <c r="J68" s="119">
        <f t="shared" si="38"/>
        <v>401791.25</v>
      </c>
      <c r="K68" s="51">
        <f>+K67</f>
        <v>11702</v>
      </c>
      <c r="L68" s="41">
        <f t="shared" si="39"/>
        <v>192497.9</v>
      </c>
      <c r="M68" s="36">
        <f t="shared" si="40"/>
        <v>61911</v>
      </c>
      <c r="N68" s="41">
        <f t="shared" si="41"/>
        <v>1016040.85</v>
      </c>
      <c r="O68" s="43"/>
    </row>
    <row r="69" spans="1:15" x14ac:dyDescent="0.2">
      <c r="A69" s="59" t="s">
        <v>27</v>
      </c>
      <c r="B69" s="66" t="s">
        <v>28</v>
      </c>
      <c r="C69" s="130">
        <v>7.8</v>
      </c>
      <c r="D69" s="68">
        <f>+D68</f>
        <v>1114</v>
      </c>
      <c r="E69" s="85">
        <f t="shared" si="36"/>
        <v>8689.1999999999989</v>
      </c>
      <c r="F69" s="67">
        <v>8.9700000000000006</v>
      </c>
      <c r="G69" s="68">
        <f>+G68</f>
        <v>24670</v>
      </c>
      <c r="H69" s="69">
        <f t="shared" si="37"/>
        <v>221289.90000000002</v>
      </c>
      <c r="I69" s="87">
        <f>+I68</f>
        <v>24425</v>
      </c>
      <c r="J69" s="120">
        <f t="shared" si="38"/>
        <v>219092.25000000003</v>
      </c>
      <c r="K69" s="68">
        <f>+K68</f>
        <v>11702</v>
      </c>
      <c r="L69" s="69">
        <f t="shared" si="39"/>
        <v>104966.94</v>
      </c>
      <c r="M69" s="91">
        <f t="shared" si="40"/>
        <v>61911</v>
      </c>
      <c r="N69" s="69">
        <f t="shared" si="41"/>
        <v>554038.29</v>
      </c>
      <c r="O69" s="43"/>
    </row>
    <row r="70" spans="1:15" x14ac:dyDescent="0.2">
      <c r="A70" s="71" t="s">
        <v>35</v>
      </c>
      <c r="B70" s="72"/>
      <c r="C70" s="131">
        <f>SUM(C62:C69)</f>
        <v>52.849999999999994</v>
      </c>
      <c r="D70" s="76"/>
      <c r="E70" s="86">
        <f>SUM(E62:E69)</f>
        <v>58874.899999999994</v>
      </c>
      <c r="F70" s="73">
        <f>SUM(F62:F69)</f>
        <v>59.58</v>
      </c>
      <c r="G70" s="76"/>
      <c r="H70" s="75">
        <f>SUM(H62:H69)</f>
        <v>1469838.6</v>
      </c>
      <c r="I70" s="89"/>
      <c r="J70" s="93">
        <f>SUM(J62:J69)</f>
        <v>1455241.5</v>
      </c>
      <c r="K70" s="76"/>
      <c r="L70" s="75">
        <f>SUM(L62:L69)</f>
        <v>697205.16000000015</v>
      </c>
      <c r="M70" s="89"/>
      <c r="N70" s="93">
        <f>SUM(N62:N69)</f>
        <v>3681160.16</v>
      </c>
      <c r="O70" s="43"/>
    </row>
    <row r="71" spans="1:15" x14ac:dyDescent="0.2">
      <c r="A71" s="97" t="s">
        <v>30</v>
      </c>
      <c r="B71" s="32"/>
      <c r="C71" s="128"/>
      <c r="D71" s="70"/>
      <c r="E71" s="106"/>
      <c r="F71" s="107"/>
      <c r="G71" s="108"/>
      <c r="H71" s="44"/>
      <c r="I71" s="109"/>
      <c r="J71" s="118"/>
      <c r="K71" s="108"/>
      <c r="L71" s="44"/>
      <c r="M71" s="92"/>
      <c r="N71" s="44"/>
      <c r="O71" s="43"/>
    </row>
    <row r="72" spans="1:15" x14ac:dyDescent="0.2">
      <c r="A72" s="59" t="s">
        <v>21</v>
      </c>
      <c r="B72" s="48" t="s">
        <v>22</v>
      </c>
      <c r="C72" s="129">
        <v>2.3199999999999998</v>
      </c>
      <c r="D72" s="51">
        <f>+D27+D28</f>
        <v>616</v>
      </c>
      <c r="E72" s="35">
        <f t="shared" ref="E72:E79" si="42">+D72*C72</f>
        <v>1429.12</v>
      </c>
      <c r="F72" s="62">
        <v>2.3199999999999998</v>
      </c>
      <c r="G72" s="51">
        <f>+G27+G28</f>
        <v>12536</v>
      </c>
      <c r="H72" s="41">
        <f t="shared" ref="H72:H79" si="43">+G72*F72</f>
        <v>29083.519999999997</v>
      </c>
      <c r="I72" s="54">
        <f>+I27+I28</f>
        <v>11284</v>
      </c>
      <c r="J72" s="119">
        <f t="shared" ref="J72:J79" si="44">+I72*F72</f>
        <v>26178.879999999997</v>
      </c>
      <c r="K72" s="51">
        <f>+K27+K28</f>
        <v>1855</v>
      </c>
      <c r="L72" s="41">
        <f t="shared" ref="L72:L79" si="45">+K72*F72</f>
        <v>4303.5999999999995</v>
      </c>
      <c r="M72" s="36">
        <f t="shared" ref="M72:M79" si="46">D72+G72+I72+K72</f>
        <v>26291</v>
      </c>
      <c r="N72" s="41">
        <f t="shared" ref="N72:N79" si="47">+E72+H72+J72+L72</f>
        <v>60995.119999999988</v>
      </c>
      <c r="O72" s="43"/>
    </row>
    <row r="73" spans="1:15" x14ac:dyDescent="0.2">
      <c r="A73" s="59" t="s">
        <v>41</v>
      </c>
      <c r="B73" s="48" t="s">
        <v>44</v>
      </c>
      <c r="C73" s="129">
        <v>5.74</v>
      </c>
      <c r="D73" s="51">
        <f>+D72</f>
        <v>616</v>
      </c>
      <c r="E73" s="35">
        <f t="shared" si="42"/>
        <v>3535.84</v>
      </c>
      <c r="F73" s="62">
        <v>12.8</v>
      </c>
      <c r="G73" s="51">
        <f>+G72</f>
        <v>12536</v>
      </c>
      <c r="H73" s="41">
        <f t="shared" si="43"/>
        <v>160460.80000000002</v>
      </c>
      <c r="I73" s="54">
        <f>+I72</f>
        <v>11284</v>
      </c>
      <c r="J73" s="119">
        <f t="shared" si="44"/>
        <v>144435.20000000001</v>
      </c>
      <c r="K73" s="51">
        <f>+K72</f>
        <v>1855</v>
      </c>
      <c r="L73" s="41">
        <f t="shared" si="45"/>
        <v>23744</v>
      </c>
      <c r="M73" s="36">
        <f t="shared" si="46"/>
        <v>26291</v>
      </c>
      <c r="N73" s="41">
        <f t="shared" si="47"/>
        <v>332175.84000000003</v>
      </c>
      <c r="O73" s="43"/>
    </row>
    <row r="74" spans="1:15" x14ac:dyDescent="0.2">
      <c r="A74" s="59" t="s">
        <v>42</v>
      </c>
      <c r="B74" s="48" t="s">
        <v>43</v>
      </c>
      <c r="C74" s="129">
        <v>3.54</v>
      </c>
      <c r="D74" s="51">
        <f>+D73</f>
        <v>616</v>
      </c>
      <c r="E74" s="35">
        <f t="shared" si="42"/>
        <v>2180.64</v>
      </c>
      <c r="F74" s="62">
        <v>4.42</v>
      </c>
      <c r="G74" s="51">
        <f>+G73</f>
        <v>12536</v>
      </c>
      <c r="H74" s="41">
        <f t="shared" si="43"/>
        <v>55409.120000000003</v>
      </c>
      <c r="I74" s="54">
        <f>+I73</f>
        <v>11284</v>
      </c>
      <c r="J74" s="119">
        <f t="shared" si="44"/>
        <v>49875.28</v>
      </c>
      <c r="K74" s="51">
        <f>+K73</f>
        <v>1855</v>
      </c>
      <c r="L74" s="41">
        <f t="shared" si="45"/>
        <v>8199.1</v>
      </c>
      <c r="M74" s="36">
        <f t="shared" si="46"/>
        <v>26291</v>
      </c>
      <c r="N74" s="41">
        <f t="shared" si="47"/>
        <v>115664.14000000001</v>
      </c>
      <c r="O74" s="43"/>
    </row>
    <row r="75" spans="1:15" x14ac:dyDescent="0.2">
      <c r="A75" s="59" t="s">
        <v>17</v>
      </c>
      <c r="B75" s="48" t="s">
        <v>23</v>
      </c>
      <c r="C75" s="129">
        <v>25.6</v>
      </c>
      <c r="D75" s="51">
        <f>+D72</f>
        <v>616</v>
      </c>
      <c r="E75" s="35">
        <f t="shared" si="42"/>
        <v>15769.6</v>
      </c>
      <c r="F75" s="62">
        <v>25.95</v>
      </c>
      <c r="G75" s="51">
        <f>+G72</f>
        <v>12536</v>
      </c>
      <c r="H75" s="41">
        <f t="shared" si="43"/>
        <v>325309.2</v>
      </c>
      <c r="I75" s="54">
        <f>+I72</f>
        <v>11284</v>
      </c>
      <c r="J75" s="119">
        <f t="shared" si="44"/>
        <v>292819.8</v>
      </c>
      <c r="K75" s="51">
        <f>+K72</f>
        <v>1855</v>
      </c>
      <c r="L75" s="41">
        <f t="shared" si="45"/>
        <v>48137.25</v>
      </c>
      <c r="M75" s="36">
        <f t="shared" si="46"/>
        <v>26291</v>
      </c>
      <c r="N75" s="41">
        <f t="shared" si="47"/>
        <v>682035.85</v>
      </c>
      <c r="O75" s="43"/>
    </row>
    <row r="76" spans="1:15" x14ac:dyDescent="0.2">
      <c r="A76" s="59" t="s">
        <v>24</v>
      </c>
      <c r="B76" s="55" t="s">
        <v>45</v>
      </c>
      <c r="C76" s="129">
        <v>2.44</v>
      </c>
      <c r="D76" s="51">
        <f>+D75</f>
        <v>616</v>
      </c>
      <c r="E76" s="35">
        <f t="shared" si="42"/>
        <v>1503.04</v>
      </c>
      <c r="F76" s="62">
        <v>2.44</v>
      </c>
      <c r="G76" s="51">
        <f>+G75</f>
        <v>12536</v>
      </c>
      <c r="H76" s="41">
        <f t="shared" si="43"/>
        <v>30587.84</v>
      </c>
      <c r="I76" s="54">
        <f>+I75</f>
        <v>11284</v>
      </c>
      <c r="J76" s="119">
        <f t="shared" si="44"/>
        <v>27532.959999999999</v>
      </c>
      <c r="K76" s="51">
        <f>+K75</f>
        <v>1855</v>
      </c>
      <c r="L76" s="41">
        <f t="shared" si="45"/>
        <v>4526.2</v>
      </c>
      <c r="M76" s="36">
        <f t="shared" si="46"/>
        <v>26291</v>
      </c>
      <c r="N76" s="41">
        <f t="shared" si="47"/>
        <v>64150.039999999994</v>
      </c>
      <c r="O76" s="43"/>
    </row>
    <row r="77" spans="1:15" x14ac:dyDescent="0.2">
      <c r="A77" s="59" t="s">
        <v>18</v>
      </c>
      <c r="B77" s="48" t="s">
        <v>25</v>
      </c>
      <c r="C77" s="129">
        <v>10.4</v>
      </c>
      <c r="D77" s="51">
        <f>+D76</f>
        <v>616</v>
      </c>
      <c r="E77" s="35">
        <f t="shared" si="42"/>
        <v>6406.4000000000005</v>
      </c>
      <c r="F77" s="62">
        <v>11.96</v>
      </c>
      <c r="G77" s="51">
        <f>+G76</f>
        <v>12536</v>
      </c>
      <c r="H77" s="41">
        <f t="shared" si="43"/>
        <v>149930.56</v>
      </c>
      <c r="I77" s="54">
        <f>+I76</f>
        <v>11284</v>
      </c>
      <c r="J77" s="119">
        <f t="shared" si="44"/>
        <v>134956.64000000001</v>
      </c>
      <c r="K77" s="51">
        <f>+K76</f>
        <v>1855</v>
      </c>
      <c r="L77" s="41">
        <f t="shared" si="45"/>
        <v>22185.800000000003</v>
      </c>
      <c r="M77" s="36">
        <f t="shared" si="46"/>
        <v>26291</v>
      </c>
      <c r="N77" s="41">
        <f t="shared" si="47"/>
        <v>313479.39999999997</v>
      </c>
      <c r="O77" s="43"/>
    </row>
    <row r="78" spans="1:15" x14ac:dyDescent="0.2">
      <c r="A78" s="59" t="s">
        <v>19</v>
      </c>
      <c r="B78" s="48" t="s">
        <v>26</v>
      </c>
      <c r="C78" s="129">
        <v>14.3</v>
      </c>
      <c r="D78" s="51">
        <f>+D77</f>
        <v>616</v>
      </c>
      <c r="E78" s="35">
        <f t="shared" si="42"/>
        <v>8808.8000000000011</v>
      </c>
      <c r="F78" s="62">
        <v>16.45</v>
      </c>
      <c r="G78" s="51">
        <f>+G77</f>
        <v>12536</v>
      </c>
      <c r="H78" s="41">
        <f t="shared" si="43"/>
        <v>206217.19999999998</v>
      </c>
      <c r="I78" s="54">
        <f>+I77</f>
        <v>11284</v>
      </c>
      <c r="J78" s="119">
        <f t="shared" si="44"/>
        <v>185621.8</v>
      </c>
      <c r="K78" s="51">
        <f>+K77</f>
        <v>1855</v>
      </c>
      <c r="L78" s="41">
        <f t="shared" si="45"/>
        <v>30514.75</v>
      </c>
      <c r="M78" s="36">
        <f t="shared" si="46"/>
        <v>26291</v>
      </c>
      <c r="N78" s="41">
        <f t="shared" si="47"/>
        <v>431162.54999999993</v>
      </c>
      <c r="O78" s="43"/>
    </row>
    <row r="79" spans="1:15" x14ac:dyDescent="0.2">
      <c r="A79" s="59" t="s">
        <v>27</v>
      </c>
      <c r="B79" s="66" t="s">
        <v>28</v>
      </c>
      <c r="C79" s="130">
        <v>7.8</v>
      </c>
      <c r="D79" s="68">
        <f>+D78</f>
        <v>616</v>
      </c>
      <c r="E79" s="85">
        <f t="shared" si="42"/>
        <v>4804.8</v>
      </c>
      <c r="F79" s="67">
        <v>8.9700000000000006</v>
      </c>
      <c r="G79" s="68">
        <f>+G78</f>
        <v>12536</v>
      </c>
      <c r="H79" s="69">
        <f t="shared" si="43"/>
        <v>112447.92000000001</v>
      </c>
      <c r="I79" s="87">
        <f>+I78</f>
        <v>11284</v>
      </c>
      <c r="J79" s="120">
        <f t="shared" si="44"/>
        <v>101217.48000000001</v>
      </c>
      <c r="K79" s="68">
        <f>+K78</f>
        <v>1855</v>
      </c>
      <c r="L79" s="69">
        <f t="shared" si="45"/>
        <v>16639.350000000002</v>
      </c>
      <c r="M79" s="91">
        <f t="shared" si="46"/>
        <v>26291</v>
      </c>
      <c r="N79" s="69">
        <f t="shared" si="47"/>
        <v>235109.55000000002</v>
      </c>
      <c r="O79" s="43"/>
    </row>
    <row r="80" spans="1:15" x14ac:dyDescent="0.2">
      <c r="A80" s="71" t="s">
        <v>33</v>
      </c>
      <c r="B80" s="72"/>
      <c r="C80" s="131">
        <f>SUM(C72:C79)</f>
        <v>72.14</v>
      </c>
      <c r="D80" s="76"/>
      <c r="E80" s="86">
        <f>SUM(E72:E79)</f>
        <v>44438.240000000005</v>
      </c>
      <c r="F80" s="73">
        <f>SUM(F72:F79)</f>
        <v>85.309999999999988</v>
      </c>
      <c r="G80" s="76"/>
      <c r="H80" s="75">
        <f>SUM(H72:H79)</f>
        <v>1069446.1599999999</v>
      </c>
      <c r="I80" s="89"/>
      <c r="J80" s="93">
        <f>SUM(J72:J79)</f>
        <v>962638.04</v>
      </c>
      <c r="K80" s="76"/>
      <c r="L80" s="75">
        <f>SUM(L72:L79)</f>
        <v>158250.05000000002</v>
      </c>
      <c r="M80" s="89"/>
      <c r="N80" s="93">
        <f>SUM(N72:N79)</f>
        <v>2234772.4899999998</v>
      </c>
      <c r="O80" s="43"/>
    </row>
    <row r="81" spans="1:16" x14ac:dyDescent="0.2">
      <c r="A81" s="97" t="s">
        <v>32</v>
      </c>
      <c r="B81" s="32"/>
      <c r="C81" s="128"/>
      <c r="D81" s="70"/>
      <c r="E81" s="106"/>
      <c r="F81" s="107"/>
      <c r="G81" s="108"/>
      <c r="H81" s="44"/>
      <c r="I81" s="109"/>
      <c r="J81" s="118"/>
      <c r="K81" s="108"/>
      <c r="L81" s="44"/>
      <c r="M81" s="92"/>
      <c r="N81" s="44"/>
      <c r="O81" s="43"/>
    </row>
    <row r="82" spans="1:16" x14ac:dyDescent="0.2">
      <c r="A82" s="59" t="s">
        <v>21</v>
      </c>
      <c r="B82" s="48" t="s">
        <v>22</v>
      </c>
      <c r="C82" s="129">
        <v>2.3199999999999998</v>
      </c>
      <c r="D82" s="51">
        <f>+D29+D30</f>
        <v>1267</v>
      </c>
      <c r="E82" s="35">
        <f t="shared" ref="E82:E89" si="48">+D82*C82</f>
        <v>2939.4399999999996</v>
      </c>
      <c r="F82" s="62">
        <v>2.3199999999999998</v>
      </c>
      <c r="G82" s="51">
        <f>+G29+G30</f>
        <v>3996</v>
      </c>
      <c r="H82" s="41">
        <f t="shared" ref="H82:H89" si="49">+G82*F82</f>
        <v>9270.7199999999993</v>
      </c>
      <c r="I82" s="54">
        <f>+I29+I30</f>
        <v>3749</v>
      </c>
      <c r="J82" s="119">
        <f t="shared" ref="J82:J89" si="50">+I82*F82</f>
        <v>8697.68</v>
      </c>
      <c r="K82" s="51">
        <f>+K29+K30</f>
        <v>1247</v>
      </c>
      <c r="L82" s="41">
        <f t="shared" ref="L82:L89" si="51">+K82*F82</f>
        <v>2893.04</v>
      </c>
      <c r="M82" s="36">
        <f t="shared" ref="M82:M89" si="52">D82+G82+I82+K82</f>
        <v>10259</v>
      </c>
      <c r="N82" s="41">
        <f t="shared" ref="N82:N89" si="53">+E82+H82+J82+L82</f>
        <v>23800.880000000001</v>
      </c>
      <c r="O82" s="43"/>
    </row>
    <row r="83" spans="1:16" x14ac:dyDescent="0.2">
      <c r="A83" s="59" t="s">
        <v>41</v>
      </c>
      <c r="B83" s="48" t="s">
        <v>44</v>
      </c>
      <c r="C83" s="129">
        <v>0</v>
      </c>
      <c r="D83" s="51">
        <v>0</v>
      </c>
      <c r="E83" s="35">
        <f t="shared" si="48"/>
        <v>0</v>
      </c>
      <c r="F83" s="62">
        <v>0</v>
      </c>
      <c r="G83" s="51">
        <v>0</v>
      </c>
      <c r="H83" s="41">
        <f t="shared" si="49"/>
        <v>0</v>
      </c>
      <c r="I83" s="54">
        <v>0</v>
      </c>
      <c r="J83" s="119">
        <f t="shared" si="50"/>
        <v>0</v>
      </c>
      <c r="K83" s="51">
        <v>0</v>
      </c>
      <c r="L83" s="41">
        <f t="shared" si="51"/>
        <v>0</v>
      </c>
      <c r="M83" s="36">
        <f t="shared" si="52"/>
        <v>0</v>
      </c>
      <c r="N83" s="41">
        <f t="shared" si="53"/>
        <v>0</v>
      </c>
      <c r="O83" s="43"/>
    </row>
    <row r="84" spans="1:16" x14ac:dyDescent="0.2">
      <c r="A84" s="59" t="s">
        <v>42</v>
      </c>
      <c r="B84" s="48" t="s">
        <v>43</v>
      </c>
      <c r="C84" s="129">
        <v>3.54</v>
      </c>
      <c r="D84" s="51">
        <f>+D82</f>
        <v>1267</v>
      </c>
      <c r="E84" s="35">
        <f t="shared" si="48"/>
        <v>4485.18</v>
      </c>
      <c r="F84" s="62">
        <v>4.42</v>
      </c>
      <c r="G84" s="51">
        <f>+G82</f>
        <v>3996</v>
      </c>
      <c r="H84" s="41">
        <f t="shared" si="49"/>
        <v>17662.32</v>
      </c>
      <c r="I84" s="54">
        <f>+I82</f>
        <v>3749</v>
      </c>
      <c r="J84" s="119">
        <f t="shared" si="50"/>
        <v>16570.579999999998</v>
      </c>
      <c r="K84" s="51">
        <f>+K82</f>
        <v>1247</v>
      </c>
      <c r="L84" s="41">
        <f t="shared" si="51"/>
        <v>5511.74</v>
      </c>
      <c r="M84" s="36">
        <f t="shared" si="52"/>
        <v>10259</v>
      </c>
      <c r="N84" s="41">
        <f t="shared" si="53"/>
        <v>44229.82</v>
      </c>
      <c r="O84" s="43"/>
    </row>
    <row r="85" spans="1:16" x14ac:dyDescent="0.2">
      <c r="A85" s="59" t="s">
        <v>17</v>
      </c>
      <c r="B85" s="48" t="s">
        <v>23</v>
      </c>
      <c r="C85" s="129">
        <v>41.89</v>
      </c>
      <c r="D85" s="51">
        <f>+D82</f>
        <v>1267</v>
      </c>
      <c r="E85" s="35">
        <f t="shared" si="48"/>
        <v>53074.63</v>
      </c>
      <c r="F85" s="62">
        <v>41.89</v>
      </c>
      <c r="G85" s="51">
        <f>+G82</f>
        <v>3996</v>
      </c>
      <c r="H85" s="41">
        <f t="shared" si="49"/>
        <v>167392.44</v>
      </c>
      <c r="I85" s="54">
        <f>+I82</f>
        <v>3749</v>
      </c>
      <c r="J85" s="119">
        <f t="shared" si="50"/>
        <v>157045.61000000002</v>
      </c>
      <c r="K85" s="51">
        <f>+K84</f>
        <v>1247</v>
      </c>
      <c r="L85" s="41">
        <f t="shared" si="51"/>
        <v>52236.83</v>
      </c>
      <c r="M85" s="36">
        <f t="shared" si="52"/>
        <v>10259</v>
      </c>
      <c r="N85" s="41">
        <f t="shared" si="53"/>
        <v>429749.51000000007</v>
      </c>
      <c r="O85" s="43"/>
    </row>
    <row r="86" spans="1:16" x14ac:dyDescent="0.2">
      <c r="A86" s="59" t="s">
        <v>24</v>
      </c>
      <c r="B86" s="55" t="s">
        <v>45</v>
      </c>
      <c r="C86" s="129">
        <v>2.44</v>
      </c>
      <c r="D86" s="51">
        <f>+D85</f>
        <v>1267</v>
      </c>
      <c r="E86" s="35">
        <f t="shared" si="48"/>
        <v>3091.48</v>
      </c>
      <c r="F86" s="62">
        <v>2.44</v>
      </c>
      <c r="G86" s="51">
        <f>+G85</f>
        <v>3996</v>
      </c>
      <c r="H86" s="41">
        <f t="shared" si="49"/>
        <v>9750.24</v>
      </c>
      <c r="I86" s="54">
        <f>+I85</f>
        <v>3749</v>
      </c>
      <c r="J86" s="119">
        <f t="shared" si="50"/>
        <v>9147.56</v>
      </c>
      <c r="K86" s="51">
        <f>+K85</f>
        <v>1247</v>
      </c>
      <c r="L86" s="41">
        <f t="shared" si="51"/>
        <v>3042.68</v>
      </c>
      <c r="M86" s="36">
        <f t="shared" si="52"/>
        <v>10259</v>
      </c>
      <c r="N86" s="41">
        <f t="shared" si="53"/>
        <v>25031.96</v>
      </c>
      <c r="O86" s="43"/>
    </row>
    <row r="87" spans="1:16" x14ac:dyDescent="0.2">
      <c r="A87" s="59" t="s">
        <v>18</v>
      </c>
      <c r="B87" s="48" t="s">
        <v>25</v>
      </c>
      <c r="C87" s="129">
        <v>10.4</v>
      </c>
      <c r="D87" s="51">
        <f>+D86</f>
        <v>1267</v>
      </c>
      <c r="E87" s="35">
        <f t="shared" si="48"/>
        <v>13176.800000000001</v>
      </c>
      <c r="F87" s="62">
        <v>11.96</v>
      </c>
      <c r="G87" s="51">
        <f>+G86</f>
        <v>3996</v>
      </c>
      <c r="H87" s="41">
        <f t="shared" si="49"/>
        <v>47792.160000000003</v>
      </c>
      <c r="I87" s="54">
        <f>+I86</f>
        <v>3749</v>
      </c>
      <c r="J87" s="119">
        <f t="shared" si="50"/>
        <v>44838.04</v>
      </c>
      <c r="K87" s="51">
        <f>+K86</f>
        <v>1247</v>
      </c>
      <c r="L87" s="41">
        <f t="shared" si="51"/>
        <v>14914.12</v>
      </c>
      <c r="M87" s="36">
        <f t="shared" si="52"/>
        <v>10259</v>
      </c>
      <c r="N87" s="41">
        <f t="shared" si="53"/>
        <v>120721.12</v>
      </c>
      <c r="O87" s="43"/>
    </row>
    <row r="88" spans="1:16" x14ac:dyDescent="0.2">
      <c r="A88" s="59" t="s">
        <v>19</v>
      </c>
      <c r="B88" s="48" t="s">
        <v>26</v>
      </c>
      <c r="C88" s="129">
        <v>14.3</v>
      </c>
      <c r="D88" s="51">
        <f>+D87</f>
        <v>1267</v>
      </c>
      <c r="E88" s="35">
        <f t="shared" si="48"/>
        <v>18118.100000000002</v>
      </c>
      <c r="F88" s="62">
        <v>16.45</v>
      </c>
      <c r="G88" s="51">
        <f>+G87</f>
        <v>3996</v>
      </c>
      <c r="H88" s="41">
        <f t="shared" si="49"/>
        <v>65734.2</v>
      </c>
      <c r="I88" s="54">
        <f>+I87</f>
        <v>3749</v>
      </c>
      <c r="J88" s="119">
        <f t="shared" si="50"/>
        <v>61671.049999999996</v>
      </c>
      <c r="K88" s="51">
        <f>+K87</f>
        <v>1247</v>
      </c>
      <c r="L88" s="41">
        <f t="shared" si="51"/>
        <v>20513.149999999998</v>
      </c>
      <c r="M88" s="36">
        <f t="shared" si="52"/>
        <v>10259</v>
      </c>
      <c r="N88" s="41">
        <f t="shared" si="53"/>
        <v>166036.5</v>
      </c>
      <c r="O88" s="43"/>
    </row>
    <row r="89" spans="1:16" x14ac:dyDescent="0.2">
      <c r="A89" s="59" t="s">
        <v>27</v>
      </c>
      <c r="B89" s="66" t="s">
        <v>28</v>
      </c>
      <c r="C89" s="130">
        <v>7.8</v>
      </c>
      <c r="D89" s="68">
        <f>+D88</f>
        <v>1267</v>
      </c>
      <c r="E89" s="85">
        <f t="shared" si="48"/>
        <v>9882.6</v>
      </c>
      <c r="F89" s="67">
        <v>8.9700000000000006</v>
      </c>
      <c r="G89" s="68">
        <f>+G88</f>
        <v>3996</v>
      </c>
      <c r="H89" s="69">
        <f t="shared" si="49"/>
        <v>35844.120000000003</v>
      </c>
      <c r="I89" s="87">
        <f>+I88</f>
        <v>3749</v>
      </c>
      <c r="J89" s="120">
        <f t="shared" si="50"/>
        <v>33628.53</v>
      </c>
      <c r="K89" s="68">
        <f>+K88</f>
        <v>1247</v>
      </c>
      <c r="L89" s="69">
        <f t="shared" si="51"/>
        <v>11185.59</v>
      </c>
      <c r="M89" s="91">
        <f t="shared" si="52"/>
        <v>10259</v>
      </c>
      <c r="N89" s="69">
        <f t="shared" si="53"/>
        <v>90540.84</v>
      </c>
      <c r="O89" s="43"/>
    </row>
    <row r="90" spans="1:16" x14ac:dyDescent="0.2">
      <c r="A90" s="71" t="s">
        <v>36</v>
      </c>
      <c r="B90" s="72"/>
      <c r="C90" s="131">
        <f>SUM(C82:C89)</f>
        <v>82.69</v>
      </c>
      <c r="D90" s="76"/>
      <c r="E90" s="86">
        <f>SUM(E82:E89)</f>
        <v>104768.23000000001</v>
      </c>
      <c r="F90" s="73">
        <f>SUM(F82:F89)</f>
        <v>88.45</v>
      </c>
      <c r="G90" s="76"/>
      <c r="H90" s="75">
        <f>SUM(H82:H89)</f>
        <v>353446.2</v>
      </c>
      <c r="I90" s="89"/>
      <c r="J90" s="93">
        <f>SUM(J82:J89)</f>
        <v>331599.05000000005</v>
      </c>
      <c r="K90" s="76"/>
      <c r="L90" s="75">
        <f>SUM(L82:L89)</f>
        <v>110297.15</v>
      </c>
      <c r="M90" s="89">
        <f>SUM(M82:M89)</f>
        <v>71813</v>
      </c>
      <c r="N90" s="93">
        <f>SUM(N82:N89)</f>
        <v>900110.63</v>
      </c>
      <c r="O90" s="43"/>
    </row>
    <row r="91" spans="1:16" x14ac:dyDescent="0.2">
      <c r="A91" s="97" t="s">
        <v>37</v>
      </c>
      <c r="B91" s="32"/>
      <c r="C91" s="63"/>
      <c r="D91" s="70"/>
      <c r="E91" s="33"/>
      <c r="F91" s="107"/>
      <c r="G91" s="108"/>
      <c r="H91" s="40"/>
      <c r="I91" s="109"/>
      <c r="J91" s="118"/>
      <c r="K91" s="108"/>
      <c r="L91" s="40"/>
      <c r="M91" s="92"/>
      <c r="N91" s="44"/>
      <c r="O91" s="43"/>
    </row>
    <row r="92" spans="1:16" x14ac:dyDescent="0.2">
      <c r="A92" s="59" t="s">
        <v>21</v>
      </c>
      <c r="B92" s="48" t="s">
        <v>22</v>
      </c>
      <c r="C92" s="64"/>
      <c r="D92" s="51">
        <f>+D82+D72+D62+D52</f>
        <v>30137</v>
      </c>
      <c r="E92" s="119">
        <f>+E82+E72+E62+E52</f>
        <v>69917.84</v>
      </c>
      <c r="F92" s="62"/>
      <c r="G92" s="51">
        <f t="shared" ref="G92:L99" si="54">+G82+G72+G62+G52</f>
        <v>276980</v>
      </c>
      <c r="H92" s="94">
        <f t="shared" si="54"/>
        <v>642593.6</v>
      </c>
      <c r="I92" s="54">
        <f t="shared" si="54"/>
        <v>261969</v>
      </c>
      <c r="J92" s="119">
        <f t="shared" si="54"/>
        <v>607768.07999999996</v>
      </c>
      <c r="K92" s="51">
        <f t="shared" si="54"/>
        <v>74845</v>
      </c>
      <c r="L92" s="94">
        <f t="shared" si="54"/>
        <v>173640.4</v>
      </c>
      <c r="M92" s="36">
        <f t="shared" ref="M92:M99" si="55">D92+G92+I92+K92</f>
        <v>643931</v>
      </c>
      <c r="N92" s="41">
        <f t="shared" ref="N92:N99" si="56">+E92+H92+J92+L92</f>
        <v>1493919.92</v>
      </c>
      <c r="O92" s="43">
        <f t="shared" ref="O92:O99" si="57">+N52+N62+N72+N82</f>
        <v>1493919.9199999997</v>
      </c>
      <c r="P92" s="58">
        <f t="shared" ref="P92:P99" si="58">+O92-N92</f>
        <v>0</v>
      </c>
    </row>
    <row r="93" spans="1:16" x14ac:dyDescent="0.2">
      <c r="A93" s="59" t="s">
        <v>41</v>
      </c>
      <c r="B93" s="48" t="s">
        <v>44</v>
      </c>
      <c r="C93" s="64"/>
      <c r="D93" s="51">
        <f>+D83+D73+D63+D53</f>
        <v>27756</v>
      </c>
      <c r="E93" s="119">
        <f t="shared" ref="D93:E99" si="59">+E83+E73+E63+E53</f>
        <v>159319.44</v>
      </c>
      <c r="F93" s="62"/>
      <c r="G93" s="51">
        <f t="shared" si="54"/>
        <v>248314</v>
      </c>
      <c r="H93" s="94">
        <f t="shared" si="54"/>
        <v>3178419.2</v>
      </c>
      <c r="I93" s="54">
        <f t="shared" si="54"/>
        <v>233795</v>
      </c>
      <c r="J93" s="119">
        <f t="shared" si="54"/>
        <v>2992576.0000000005</v>
      </c>
      <c r="K93" s="51">
        <f t="shared" si="54"/>
        <v>61896</v>
      </c>
      <c r="L93" s="94">
        <f t="shared" si="54"/>
        <v>792268.80000000005</v>
      </c>
      <c r="M93" s="36">
        <f t="shared" si="55"/>
        <v>571761</v>
      </c>
      <c r="N93" s="41">
        <f t="shared" si="56"/>
        <v>7122583.4400000004</v>
      </c>
      <c r="O93" s="43">
        <f t="shared" si="57"/>
        <v>7122583.4400000004</v>
      </c>
      <c r="P93" s="58">
        <f t="shared" si="58"/>
        <v>0</v>
      </c>
    </row>
    <row r="94" spans="1:16" x14ac:dyDescent="0.2">
      <c r="A94" s="59" t="s">
        <v>42</v>
      </c>
      <c r="B94" s="48" t="s">
        <v>43</v>
      </c>
      <c r="C94" s="64"/>
      <c r="D94" s="51">
        <f t="shared" si="59"/>
        <v>30137</v>
      </c>
      <c r="E94" s="119">
        <f t="shared" si="59"/>
        <v>106684.98000000001</v>
      </c>
      <c r="F94" s="62"/>
      <c r="G94" s="51">
        <f t="shared" si="54"/>
        <v>276980</v>
      </c>
      <c r="H94" s="94">
        <f t="shared" si="54"/>
        <v>1224251.6000000001</v>
      </c>
      <c r="I94" s="54">
        <f t="shared" si="54"/>
        <v>261969</v>
      </c>
      <c r="J94" s="119">
        <f t="shared" si="54"/>
        <v>1157902.98</v>
      </c>
      <c r="K94" s="51">
        <f t="shared" si="54"/>
        <v>74845</v>
      </c>
      <c r="L94" s="94">
        <f t="shared" si="54"/>
        <v>330814.89999999997</v>
      </c>
      <c r="M94" s="36">
        <f t="shared" si="55"/>
        <v>643931</v>
      </c>
      <c r="N94" s="41">
        <f t="shared" si="56"/>
        <v>2819654.46</v>
      </c>
      <c r="O94" s="43">
        <f t="shared" si="57"/>
        <v>2819654.46</v>
      </c>
      <c r="P94" s="58">
        <f t="shared" si="58"/>
        <v>0</v>
      </c>
    </row>
    <row r="95" spans="1:16" x14ac:dyDescent="0.2">
      <c r="A95" s="59" t="s">
        <v>17</v>
      </c>
      <c r="B95" s="48" t="s">
        <v>23</v>
      </c>
      <c r="C95" s="64"/>
      <c r="D95" s="51">
        <f t="shared" si="59"/>
        <v>30137</v>
      </c>
      <c r="E95" s="119">
        <f t="shared" si="59"/>
        <v>202226.72999999998</v>
      </c>
      <c r="F95" s="62"/>
      <c r="G95" s="51">
        <f t="shared" si="54"/>
        <v>276980</v>
      </c>
      <c r="H95" s="94">
        <f t="shared" si="54"/>
        <v>1940923.8800000001</v>
      </c>
      <c r="I95" s="54">
        <f t="shared" si="54"/>
        <v>261969</v>
      </c>
      <c r="J95" s="119">
        <f t="shared" si="54"/>
        <v>1831481.4900000002</v>
      </c>
      <c r="K95" s="51">
        <f t="shared" si="54"/>
        <v>74845</v>
      </c>
      <c r="L95" s="94">
        <f t="shared" si="54"/>
        <v>539730.10000000009</v>
      </c>
      <c r="M95" s="36">
        <f t="shared" si="55"/>
        <v>643931</v>
      </c>
      <c r="N95" s="41">
        <f t="shared" si="56"/>
        <v>4514362.2000000011</v>
      </c>
      <c r="O95" s="43">
        <f t="shared" si="57"/>
        <v>4514362.2</v>
      </c>
      <c r="P95" s="58">
        <f t="shared" si="58"/>
        <v>0</v>
      </c>
    </row>
    <row r="96" spans="1:16" x14ac:dyDescent="0.2">
      <c r="A96" s="59" t="s">
        <v>24</v>
      </c>
      <c r="B96" s="55" t="s">
        <v>45</v>
      </c>
      <c r="C96" s="64"/>
      <c r="D96" s="51">
        <f t="shared" si="59"/>
        <v>30137</v>
      </c>
      <c r="E96" s="119">
        <f t="shared" si="59"/>
        <v>73534.28</v>
      </c>
      <c r="F96" s="62"/>
      <c r="G96" s="51">
        <f t="shared" si="54"/>
        <v>276980</v>
      </c>
      <c r="H96" s="94">
        <f t="shared" si="54"/>
        <v>675831.2</v>
      </c>
      <c r="I96" s="54">
        <f t="shared" si="54"/>
        <v>261969</v>
      </c>
      <c r="J96" s="119">
        <f t="shared" si="54"/>
        <v>639204.36</v>
      </c>
      <c r="K96" s="51">
        <f t="shared" si="54"/>
        <v>74845</v>
      </c>
      <c r="L96" s="94">
        <f t="shared" si="54"/>
        <v>182621.80000000002</v>
      </c>
      <c r="M96" s="36">
        <f t="shared" si="55"/>
        <v>643931</v>
      </c>
      <c r="N96" s="41">
        <f t="shared" si="56"/>
        <v>1571191.64</v>
      </c>
      <c r="O96" s="43">
        <f t="shared" si="57"/>
        <v>1571191.64</v>
      </c>
      <c r="P96" s="58">
        <f t="shared" si="58"/>
        <v>0</v>
      </c>
    </row>
    <row r="97" spans="1:16" x14ac:dyDescent="0.2">
      <c r="A97" s="59" t="s">
        <v>18</v>
      </c>
      <c r="B97" s="48" t="s">
        <v>25</v>
      </c>
      <c r="C97" s="64"/>
      <c r="D97" s="51">
        <f t="shared" si="59"/>
        <v>30137</v>
      </c>
      <c r="E97" s="119">
        <f t="shared" si="59"/>
        <v>313424.8</v>
      </c>
      <c r="F97" s="62"/>
      <c r="G97" s="51">
        <f t="shared" si="54"/>
        <v>276980</v>
      </c>
      <c r="H97" s="94">
        <f t="shared" si="54"/>
        <v>3312680.8000000003</v>
      </c>
      <c r="I97" s="54">
        <f t="shared" si="54"/>
        <v>261969</v>
      </c>
      <c r="J97" s="119">
        <f t="shared" si="54"/>
        <v>3133149.24</v>
      </c>
      <c r="K97" s="51">
        <f t="shared" si="54"/>
        <v>74845</v>
      </c>
      <c r="L97" s="94">
        <f t="shared" si="54"/>
        <v>895146.20000000019</v>
      </c>
      <c r="M97" s="36">
        <f t="shared" si="55"/>
        <v>643931</v>
      </c>
      <c r="N97" s="41">
        <f t="shared" si="56"/>
        <v>7654401.04</v>
      </c>
      <c r="O97" s="43">
        <f t="shared" si="57"/>
        <v>7654401.040000001</v>
      </c>
      <c r="P97" s="58">
        <f t="shared" si="58"/>
        <v>0</v>
      </c>
    </row>
    <row r="98" spans="1:16" x14ac:dyDescent="0.2">
      <c r="A98" s="59" t="s">
        <v>19</v>
      </c>
      <c r="B98" s="48" t="s">
        <v>26</v>
      </c>
      <c r="C98" s="64"/>
      <c r="D98" s="51">
        <f t="shared" si="59"/>
        <v>30137</v>
      </c>
      <c r="E98" s="119">
        <f t="shared" si="59"/>
        <v>430959.1</v>
      </c>
      <c r="F98" s="62"/>
      <c r="G98" s="51">
        <f t="shared" si="54"/>
        <v>276980</v>
      </c>
      <c r="H98" s="94">
        <f t="shared" si="54"/>
        <v>4556321</v>
      </c>
      <c r="I98" s="54">
        <f t="shared" si="54"/>
        <v>261969</v>
      </c>
      <c r="J98" s="119">
        <f t="shared" si="54"/>
        <v>4309390.05</v>
      </c>
      <c r="K98" s="51">
        <f t="shared" si="54"/>
        <v>74845</v>
      </c>
      <c r="L98" s="94">
        <f t="shared" si="54"/>
        <v>1231200.25</v>
      </c>
      <c r="M98" s="36">
        <f t="shared" si="55"/>
        <v>643931</v>
      </c>
      <c r="N98" s="41">
        <f t="shared" si="56"/>
        <v>10527870.399999999</v>
      </c>
      <c r="O98" s="43">
        <f t="shared" si="57"/>
        <v>10527870.399999999</v>
      </c>
      <c r="P98" s="58">
        <f t="shared" si="58"/>
        <v>0</v>
      </c>
    </row>
    <row r="99" spans="1:16" x14ac:dyDescent="0.2">
      <c r="A99" s="59" t="s">
        <v>27</v>
      </c>
      <c r="B99" s="66" t="s">
        <v>28</v>
      </c>
      <c r="C99" s="81"/>
      <c r="D99" s="68">
        <f t="shared" si="59"/>
        <v>30137</v>
      </c>
      <c r="E99" s="120">
        <f t="shared" si="59"/>
        <v>235068.6</v>
      </c>
      <c r="F99" s="67"/>
      <c r="G99" s="68">
        <f t="shared" si="54"/>
        <v>276980</v>
      </c>
      <c r="H99" s="95">
        <f t="shared" si="54"/>
        <v>2484510.6</v>
      </c>
      <c r="I99" s="87">
        <f t="shared" si="54"/>
        <v>261969</v>
      </c>
      <c r="J99" s="120">
        <f t="shared" si="54"/>
        <v>2349861.9300000002</v>
      </c>
      <c r="K99" s="68">
        <f t="shared" si="54"/>
        <v>74845</v>
      </c>
      <c r="L99" s="95">
        <f t="shared" si="54"/>
        <v>671359.65</v>
      </c>
      <c r="M99" s="36">
        <f t="shared" si="55"/>
        <v>643931</v>
      </c>
      <c r="N99" s="41">
        <f t="shared" si="56"/>
        <v>5740800.7800000012</v>
      </c>
      <c r="O99" s="116">
        <f t="shared" si="57"/>
        <v>5740800.7799999993</v>
      </c>
      <c r="P99" s="58">
        <f t="shared" si="58"/>
        <v>0</v>
      </c>
    </row>
    <row r="100" spans="1:16" x14ac:dyDescent="0.2">
      <c r="A100" s="77" t="s">
        <v>2</v>
      </c>
      <c r="B100" s="78"/>
      <c r="C100" s="82"/>
      <c r="D100" s="79"/>
      <c r="E100" s="121">
        <f>SUM(E92:E99)</f>
        <v>1591135.77</v>
      </c>
      <c r="F100" s="80"/>
      <c r="G100" s="79"/>
      <c r="H100" s="96">
        <f>SUM(H92:H99)</f>
        <v>18015531.880000003</v>
      </c>
      <c r="I100" s="90"/>
      <c r="J100" s="96">
        <f>SUM(J92:J99)</f>
        <v>17021334.130000003</v>
      </c>
      <c r="K100" s="79"/>
      <c r="L100" s="96">
        <f>SUM(L92:L99)</f>
        <v>4816782.1000000006</v>
      </c>
      <c r="M100" s="90"/>
      <c r="N100" s="96">
        <f>SUM(N92:N99)</f>
        <v>41444783.879999995</v>
      </c>
      <c r="O100" s="43">
        <f>SUM(O92:O99)</f>
        <v>41444783.880000003</v>
      </c>
    </row>
    <row r="101" spans="1:16" x14ac:dyDescent="0.2">
      <c r="A101" s="5"/>
      <c r="B101" s="60"/>
      <c r="C101" s="5"/>
      <c r="D101" s="5"/>
      <c r="E101" s="17">
        <f>+E90+E80+E70+E60</f>
        <v>1591135.77</v>
      </c>
      <c r="F101" s="43"/>
      <c r="G101" s="50"/>
      <c r="H101" s="39">
        <f>+H90+H80+H70+H60</f>
        <v>18015531.879999999</v>
      </c>
      <c r="I101" s="50"/>
      <c r="J101" s="17">
        <f>+J90+J80+J70+J60</f>
        <v>17021334.129999999</v>
      </c>
      <c r="K101" s="50"/>
      <c r="L101" s="39">
        <f>+L90+L80+L70+L60</f>
        <v>4816782.1000000006</v>
      </c>
      <c r="M101" s="15"/>
      <c r="N101" s="17">
        <f>+N90+N80+N70+N60</f>
        <v>41444783.880000003</v>
      </c>
      <c r="O101" s="43">
        <f>+N100-O100</f>
        <v>0</v>
      </c>
    </row>
    <row r="102" spans="1:16" x14ac:dyDescent="0.2">
      <c r="B102" s="30"/>
      <c r="C102" s="2"/>
      <c r="G102" s="52"/>
      <c r="I102" s="52"/>
      <c r="J102" s="52"/>
      <c r="K102" s="52"/>
      <c r="M102" s="16">
        <f>+M93-M92</f>
        <v>-72170</v>
      </c>
      <c r="N102" s="30"/>
    </row>
    <row r="103" spans="1:16" x14ac:dyDescent="0.2">
      <c r="B103" s="30" t="s">
        <v>52</v>
      </c>
      <c r="C103" s="2"/>
      <c r="D103" s="122">
        <f>+D93-D92</f>
        <v>-2381</v>
      </c>
      <c r="G103" s="122">
        <f>+G93-G92</f>
        <v>-28666</v>
      </c>
      <c r="I103" s="122">
        <f>+I93-I92</f>
        <v>-28174</v>
      </c>
      <c r="J103" s="52"/>
      <c r="K103" s="122">
        <f>+K93-K92</f>
        <v>-12949</v>
      </c>
      <c r="M103" s="16">
        <f>SUM(D103:L103)</f>
        <v>-72170</v>
      </c>
      <c r="N103" s="30"/>
    </row>
    <row r="104" spans="1:16" x14ac:dyDescent="0.2">
      <c r="C104" s="2"/>
      <c r="G104" s="52"/>
      <c r="I104" s="52"/>
      <c r="J104" s="52"/>
      <c r="K104" s="52"/>
      <c r="M104" s="16">
        <f>+M94-M92</f>
        <v>0</v>
      </c>
      <c r="N104" s="30"/>
    </row>
    <row r="105" spans="1:16" x14ac:dyDescent="0.2">
      <c r="C105" s="2"/>
      <c r="G105" s="52"/>
      <c r="I105" s="52"/>
      <c r="J105" s="52"/>
      <c r="K105" s="52"/>
      <c r="N105" s="30"/>
    </row>
    <row r="106" spans="1:16" x14ac:dyDescent="0.2">
      <c r="C106" s="2"/>
      <c r="G106" s="52"/>
      <c r="I106" s="52"/>
      <c r="J106" s="52"/>
      <c r="K106" s="52"/>
    </row>
    <row r="107" spans="1:16" x14ac:dyDescent="0.2">
      <c r="C107" s="2"/>
      <c r="G107" s="52"/>
      <c r="I107" s="52"/>
      <c r="J107" s="52"/>
      <c r="K107" s="52"/>
    </row>
    <row r="108" spans="1:16" x14ac:dyDescent="0.2">
      <c r="C108" s="2"/>
      <c r="G108" s="52"/>
      <c r="I108" s="52"/>
      <c r="J108" s="52"/>
      <c r="K108" s="52"/>
    </row>
    <row r="109" spans="1:16" x14ac:dyDescent="0.2">
      <c r="C109" s="2"/>
      <c r="G109" s="52"/>
      <c r="I109" s="52"/>
      <c r="J109" s="52"/>
      <c r="K109" s="52"/>
    </row>
    <row r="110" spans="1:16" x14ac:dyDescent="0.2">
      <c r="C110" s="2"/>
      <c r="G110" s="52"/>
      <c r="I110" s="52"/>
      <c r="J110" s="52"/>
      <c r="K110" s="52"/>
    </row>
    <row r="111" spans="1:16" x14ac:dyDescent="0.2">
      <c r="C111" s="2"/>
      <c r="G111" s="52"/>
      <c r="I111" s="52"/>
      <c r="J111" s="52"/>
      <c r="K111" s="52"/>
    </row>
    <row r="112" spans="1:16" x14ac:dyDescent="0.2">
      <c r="C112" s="2"/>
      <c r="G112" s="52"/>
      <c r="I112" s="52"/>
      <c r="J112" s="52"/>
      <c r="K112" s="52"/>
    </row>
    <row r="113" spans="7:11" s="2" customFormat="1" x14ac:dyDescent="0.2">
      <c r="G113" s="52"/>
      <c r="I113" s="52"/>
      <c r="J113" s="52"/>
      <c r="K113" s="52"/>
    </row>
    <row r="114" spans="7:11" s="2" customFormat="1" x14ac:dyDescent="0.2">
      <c r="G114" s="52"/>
      <c r="I114" s="52"/>
      <c r="J114" s="52"/>
      <c r="K114" s="52"/>
    </row>
    <row r="115" spans="7:11" s="2" customFormat="1" x14ac:dyDescent="0.2">
      <c r="G115" s="52"/>
      <c r="I115" s="52"/>
      <c r="J115" s="52"/>
      <c r="K115" s="52"/>
    </row>
    <row r="116" spans="7:11" s="2" customFormat="1" x14ac:dyDescent="0.2">
      <c r="G116" s="52"/>
      <c r="I116" s="52"/>
      <c r="J116" s="52"/>
      <c r="K116" s="52"/>
    </row>
    <row r="117" spans="7:11" s="2" customFormat="1" x14ac:dyDescent="0.2">
      <c r="G117" s="52"/>
      <c r="I117" s="52"/>
      <c r="J117" s="52"/>
      <c r="K117" s="52"/>
    </row>
    <row r="118" spans="7:11" s="2" customFormat="1" x14ac:dyDescent="0.2">
      <c r="G118" s="52"/>
      <c r="I118" s="52"/>
      <c r="J118" s="52"/>
      <c r="K118" s="52"/>
    </row>
    <row r="119" spans="7:11" s="2" customFormat="1" x14ac:dyDescent="0.2">
      <c r="G119" s="52"/>
      <c r="I119" s="52"/>
      <c r="J119" s="52"/>
      <c r="K119" s="52"/>
    </row>
    <row r="120" spans="7:11" s="2" customFormat="1" x14ac:dyDescent="0.2">
      <c r="G120" s="52"/>
      <c r="I120" s="52"/>
      <c r="J120" s="52"/>
      <c r="K120" s="52"/>
    </row>
    <row r="121" spans="7:11" s="2" customFormat="1" x14ac:dyDescent="0.2">
      <c r="G121" s="52"/>
      <c r="I121" s="52"/>
      <c r="J121" s="52"/>
      <c r="K121" s="52"/>
    </row>
    <row r="122" spans="7:11" s="2" customFormat="1" x14ac:dyDescent="0.2">
      <c r="G122" s="52"/>
      <c r="I122" s="52"/>
      <c r="J122" s="52"/>
      <c r="K122" s="52"/>
    </row>
    <row r="123" spans="7:11" s="2" customFormat="1" x14ac:dyDescent="0.2">
      <c r="G123" s="52"/>
      <c r="I123" s="52"/>
      <c r="J123" s="52"/>
      <c r="K123" s="52"/>
    </row>
    <row r="124" spans="7:11" s="2" customFormat="1" x14ac:dyDescent="0.2">
      <c r="G124" s="52"/>
      <c r="I124" s="52"/>
      <c r="J124" s="52"/>
      <c r="K124" s="52"/>
    </row>
    <row r="125" spans="7:11" s="2" customFormat="1" x14ac:dyDescent="0.2">
      <c r="G125" s="52"/>
      <c r="I125" s="52"/>
      <c r="J125" s="52"/>
      <c r="K125" s="52"/>
    </row>
    <row r="126" spans="7:11" s="2" customFormat="1" x14ac:dyDescent="0.2">
      <c r="G126" s="52"/>
      <c r="I126" s="52"/>
      <c r="J126" s="52"/>
      <c r="K126" s="52"/>
    </row>
    <row r="127" spans="7:11" s="2" customFormat="1" x14ac:dyDescent="0.2">
      <c r="G127" s="52"/>
      <c r="I127" s="52"/>
      <c r="J127" s="52"/>
      <c r="K127" s="52"/>
    </row>
    <row r="128" spans="7:11" s="2" customFormat="1" x14ac:dyDescent="0.2">
      <c r="G128" s="52"/>
      <c r="I128" s="52"/>
      <c r="J128" s="52"/>
      <c r="K128" s="52"/>
    </row>
    <row r="129" spans="7:11" s="2" customFormat="1" x14ac:dyDescent="0.2">
      <c r="G129" s="52"/>
      <c r="I129" s="52"/>
      <c r="J129" s="52"/>
      <c r="K129" s="52"/>
    </row>
    <row r="130" spans="7:11" s="2" customFormat="1" x14ac:dyDescent="0.2">
      <c r="G130" s="52"/>
      <c r="I130" s="52"/>
      <c r="J130" s="52"/>
      <c r="K130" s="52"/>
    </row>
    <row r="131" spans="7:11" s="2" customFormat="1" x14ac:dyDescent="0.2">
      <c r="G131" s="52"/>
      <c r="I131" s="52"/>
      <c r="J131" s="52"/>
      <c r="K131" s="52"/>
    </row>
    <row r="132" spans="7:11" s="2" customFormat="1" x14ac:dyDescent="0.2">
      <c r="G132" s="52"/>
      <c r="I132" s="52"/>
      <c r="J132" s="52"/>
      <c r="K132" s="52"/>
    </row>
    <row r="133" spans="7:11" s="2" customFormat="1" x14ac:dyDescent="0.2">
      <c r="G133" s="52"/>
      <c r="I133" s="52"/>
      <c r="J133" s="52"/>
      <c r="K133" s="52"/>
    </row>
    <row r="134" spans="7:11" s="2" customFormat="1" x14ac:dyDescent="0.2">
      <c r="G134" s="52"/>
      <c r="I134" s="52"/>
      <c r="J134" s="52"/>
      <c r="K134" s="52"/>
    </row>
    <row r="135" spans="7:11" s="2" customFormat="1" x14ac:dyDescent="0.2">
      <c r="G135" s="52"/>
      <c r="I135" s="52"/>
      <c r="J135" s="52"/>
      <c r="K135" s="52"/>
    </row>
    <row r="136" spans="7:11" s="2" customFormat="1" x14ac:dyDescent="0.2">
      <c r="G136" s="52"/>
      <c r="I136" s="52"/>
      <c r="J136" s="52"/>
      <c r="K136" s="52"/>
    </row>
    <row r="137" spans="7:11" s="2" customFormat="1" x14ac:dyDescent="0.2">
      <c r="G137" s="52"/>
      <c r="I137" s="52"/>
      <c r="J137" s="52"/>
      <c r="K137" s="52"/>
    </row>
    <row r="138" spans="7:11" s="2" customFormat="1" x14ac:dyDescent="0.2">
      <c r="G138" s="52"/>
      <c r="I138" s="52"/>
      <c r="J138" s="52"/>
      <c r="K138" s="52"/>
    </row>
    <row r="139" spans="7:11" s="2" customFormat="1" x14ac:dyDescent="0.2">
      <c r="G139" s="52"/>
      <c r="I139" s="52"/>
      <c r="J139" s="52"/>
      <c r="K139" s="52"/>
    </row>
    <row r="140" spans="7:11" s="2" customFormat="1" x14ac:dyDescent="0.2">
      <c r="G140" s="52"/>
      <c r="I140" s="52"/>
      <c r="J140" s="52"/>
      <c r="K140" s="52"/>
    </row>
    <row r="141" spans="7:11" s="2" customFormat="1" x14ac:dyDescent="0.2">
      <c r="G141" s="52"/>
      <c r="I141" s="52"/>
      <c r="J141" s="52"/>
      <c r="K141" s="52"/>
    </row>
    <row r="142" spans="7:11" s="2" customFormat="1" x14ac:dyDescent="0.2">
      <c r="G142" s="52"/>
      <c r="I142" s="52"/>
      <c r="J142" s="52"/>
      <c r="K142" s="52"/>
    </row>
    <row r="143" spans="7:11" s="2" customFormat="1" x14ac:dyDescent="0.2">
      <c r="G143" s="52"/>
      <c r="I143" s="52"/>
      <c r="J143" s="52"/>
      <c r="K143" s="52"/>
    </row>
    <row r="144" spans="7:11" s="2" customFormat="1" x14ac:dyDescent="0.2">
      <c r="G144" s="52"/>
      <c r="I144" s="52"/>
      <c r="J144" s="52"/>
      <c r="K144" s="52"/>
    </row>
    <row r="145" spans="3:12" s="2" customFormat="1" x14ac:dyDescent="0.2">
      <c r="G145" s="52"/>
      <c r="I145" s="52"/>
      <c r="J145" s="52"/>
      <c r="K145" s="52"/>
    </row>
    <row r="146" spans="3:12" s="2" customFormat="1" x14ac:dyDescent="0.2">
      <c r="G146" s="52"/>
      <c r="I146" s="52"/>
      <c r="J146" s="52"/>
      <c r="K146" s="52"/>
    </row>
    <row r="147" spans="3:12" s="2" customFormat="1" x14ac:dyDescent="0.2">
      <c r="G147" s="52"/>
      <c r="I147" s="52"/>
      <c r="J147" s="52"/>
      <c r="K147" s="52"/>
    </row>
    <row r="148" spans="3:12" s="2" customFormat="1" x14ac:dyDescent="0.2">
      <c r="G148" s="52"/>
      <c r="I148" s="52"/>
      <c r="J148" s="52"/>
      <c r="K148" s="52"/>
    </row>
    <row r="149" spans="3:12" s="2" customFormat="1" x14ac:dyDescent="0.2">
      <c r="I149" s="52"/>
      <c r="J149" s="52"/>
      <c r="K149" s="52"/>
    </row>
    <row r="150" spans="3:12" s="2" customFormat="1" x14ac:dyDescent="0.2">
      <c r="I150" s="52"/>
      <c r="J150" s="52"/>
      <c r="K150" s="52"/>
    </row>
    <row r="151" spans="3:12" s="2" customFormat="1" x14ac:dyDescent="0.2">
      <c r="I151" s="52"/>
      <c r="J151" s="52"/>
      <c r="K151" s="52"/>
    </row>
    <row r="152" spans="3:12" s="2" customFormat="1" x14ac:dyDescent="0.2">
      <c r="I152" s="52"/>
      <c r="J152" s="52"/>
      <c r="K152" s="52"/>
    </row>
    <row r="153" spans="3:12" s="2" customFormat="1" x14ac:dyDescent="0.2">
      <c r="I153" s="52"/>
      <c r="J153" s="52"/>
      <c r="K153" s="52"/>
    </row>
    <row r="154" spans="3:12" s="2" customFormat="1" x14ac:dyDescent="0.2">
      <c r="I154" s="52"/>
      <c r="J154" s="52"/>
      <c r="K154" s="52"/>
    </row>
    <row r="155" spans="3:12" s="2" customFormat="1" x14ac:dyDescent="0.2">
      <c r="C155" s="3"/>
      <c r="J155" s="52"/>
      <c r="K155" s="52"/>
      <c r="L155" s="52"/>
    </row>
    <row r="156" spans="3:12" s="2" customFormat="1" x14ac:dyDescent="0.2">
      <c r="C156" s="3"/>
      <c r="J156" s="52"/>
      <c r="K156" s="52"/>
      <c r="L156" s="52"/>
    </row>
    <row r="157" spans="3:12" s="2" customFormat="1" x14ac:dyDescent="0.2">
      <c r="C157" s="3"/>
      <c r="J157" s="52"/>
      <c r="K157" s="52"/>
      <c r="L157" s="52"/>
    </row>
    <row r="158" spans="3:12" s="2" customFormat="1" x14ac:dyDescent="0.2">
      <c r="C158" s="3"/>
      <c r="J158" s="52"/>
      <c r="K158" s="52"/>
      <c r="L158" s="52"/>
    </row>
    <row r="159" spans="3:12" s="2" customFormat="1" x14ac:dyDescent="0.2">
      <c r="C159" s="3"/>
      <c r="J159" s="52"/>
      <c r="K159" s="52"/>
      <c r="L159" s="52"/>
    </row>
    <row r="160" spans="3:12" s="2" customFormat="1" x14ac:dyDescent="0.2">
      <c r="C160" s="3"/>
      <c r="J160" s="52"/>
      <c r="K160" s="52"/>
      <c r="L160" s="52"/>
    </row>
    <row r="161" spans="10:12" s="2" customFormat="1" x14ac:dyDescent="0.2">
      <c r="J161" s="52"/>
      <c r="K161" s="52"/>
      <c r="L161" s="52"/>
    </row>
    <row r="162" spans="10:12" s="2" customFormat="1" x14ac:dyDescent="0.2">
      <c r="J162" s="52"/>
      <c r="K162" s="52"/>
      <c r="L162" s="52"/>
    </row>
  </sheetData>
  <mergeCells count="16">
    <mergeCell ref="A1:O1"/>
    <mergeCell ref="A2:O2"/>
    <mergeCell ref="A3:O3"/>
    <mergeCell ref="A4:O4"/>
    <mergeCell ref="C7:E7"/>
    <mergeCell ref="G7:H7"/>
    <mergeCell ref="I7:J7"/>
    <mergeCell ref="K7:L7"/>
    <mergeCell ref="M7:O7"/>
    <mergeCell ref="A47:O47"/>
    <mergeCell ref="A48:O48"/>
    <mergeCell ref="C49:E49"/>
    <mergeCell ref="G49:H49"/>
    <mergeCell ref="I49:J49"/>
    <mergeCell ref="K49:L49"/>
    <mergeCell ref="M49:N49"/>
  </mergeCells>
  <pageMargins left="0.7" right="0.7" top="0.75" bottom="0.75" header="0.3" footer="0.3"/>
  <pageSetup paperSize="5" scale="8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68"/>
  <sheetViews>
    <sheetView tabSelected="1" workbookViewId="0">
      <pane xSplit="3" ySplit="8" topLeftCell="G9" activePane="bottomRight" state="frozen"/>
      <selection pane="topRight" activeCell="D1" sqref="D1"/>
      <selection pane="bottomLeft" activeCell="A9" sqref="A9"/>
      <selection pane="bottomRight" activeCell="H34" sqref="H34"/>
    </sheetView>
  </sheetViews>
  <sheetFormatPr defaultRowHeight="12" x14ac:dyDescent="0.2"/>
  <cols>
    <col min="1" max="1" width="14.28515625" style="2" customWidth="1"/>
    <col min="2" max="2" width="14.42578125" style="2" customWidth="1"/>
    <col min="3" max="3" width="12.28515625" style="3" customWidth="1"/>
    <col min="4" max="4" width="10.5703125" style="2" customWidth="1"/>
    <col min="5" max="5" width="11.85546875" style="2" customWidth="1"/>
    <col min="6" max="6" width="12.7109375" style="2" customWidth="1"/>
    <col min="7" max="7" width="11.7109375" style="2" customWidth="1"/>
    <col min="8" max="8" width="13" style="2" customWidth="1"/>
    <col min="9" max="9" width="11.28515625" style="2" customWidth="1"/>
    <col min="10" max="10" width="12.42578125" style="2" customWidth="1"/>
    <col min="11" max="11" width="11.5703125" style="2" customWidth="1"/>
    <col min="12" max="12" width="13.5703125" style="2" customWidth="1"/>
    <col min="13" max="13" width="11.140625" style="2" customWidth="1"/>
    <col min="14" max="14" width="11.42578125" style="2" customWidth="1"/>
    <col min="15" max="15" width="12.5703125" style="30" customWidth="1"/>
    <col min="16" max="17" width="11.140625" style="2" bestFit="1" customWidth="1"/>
    <col min="18" max="18" width="11.85546875" style="2" customWidth="1"/>
    <col min="19" max="24" width="9.140625" style="2"/>
    <col min="25" max="25" width="2" style="2" customWidth="1"/>
    <col min="26" max="16384" width="9.140625" style="2"/>
  </cols>
  <sheetData>
    <row r="1" spans="1:16" ht="15.75" x14ac:dyDescent="0.25">
      <c r="A1" s="305" t="s">
        <v>0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</row>
    <row r="2" spans="1:16" ht="15.75" x14ac:dyDescent="0.25">
      <c r="A2" s="306" t="s">
        <v>12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</row>
    <row r="3" spans="1:16" ht="15.75" x14ac:dyDescent="0.25">
      <c r="A3" s="305" t="s">
        <v>53</v>
      </c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</row>
    <row r="4" spans="1:16" ht="15.75" x14ac:dyDescent="0.25">
      <c r="A4" s="305" t="s">
        <v>95</v>
      </c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5"/>
      <c r="O4" s="305"/>
    </row>
    <row r="5" spans="1:16" x14ac:dyDescent="0.2">
      <c r="A5" s="1"/>
      <c r="B5" s="1"/>
      <c r="C5" s="46"/>
      <c r="D5" s="1"/>
      <c r="E5" s="1"/>
      <c r="F5" s="1"/>
      <c r="G5" s="1"/>
      <c r="H5" s="1"/>
      <c r="I5" s="1"/>
      <c r="J5" s="1"/>
      <c r="K5" s="1"/>
      <c r="L5" s="1"/>
      <c r="M5" s="1" t="s">
        <v>49</v>
      </c>
      <c r="N5" s="127" t="s">
        <v>50</v>
      </c>
      <c r="O5" s="111"/>
    </row>
    <row r="6" spans="1:16" x14ac:dyDescent="0.2">
      <c r="N6" s="126" t="s">
        <v>51</v>
      </c>
    </row>
    <row r="7" spans="1:16" x14ac:dyDescent="0.2">
      <c r="A7" s="4"/>
      <c r="B7" s="5"/>
      <c r="C7" s="310" t="s">
        <v>56</v>
      </c>
      <c r="D7" s="308"/>
      <c r="E7" s="309"/>
      <c r="F7" s="57"/>
      <c r="G7" s="308" t="s">
        <v>92</v>
      </c>
      <c r="H7" s="309"/>
      <c r="I7" s="308" t="s">
        <v>93</v>
      </c>
      <c r="J7" s="309"/>
      <c r="K7" s="308" t="s">
        <v>55</v>
      </c>
      <c r="L7" s="309"/>
      <c r="M7" s="308" t="s">
        <v>10</v>
      </c>
      <c r="N7" s="308"/>
      <c r="O7" s="308"/>
    </row>
    <row r="8" spans="1:16" ht="12.75" thickBot="1" x14ac:dyDescent="0.25">
      <c r="A8" s="6"/>
      <c r="B8" s="7" t="s">
        <v>11</v>
      </c>
      <c r="C8" s="45" t="s">
        <v>9</v>
      </c>
      <c r="D8" s="8" t="s">
        <v>8</v>
      </c>
      <c r="E8" s="8" t="s">
        <v>10</v>
      </c>
      <c r="F8" s="25" t="s">
        <v>9</v>
      </c>
      <c r="G8" s="8" t="s">
        <v>8</v>
      </c>
      <c r="H8" s="19" t="s">
        <v>10</v>
      </c>
      <c r="I8" s="8" t="s">
        <v>8</v>
      </c>
      <c r="J8" s="19" t="s">
        <v>10</v>
      </c>
      <c r="K8" s="8" t="s">
        <v>8</v>
      </c>
      <c r="L8" s="19" t="s">
        <v>10</v>
      </c>
      <c r="M8" s="8" t="s">
        <v>8</v>
      </c>
      <c r="N8" s="8" t="s">
        <v>3</v>
      </c>
      <c r="O8" s="112" t="s">
        <v>16</v>
      </c>
    </row>
    <row r="9" spans="1:16" x14ac:dyDescent="0.2">
      <c r="A9" s="97" t="s">
        <v>54</v>
      </c>
      <c r="B9" s="98"/>
      <c r="C9" s="37"/>
      <c r="D9" s="5"/>
      <c r="E9" s="17"/>
      <c r="F9" s="26"/>
      <c r="G9" s="5"/>
      <c r="H9" s="20"/>
      <c r="I9" s="24"/>
      <c r="J9" s="20"/>
      <c r="K9" s="24"/>
      <c r="L9" s="20"/>
      <c r="M9" s="5"/>
      <c r="N9" s="5"/>
      <c r="O9" s="43"/>
    </row>
    <row r="10" spans="1:16" x14ac:dyDescent="0.2">
      <c r="A10" s="9"/>
      <c r="B10" s="10" t="s">
        <v>4</v>
      </c>
      <c r="C10" s="151">
        <v>95.67</v>
      </c>
      <c r="D10" s="12">
        <f>+D24</f>
        <v>14614</v>
      </c>
      <c r="E10" s="18">
        <f>+D10*C10</f>
        <v>1398121.3800000001</v>
      </c>
      <c r="F10" s="151">
        <v>103.32</v>
      </c>
      <c r="G10" s="11">
        <v>99990</v>
      </c>
      <c r="H10" s="21">
        <f>+G10*F10</f>
        <v>10330966.799999999</v>
      </c>
      <c r="I10" s="29">
        <v>86913</v>
      </c>
      <c r="J10" s="21">
        <f>+I10*F10</f>
        <v>8979851.1600000001</v>
      </c>
      <c r="K10" s="12">
        <f>25937-D10</f>
        <v>11323</v>
      </c>
      <c r="L10" s="21">
        <f>+K10*C10</f>
        <v>1083271.4099999999</v>
      </c>
      <c r="M10" s="12">
        <f>+I10+G10+D10+K10</f>
        <v>212840</v>
      </c>
      <c r="N10" s="12">
        <f>+M10/40</f>
        <v>5321</v>
      </c>
      <c r="O10" s="12">
        <f>+E10+H10+J10+L10</f>
        <v>21792210.75</v>
      </c>
    </row>
    <row r="11" spans="1:16" x14ac:dyDescent="0.2">
      <c r="A11" s="4"/>
      <c r="B11" s="10" t="s">
        <v>5</v>
      </c>
      <c r="C11" s="151">
        <v>95.67</v>
      </c>
      <c r="D11" s="12">
        <f>+D25</f>
        <v>17417</v>
      </c>
      <c r="E11" s="18">
        <f t="shared" ref="E11:E14" si="0">+D11*C11</f>
        <v>1666284.3900000001</v>
      </c>
      <c r="F11" s="151">
        <v>103.32</v>
      </c>
      <c r="G11" s="11">
        <v>137600</v>
      </c>
      <c r="H11" s="21">
        <f t="shared" ref="H11:H13" si="1">+G11*F11</f>
        <v>14216831.999999998</v>
      </c>
      <c r="I11" s="29">
        <v>138540</v>
      </c>
      <c r="J11" s="21">
        <f t="shared" ref="J11:J14" si="2">+I11*F11</f>
        <v>14313952.799999999</v>
      </c>
      <c r="K11" s="12">
        <f>55060-D11</f>
        <v>37643</v>
      </c>
      <c r="L11" s="21">
        <f>+K11*C11</f>
        <v>3601305.81</v>
      </c>
      <c r="M11" s="12">
        <f t="shared" ref="M11:M13" si="3">+I11+G11+D11+K11</f>
        <v>331200</v>
      </c>
      <c r="N11" s="12">
        <f>+M11/40</f>
        <v>8280</v>
      </c>
      <c r="O11" s="12">
        <f t="shared" ref="O11:O14" si="4">+E11+H11+J11+L11</f>
        <v>33798375</v>
      </c>
    </row>
    <row r="12" spans="1:16" x14ac:dyDescent="0.2">
      <c r="A12" s="4"/>
      <c r="B12" s="10" t="s">
        <v>6</v>
      </c>
      <c r="C12" s="151">
        <v>260.38</v>
      </c>
      <c r="D12" s="12">
        <f>+D26</f>
        <v>1759</v>
      </c>
      <c r="E12" s="18">
        <f t="shared" si="0"/>
        <v>458008.42</v>
      </c>
      <c r="F12" s="151">
        <v>281.20999999999998</v>
      </c>
      <c r="G12" s="11">
        <v>23528</v>
      </c>
      <c r="H12" s="21">
        <f t="shared" si="1"/>
        <v>6616308.8799999999</v>
      </c>
      <c r="I12" s="29">
        <v>23694</v>
      </c>
      <c r="J12" s="21">
        <f t="shared" si="2"/>
        <v>6662989.7399999993</v>
      </c>
      <c r="K12" s="12">
        <f>13738-D12</f>
        <v>11979</v>
      </c>
      <c r="L12" s="21">
        <f>+K12*C12</f>
        <v>3119092.02</v>
      </c>
      <c r="M12" s="12">
        <f t="shared" si="3"/>
        <v>60960</v>
      </c>
      <c r="N12" s="12">
        <f>+M12/32</f>
        <v>1905</v>
      </c>
      <c r="O12" s="12">
        <f t="shared" si="4"/>
        <v>16856399.059999999</v>
      </c>
    </row>
    <row r="13" spans="1:16" x14ac:dyDescent="0.2">
      <c r="A13" s="4"/>
      <c r="B13" s="10" t="s">
        <v>7</v>
      </c>
      <c r="C13" s="151">
        <v>260.38</v>
      </c>
      <c r="D13" s="12">
        <f>+D27</f>
        <v>494</v>
      </c>
      <c r="E13" s="18">
        <f t="shared" si="0"/>
        <v>128627.72</v>
      </c>
      <c r="F13" s="151">
        <v>281.20999999999998</v>
      </c>
      <c r="G13" s="11">
        <v>3737</v>
      </c>
      <c r="H13" s="21">
        <f t="shared" si="1"/>
        <v>1050881.77</v>
      </c>
      <c r="I13" s="29">
        <v>3639</v>
      </c>
      <c r="J13" s="21">
        <f t="shared" si="2"/>
        <v>1023323.19</v>
      </c>
      <c r="K13" s="12">
        <f>1807-D13</f>
        <v>1313</v>
      </c>
      <c r="L13" s="21">
        <f>+K13*C13</f>
        <v>341878.94</v>
      </c>
      <c r="M13" s="12">
        <f t="shared" si="3"/>
        <v>9183</v>
      </c>
      <c r="N13" s="12">
        <f>+M13/32</f>
        <v>286.96875</v>
      </c>
      <c r="O13" s="12">
        <f t="shared" si="4"/>
        <v>2544711.6199999996</v>
      </c>
      <c r="P13" s="16">
        <f>SUM(O10:O13)</f>
        <v>74991696.430000007</v>
      </c>
    </row>
    <row r="14" spans="1:16" x14ac:dyDescent="0.2">
      <c r="A14" s="4"/>
      <c r="B14" s="152" t="s">
        <v>57</v>
      </c>
      <c r="C14" s="151">
        <v>0</v>
      </c>
      <c r="D14" s="12">
        <v>0</v>
      </c>
      <c r="E14" s="18">
        <f t="shared" si="0"/>
        <v>0</v>
      </c>
      <c r="F14" s="277">
        <v>26460</v>
      </c>
      <c r="G14" s="11"/>
      <c r="H14" s="21">
        <f>64*F14</f>
        <v>1693440</v>
      </c>
      <c r="I14" s="29">
        <v>0</v>
      </c>
      <c r="J14" s="21">
        <f t="shared" si="2"/>
        <v>0</v>
      </c>
      <c r="K14" s="12">
        <v>0</v>
      </c>
      <c r="L14" s="21">
        <f>+K14*C14</f>
        <v>0</v>
      </c>
      <c r="M14" s="12"/>
      <c r="N14" s="12">
        <f>+M14</f>
        <v>0</v>
      </c>
      <c r="O14" s="12">
        <f t="shared" si="4"/>
        <v>1693440</v>
      </c>
      <c r="P14" s="150">
        <f>+O14</f>
        <v>1693440</v>
      </c>
    </row>
    <row r="15" spans="1:16" x14ac:dyDescent="0.2">
      <c r="A15" s="4"/>
      <c r="B15" s="132" t="s">
        <v>13</v>
      </c>
      <c r="C15" s="141"/>
      <c r="D15" s="133">
        <f>SUM(D10:D14)</f>
        <v>34284</v>
      </c>
      <c r="E15" s="134">
        <f>SUM(E10:E14)</f>
        <v>3651041.9100000006</v>
      </c>
      <c r="F15" s="142"/>
      <c r="G15" s="135">
        <f t="shared" ref="G15:O15" si="5">SUM(G10:G14)</f>
        <v>264855</v>
      </c>
      <c r="H15" s="136">
        <f t="shared" si="5"/>
        <v>33908429.449999996</v>
      </c>
      <c r="I15" s="149">
        <f t="shared" si="5"/>
        <v>252786</v>
      </c>
      <c r="J15" s="136">
        <f t="shared" si="5"/>
        <v>30980116.890000001</v>
      </c>
      <c r="K15" s="149">
        <f t="shared" si="5"/>
        <v>62258</v>
      </c>
      <c r="L15" s="136">
        <f t="shared" si="5"/>
        <v>8145548.1800000006</v>
      </c>
      <c r="M15" s="133">
        <f t="shared" si="5"/>
        <v>614183</v>
      </c>
      <c r="N15" s="133">
        <f t="shared" si="5"/>
        <v>15792.96875</v>
      </c>
      <c r="O15" s="133">
        <f t="shared" si="5"/>
        <v>76685136.430000007</v>
      </c>
      <c r="P15" s="16">
        <f>+P14+P13</f>
        <v>76685136.430000007</v>
      </c>
    </row>
    <row r="16" spans="1:16" x14ac:dyDescent="0.2">
      <c r="A16" s="4"/>
      <c r="B16" s="10" t="s">
        <v>4</v>
      </c>
      <c r="C16" s="151">
        <v>423.41</v>
      </c>
      <c r="D16" s="12">
        <f>+D30</f>
        <v>398</v>
      </c>
      <c r="E16" s="18">
        <f t="shared" ref="E16:E20" si="6">+D16*C16</f>
        <v>168517.18000000002</v>
      </c>
      <c r="F16" s="151">
        <v>457.28</v>
      </c>
      <c r="G16" s="11">
        <v>5417</v>
      </c>
      <c r="H16" s="21">
        <f t="shared" ref="H16:H19" si="7">+G16*F16</f>
        <v>2477085.7599999998</v>
      </c>
      <c r="I16" s="29">
        <v>4625</v>
      </c>
      <c r="J16" s="21">
        <f t="shared" ref="J16:J20" si="8">+I16*F16</f>
        <v>2114920</v>
      </c>
      <c r="K16" s="29">
        <f>695-D16</f>
        <v>297</v>
      </c>
      <c r="L16" s="21">
        <f>+K16*C16</f>
        <v>125752.77</v>
      </c>
      <c r="M16" s="12">
        <f t="shared" ref="M16:M20" si="9">+I16+G16+D16+K16</f>
        <v>10737</v>
      </c>
      <c r="N16" s="12">
        <f>+M16/40</f>
        <v>268.42500000000001</v>
      </c>
      <c r="O16" s="12">
        <f t="shared" ref="O16:O20" si="10">+E16+H16+J16+L16</f>
        <v>4886275.709999999</v>
      </c>
    </row>
    <row r="17" spans="1:17" x14ac:dyDescent="0.2">
      <c r="A17" s="5"/>
      <c r="B17" s="10" t="s">
        <v>5</v>
      </c>
      <c r="C17" s="151">
        <v>423.41</v>
      </c>
      <c r="D17" s="12">
        <f>+D31</f>
        <v>430</v>
      </c>
      <c r="E17" s="18">
        <f t="shared" si="6"/>
        <v>182066.30000000002</v>
      </c>
      <c r="F17" s="151">
        <v>457.28</v>
      </c>
      <c r="G17" s="11">
        <v>6190</v>
      </c>
      <c r="H17" s="21">
        <f t="shared" si="7"/>
        <v>2830563.1999999997</v>
      </c>
      <c r="I17" s="29">
        <v>6154</v>
      </c>
      <c r="J17" s="21">
        <f t="shared" si="8"/>
        <v>2814101.1199999996</v>
      </c>
      <c r="K17" s="29">
        <f>1522-D17</f>
        <v>1092</v>
      </c>
      <c r="L17" s="21">
        <f>+K17*C17</f>
        <v>462363.72000000003</v>
      </c>
      <c r="M17" s="12">
        <f t="shared" si="9"/>
        <v>13866</v>
      </c>
      <c r="N17" s="12">
        <f>+M17/40</f>
        <v>346.65</v>
      </c>
      <c r="O17" s="12">
        <f t="shared" si="10"/>
        <v>6289094.3399999989</v>
      </c>
    </row>
    <row r="18" spans="1:17" x14ac:dyDescent="0.2">
      <c r="A18" s="5"/>
      <c r="B18" s="10" t="s">
        <v>6</v>
      </c>
      <c r="C18" s="151">
        <v>577.59</v>
      </c>
      <c r="D18" s="12">
        <f>+D32</f>
        <v>138</v>
      </c>
      <c r="E18" s="18">
        <f t="shared" si="6"/>
        <v>79707.42</v>
      </c>
      <c r="F18" s="151">
        <v>577.59</v>
      </c>
      <c r="G18" s="11">
        <v>2222</v>
      </c>
      <c r="H18" s="21">
        <f t="shared" si="7"/>
        <v>1283404.98</v>
      </c>
      <c r="I18" s="29">
        <v>2088</v>
      </c>
      <c r="J18" s="21">
        <f t="shared" si="8"/>
        <v>1206007.9200000002</v>
      </c>
      <c r="K18" s="29">
        <f>820-D18</f>
        <v>682</v>
      </c>
      <c r="L18" s="21">
        <f>+K18*C18</f>
        <v>393916.38</v>
      </c>
      <c r="M18" s="12">
        <f t="shared" si="9"/>
        <v>5130</v>
      </c>
      <c r="N18" s="12">
        <f>+M18/32</f>
        <v>160.3125</v>
      </c>
      <c r="O18" s="12">
        <f t="shared" si="10"/>
        <v>2963036.7</v>
      </c>
    </row>
    <row r="19" spans="1:17" x14ac:dyDescent="0.2">
      <c r="A19" s="5"/>
      <c r="B19" s="10" t="s">
        <v>7</v>
      </c>
      <c r="C19" s="151">
        <v>577.59</v>
      </c>
      <c r="D19" s="12">
        <f>+D33</f>
        <v>146</v>
      </c>
      <c r="E19" s="18">
        <f t="shared" si="6"/>
        <v>84328.14</v>
      </c>
      <c r="F19" s="151">
        <v>577.59</v>
      </c>
      <c r="G19" s="11">
        <v>1110</v>
      </c>
      <c r="H19" s="21">
        <f t="shared" si="7"/>
        <v>641124.9</v>
      </c>
      <c r="I19" s="29">
        <v>1080</v>
      </c>
      <c r="J19" s="21">
        <f t="shared" si="8"/>
        <v>623797.20000000007</v>
      </c>
      <c r="K19" s="29">
        <f>552-D19</f>
        <v>406</v>
      </c>
      <c r="L19" s="21">
        <f>+K19*C19</f>
        <v>234501.54</v>
      </c>
      <c r="M19" s="12">
        <f t="shared" si="9"/>
        <v>2742</v>
      </c>
      <c r="N19" s="12">
        <f>+M19/32</f>
        <v>85.6875</v>
      </c>
      <c r="O19" s="12">
        <f t="shared" si="10"/>
        <v>1583751.7800000003</v>
      </c>
      <c r="P19" s="16">
        <f>SUM(O16:O19)</f>
        <v>15722158.529999997</v>
      </c>
    </row>
    <row r="20" spans="1:17" x14ac:dyDescent="0.2">
      <c r="A20" s="5"/>
      <c r="B20" s="152" t="s">
        <v>57</v>
      </c>
      <c r="C20" s="151">
        <v>0</v>
      </c>
      <c r="D20" s="12">
        <v>0</v>
      </c>
      <c r="E20" s="18">
        <f t="shared" si="6"/>
        <v>0</v>
      </c>
      <c r="F20" s="278">
        <v>30000</v>
      </c>
      <c r="G20" s="11"/>
      <c r="H20" s="21">
        <f>13*F20</f>
        <v>390000</v>
      </c>
      <c r="I20" s="29">
        <v>0</v>
      </c>
      <c r="J20" s="21">
        <f t="shared" si="8"/>
        <v>0</v>
      </c>
      <c r="K20" s="29">
        <v>0</v>
      </c>
      <c r="L20" s="21">
        <v>0</v>
      </c>
      <c r="M20" s="12">
        <f t="shared" si="9"/>
        <v>0</v>
      </c>
      <c r="N20" s="12">
        <f>+M20</f>
        <v>0</v>
      </c>
      <c r="O20" s="12">
        <f t="shared" si="10"/>
        <v>390000</v>
      </c>
      <c r="P20" s="150">
        <f>+O20</f>
        <v>390000</v>
      </c>
    </row>
    <row r="21" spans="1:17" x14ac:dyDescent="0.2">
      <c r="A21" s="5"/>
      <c r="B21" s="132" t="s">
        <v>14</v>
      </c>
      <c r="C21" s="141"/>
      <c r="D21" s="133">
        <f>SUM(D16:D20)</f>
        <v>1112</v>
      </c>
      <c r="E21" s="134">
        <f>SUM(E16:E20)</f>
        <v>514619.04000000004</v>
      </c>
      <c r="F21" s="142"/>
      <c r="G21" s="135">
        <f>SUM(G16:G20)</f>
        <v>14939</v>
      </c>
      <c r="H21" s="136">
        <f>SUM(H16:H20)</f>
        <v>7622178.8399999999</v>
      </c>
      <c r="I21" s="137">
        <f>SUM(I16:I20)</f>
        <v>13947</v>
      </c>
      <c r="J21" s="136">
        <f>SUM(J16:J20)</f>
        <v>6758826.2399999993</v>
      </c>
      <c r="K21" s="137">
        <f>SUM(K16:K19)</f>
        <v>2477</v>
      </c>
      <c r="L21" s="136">
        <f>SUM(L16:L19)</f>
        <v>1216534.4099999999</v>
      </c>
      <c r="M21" s="133">
        <f>SUM(M16:M20)</f>
        <v>32475</v>
      </c>
      <c r="N21" s="133">
        <f>SUM(N16:N20)</f>
        <v>861.07500000000005</v>
      </c>
      <c r="O21" s="133">
        <f>SUM(O16:O20)</f>
        <v>16112158.529999997</v>
      </c>
      <c r="P21" s="16">
        <f>+P20+P19</f>
        <v>16112158.529999997</v>
      </c>
      <c r="Q21" s="16"/>
    </row>
    <row r="22" spans="1:17" ht="12.75" thickBot="1" x14ac:dyDescent="0.25">
      <c r="A22" s="13"/>
      <c r="B22" s="287" t="s">
        <v>1</v>
      </c>
      <c r="C22" s="288"/>
      <c r="D22" s="289"/>
      <c r="E22" s="290">
        <f>+E21+E15</f>
        <v>4165660.9500000007</v>
      </c>
      <c r="F22" s="291"/>
      <c r="G22" s="292"/>
      <c r="H22" s="293">
        <f>+H21+H15</f>
        <v>41530608.289999992</v>
      </c>
      <c r="I22" s="294"/>
      <c r="J22" s="293">
        <f>+J21+J15</f>
        <v>37738943.130000003</v>
      </c>
      <c r="K22" s="294"/>
      <c r="L22" s="293">
        <f>+L21+L15</f>
        <v>9362082.5899999999</v>
      </c>
      <c r="M22" s="295"/>
      <c r="N22" s="295">
        <f>+N15</f>
        <v>15792.96875</v>
      </c>
      <c r="O22" s="284">
        <f>+O21+O15</f>
        <v>92797294.960000008</v>
      </c>
      <c r="P22" s="16">
        <f>+P21+P15</f>
        <v>92797294.960000008</v>
      </c>
    </row>
    <row r="23" spans="1:17" x14ac:dyDescent="0.2">
      <c r="A23" s="97" t="s">
        <v>94</v>
      </c>
      <c r="B23" s="98"/>
      <c r="C23" s="123"/>
      <c r="D23" s="5"/>
      <c r="E23" s="5"/>
      <c r="F23" s="188"/>
      <c r="G23" s="5"/>
      <c r="H23" s="22"/>
      <c r="I23" s="24"/>
      <c r="J23" s="22"/>
      <c r="K23" s="24"/>
      <c r="L23" s="22"/>
      <c r="M23" s="5"/>
      <c r="N23" s="5"/>
      <c r="O23" s="43"/>
    </row>
    <row r="24" spans="1:17" x14ac:dyDescent="0.2">
      <c r="A24" s="9"/>
      <c r="B24" s="10" t="s">
        <v>4</v>
      </c>
      <c r="C24" s="151">
        <f>+C10</f>
        <v>95.67</v>
      </c>
      <c r="D24" s="42">
        <f>14216+398</f>
        <v>14614</v>
      </c>
      <c r="E24" s="18">
        <f t="shared" ref="E24:E27" si="11">+D24*C24</f>
        <v>1398121.3800000001</v>
      </c>
      <c r="F24" s="151">
        <f t="shared" ref="F24:F27" si="12">+F10</f>
        <v>103.32</v>
      </c>
      <c r="G24" s="155">
        <f>112889+7256</f>
        <v>120145</v>
      </c>
      <c r="H24" s="21">
        <f t="shared" ref="H24:H27" si="13">+G24*F24</f>
        <v>12413381.399999999</v>
      </c>
      <c r="I24" s="298">
        <f>95764+6179</f>
        <v>101943</v>
      </c>
      <c r="J24" s="21">
        <f t="shared" ref="J24:J28" si="14">+I24*F24</f>
        <v>10532750.76</v>
      </c>
      <c r="K24" s="29">
        <f>+K10</f>
        <v>11323</v>
      </c>
      <c r="L24" s="21">
        <f t="shared" ref="L24:L28" si="15">+K24*F24</f>
        <v>1169892.3599999999</v>
      </c>
      <c r="M24" s="12">
        <f t="shared" ref="M24:M28" si="16">+I24+G24+D24+K24</f>
        <v>248025</v>
      </c>
      <c r="N24" s="12">
        <f>+M24/40</f>
        <v>6200.625</v>
      </c>
      <c r="O24" s="12">
        <f t="shared" ref="O24:O28" si="17">+E24+H24+J24+L24</f>
        <v>25514145.899999999</v>
      </c>
      <c r="P24" s="16"/>
    </row>
    <row r="25" spans="1:17" x14ac:dyDescent="0.2">
      <c r="A25" s="4"/>
      <c r="B25" s="10" t="s">
        <v>5</v>
      </c>
      <c r="C25" s="151">
        <f>+C24</f>
        <v>95.67</v>
      </c>
      <c r="D25" s="42">
        <f>16987+430</f>
        <v>17417</v>
      </c>
      <c r="E25" s="18">
        <f t="shared" si="11"/>
        <v>1666284.3900000001</v>
      </c>
      <c r="F25" s="151">
        <f t="shared" si="12"/>
        <v>103.32</v>
      </c>
      <c r="G25" s="155">
        <f>137263+6156</f>
        <v>143419</v>
      </c>
      <c r="H25" s="21">
        <f t="shared" si="13"/>
        <v>14818051.079999998</v>
      </c>
      <c r="I25" s="298">
        <f>137451+6612</f>
        <v>144063</v>
      </c>
      <c r="J25" s="21">
        <f t="shared" si="14"/>
        <v>14884589.159999998</v>
      </c>
      <c r="K25" s="29">
        <f>+K11</f>
        <v>37643</v>
      </c>
      <c r="L25" s="21">
        <f t="shared" si="15"/>
        <v>3889274.76</v>
      </c>
      <c r="M25" s="12">
        <f t="shared" si="16"/>
        <v>342542</v>
      </c>
      <c r="N25" s="12">
        <f>+M25/40</f>
        <v>8563.5499999999993</v>
      </c>
      <c r="O25" s="12">
        <f t="shared" si="17"/>
        <v>35258199.389999993</v>
      </c>
      <c r="P25" s="279"/>
    </row>
    <row r="26" spans="1:17" x14ac:dyDescent="0.2">
      <c r="A26" s="4"/>
      <c r="B26" s="10" t="s">
        <v>6</v>
      </c>
      <c r="C26" s="151">
        <f>+C12</f>
        <v>260.38</v>
      </c>
      <c r="D26" s="42">
        <f>1621+138</f>
        <v>1759</v>
      </c>
      <c r="E26" s="18">
        <f t="shared" si="11"/>
        <v>458008.42</v>
      </c>
      <c r="F26" s="151">
        <f t="shared" si="12"/>
        <v>281.20999999999998</v>
      </c>
      <c r="G26" s="155">
        <f>20867+2484</f>
        <v>23351</v>
      </c>
      <c r="H26" s="21">
        <f t="shared" si="13"/>
        <v>6566534.71</v>
      </c>
      <c r="I26" s="298">
        <f>20543+2418</f>
        <v>22961</v>
      </c>
      <c r="J26" s="21">
        <f t="shared" si="14"/>
        <v>6456862.8099999996</v>
      </c>
      <c r="K26" s="29">
        <f>+K12</f>
        <v>11979</v>
      </c>
      <c r="L26" s="21">
        <f t="shared" si="15"/>
        <v>3368614.59</v>
      </c>
      <c r="M26" s="12">
        <f t="shared" si="16"/>
        <v>60050</v>
      </c>
      <c r="N26" s="12">
        <f>+M26/32</f>
        <v>1876.5625</v>
      </c>
      <c r="O26" s="12">
        <f t="shared" si="17"/>
        <v>16850020.530000001</v>
      </c>
    </row>
    <row r="27" spans="1:17" x14ac:dyDescent="0.2">
      <c r="A27" s="4"/>
      <c r="B27" s="10" t="s">
        <v>7</v>
      </c>
      <c r="C27" s="151">
        <f>+C26</f>
        <v>260.38</v>
      </c>
      <c r="D27" s="42">
        <f>348+146</f>
        <v>494</v>
      </c>
      <c r="E27" s="18">
        <f t="shared" si="11"/>
        <v>128627.72</v>
      </c>
      <c r="F27" s="151">
        <f t="shared" si="12"/>
        <v>281.20999999999998</v>
      </c>
      <c r="G27" s="155">
        <f>3563+1257</f>
        <v>4820</v>
      </c>
      <c r="H27" s="21">
        <f t="shared" si="13"/>
        <v>1355432.2</v>
      </c>
      <c r="I27" s="298">
        <f>3342+1272</f>
        <v>4614</v>
      </c>
      <c r="J27" s="21">
        <f t="shared" si="14"/>
        <v>1297502.94</v>
      </c>
      <c r="K27" s="29">
        <f>+K13</f>
        <v>1313</v>
      </c>
      <c r="L27" s="21">
        <f t="shared" si="15"/>
        <v>369228.73</v>
      </c>
      <c r="M27" s="12">
        <f t="shared" si="16"/>
        <v>11241</v>
      </c>
      <c r="N27" s="12">
        <f>+M27/32</f>
        <v>351.28125</v>
      </c>
      <c r="O27" s="12">
        <f t="shared" si="17"/>
        <v>3150791.59</v>
      </c>
    </row>
    <row r="28" spans="1:17" x14ac:dyDescent="0.2">
      <c r="A28" s="4"/>
      <c r="B28" s="10" t="s">
        <v>57</v>
      </c>
      <c r="C28" s="151">
        <v>0</v>
      </c>
      <c r="D28" s="42"/>
      <c r="E28" s="18"/>
      <c r="F28" s="285"/>
      <c r="G28" s="155"/>
      <c r="H28" s="300">
        <v>1568000</v>
      </c>
      <c r="I28" s="298">
        <f>+I14</f>
        <v>0</v>
      </c>
      <c r="J28" s="21">
        <f t="shared" si="14"/>
        <v>0</v>
      </c>
      <c r="K28" s="29">
        <f>+K14</f>
        <v>0</v>
      </c>
      <c r="L28" s="21">
        <f t="shared" si="15"/>
        <v>0</v>
      </c>
      <c r="M28" s="12">
        <f t="shared" si="16"/>
        <v>0</v>
      </c>
      <c r="N28" s="12">
        <f>+M28/32</f>
        <v>0</v>
      </c>
      <c r="O28" s="12">
        <f t="shared" si="17"/>
        <v>1568000</v>
      </c>
    </row>
    <row r="29" spans="1:17" x14ac:dyDescent="0.2">
      <c r="A29" s="4"/>
      <c r="B29" s="132" t="s">
        <v>13</v>
      </c>
      <c r="C29" s="141"/>
      <c r="D29" s="140">
        <f>SUM(D24:D27)</f>
        <v>34284</v>
      </c>
      <c r="E29" s="134">
        <f>SUM(E24:E27)</f>
        <v>3651041.9100000006</v>
      </c>
      <c r="F29" s="142"/>
      <c r="G29" s="286">
        <f>SUM(G24:G28)</f>
        <v>291735</v>
      </c>
      <c r="H29" s="136">
        <f>SUM(H24:H28)</f>
        <v>36721399.390000001</v>
      </c>
      <c r="I29" s="299">
        <f t="shared" ref="I29:J29" si="18">SUM(I24:I27)</f>
        <v>273581</v>
      </c>
      <c r="J29" s="136">
        <f t="shared" si="18"/>
        <v>33171705.669999998</v>
      </c>
      <c r="K29" s="137">
        <f>SUM(K24:K27)</f>
        <v>62258</v>
      </c>
      <c r="L29" s="136">
        <f>SUM(L24:L27)</f>
        <v>8797010.4399999995</v>
      </c>
      <c r="M29" s="133">
        <f>SUM(M24:M28)</f>
        <v>661858</v>
      </c>
      <c r="N29" s="133">
        <f>SUM(N24:N28)</f>
        <v>16992.018749999999</v>
      </c>
      <c r="O29" s="133">
        <f>SUM(O24:O28)</f>
        <v>82341157.409999996</v>
      </c>
    </row>
    <row r="30" spans="1:17" x14ac:dyDescent="0.2">
      <c r="A30" s="4"/>
      <c r="B30" s="10" t="s">
        <v>4</v>
      </c>
      <c r="C30" s="151">
        <f>+C16</f>
        <v>423.41</v>
      </c>
      <c r="D30" s="42">
        <v>398</v>
      </c>
      <c r="E30" s="18">
        <f t="shared" ref="E30:E33" si="19">+D30*C30</f>
        <v>168517.18000000002</v>
      </c>
      <c r="F30" s="151">
        <f>+F16</f>
        <v>457.28</v>
      </c>
      <c r="G30" s="155">
        <v>7256</v>
      </c>
      <c r="H30" s="21">
        <f t="shared" ref="H30:H33" si="20">+G30*F30</f>
        <v>3318023.6799999997</v>
      </c>
      <c r="I30" s="298">
        <v>6179</v>
      </c>
      <c r="J30" s="21">
        <f t="shared" ref="J30:J34" si="21">+I30*F30</f>
        <v>2825533.1199999996</v>
      </c>
      <c r="K30" s="29">
        <f>+K16</f>
        <v>297</v>
      </c>
      <c r="L30" s="21">
        <f t="shared" ref="L30:L34" si="22">+K30*F30</f>
        <v>135812.16</v>
      </c>
      <c r="M30" s="12">
        <f t="shared" ref="M30:M34" si="23">+I30+G30+D30+K30</f>
        <v>14130</v>
      </c>
      <c r="N30" s="12">
        <f>+M30/40</f>
        <v>353.25</v>
      </c>
      <c r="O30" s="12">
        <f t="shared" ref="O30:O34" si="24">+E30+H30+J30+L30</f>
        <v>6447886.1399999997</v>
      </c>
    </row>
    <row r="31" spans="1:17" x14ac:dyDescent="0.2">
      <c r="A31" s="4"/>
      <c r="B31" s="10" t="s">
        <v>5</v>
      </c>
      <c r="C31" s="151">
        <f>+C30</f>
        <v>423.41</v>
      </c>
      <c r="D31" s="42">
        <v>430</v>
      </c>
      <c r="E31" s="18">
        <f t="shared" si="19"/>
        <v>182066.30000000002</v>
      </c>
      <c r="F31" s="151">
        <f>+F17</f>
        <v>457.28</v>
      </c>
      <c r="G31" s="155">
        <v>6156</v>
      </c>
      <c r="H31" s="21">
        <f t="shared" si="20"/>
        <v>2815015.6799999997</v>
      </c>
      <c r="I31" s="298">
        <v>6612</v>
      </c>
      <c r="J31" s="21">
        <f t="shared" si="21"/>
        <v>3023535.36</v>
      </c>
      <c r="K31" s="29">
        <f>+K17</f>
        <v>1092</v>
      </c>
      <c r="L31" s="21">
        <f t="shared" si="22"/>
        <v>499349.75999999995</v>
      </c>
      <c r="M31" s="12">
        <f t="shared" si="23"/>
        <v>14290</v>
      </c>
      <c r="N31" s="12">
        <f>+M31/40</f>
        <v>357.25</v>
      </c>
      <c r="O31" s="12">
        <f t="shared" si="24"/>
        <v>6519967.0999999996</v>
      </c>
    </row>
    <row r="32" spans="1:17" x14ac:dyDescent="0.2">
      <c r="A32" s="4"/>
      <c r="B32" s="10" t="s">
        <v>6</v>
      </c>
      <c r="C32" s="151">
        <f>+C18</f>
        <v>577.59</v>
      </c>
      <c r="D32" s="42">
        <v>138</v>
      </c>
      <c r="E32" s="18">
        <f t="shared" si="19"/>
        <v>79707.42</v>
      </c>
      <c r="F32" s="151">
        <v>623.79999999999995</v>
      </c>
      <c r="G32" s="155">
        <v>2484</v>
      </c>
      <c r="H32" s="21">
        <f t="shared" si="20"/>
        <v>1549519.2</v>
      </c>
      <c r="I32" s="298">
        <v>2418</v>
      </c>
      <c r="J32" s="21">
        <f t="shared" si="21"/>
        <v>1508348.4</v>
      </c>
      <c r="K32" s="29">
        <f>+K18</f>
        <v>682</v>
      </c>
      <c r="L32" s="21">
        <f t="shared" si="22"/>
        <v>425431.6</v>
      </c>
      <c r="M32" s="12">
        <f t="shared" si="23"/>
        <v>5722</v>
      </c>
      <c r="N32" s="12">
        <f>+M32/32</f>
        <v>178.8125</v>
      </c>
      <c r="O32" s="12">
        <f t="shared" si="24"/>
        <v>3563006.6199999996</v>
      </c>
    </row>
    <row r="33" spans="1:16" x14ac:dyDescent="0.2">
      <c r="A33" s="4"/>
      <c r="B33" s="10" t="s">
        <v>7</v>
      </c>
      <c r="C33" s="151">
        <f>+C19</f>
        <v>577.59</v>
      </c>
      <c r="D33" s="42">
        <v>146</v>
      </c>
      <c r="E33" s="18">
        <f t="shared" si="19"/>
        <v>84328.14</v>
      </c>
      <c r="F33" s="151">
        <v>623.79999999999995</v>
      </c>
      <c r="G33" s="155">
        <v>1257</v>
      </c>
      <c r="H33" s="21">
        <f t="shared" si="20"/>
        <v>784116.6</v>
      </c>
      <c r="I33" s="298">
        <v>1272</v>
      </c>
      <c r="J33" s="21">
        <f t="shared" si="21"/>
        <v>793473.6</v>
      </c>
      <c r="K33" s="29">
        <f>+K19</f>
        <v>406</v>
      </c>
      <c r="L33" s="21">
        <f t="shared" si="22"/>
        <v>253262.8</v>
      </c>
      <c r="M33" s="12">
        <f t="shared" si="23"/>
        <v>3081</v>
      </c>
      <c r="N33" s="12">
        <f>+M33/32</f>
        <v>96.28125</v>
      </c>
      <c r="O33" s="12">
        <f t="shared" si="24"/>
        <v>1915181.14</v>
      </c>
    </row>
    <row r="34" spans="1:16" x14ac:dyDescent="0.2">
      <c r="A34" s="4"/>
      <c r="B34" s="10" t="s">
        <v>57</v>
      </c>
      <c r="C34" s="151">
        <v>0</v>
      </c>
      <c r="D34" s="42"/>
      <c r="E34" s="18"/>
      <c r="F34" s="285"/>
      <c r="G34" s="155"/>
      <c r="H34" s="300">
        <v>360000</v>
      </c>
      <c r="I34" s="298">
        <f>+I20</f>
        <v>0</v>
      </c>
      <c r="J34" s="21">
        <f t="shared" si="21"/>
        <v>0</v>
      </c>
      <c r="K34" s="29">
        <f>+K20</f>
        <v>0</v>
      </c>
      <c r="L34" s="21">
        <f t="shared" si="22"/>
        <v>0</v>
      </c>
      <c r="M34" s="12">
        <f t="shared" si="23"/>
        <v>0</v>
      </c>
      <c r="N34" s="12">
        <f>+M34/32</f>
        <v>0</v>
      </c>
      <c r="O34" s="12">
        <f t="shared" si="24"/>
        <v>360000</v>
      </c>
    </row>
    <row r="35" spans="1:16" x14ac:dyDescent="0.2">
      <c r="A35" s="4"/>
      <c r="B35" s="132" t="s">
        <v>14</v>
      </c>
      <c r="C35" s="141"/>
      <c r="D35" s="133">
        <f>SUM(D30:D33)</f>
        <v>1112</v>
      </c>
      <c r="E35" s="134">
        <f>SUM(E30:E33)</f>
        <v>514619.04000000004</v>
      </c>
      <c r="F35" s="142"/>
      <c r="G35" s="286">
        <f>SUM(G30:G34)</f>
        <v>17153</v>
      </c>
      <c r="H35" s="136">
        <f>SUM(H30:H34)</f>
        <v>8826675.1600000001</v>
      </c>
      <c r="I35" s="299">
        <f t="shared" ref="I35:J35" si="25">SUM(I30:I33)</f>
        <v>16481</v>
      </c>
      <c r="J35" s="136">
        <f t="shared" si="25"/>
        <v>8150890.4799999986</v>
      </c>
      <c r="K35" s="137">
        <f>SUM(K30:K33)</f>
        <v>2477</v>
      </c>
      <c r="L35" s="136">
        <f>SUM(L30:L33)</f>
        <v>1313856.32</v>
      </c>
      <c r="M35" s="133">
        <f>SUM(M30:M34)</f>
        <v>37223</v>
      </c>
      <c r="N35" s="133">
        <f>SUM(N30:N34)</f>
        <v>985.59375</v>
      </c>
      <c r="O35" s="133">
        <f>SUM(O30:O34)</f>
        <v>18806040.999999996</v>
      </c>
    </row>
    <row r="36" spans="1:16" ht="12.75" thickBot="1" x14ac:dyDescent="0.25">
      <c r="A36" s="6"/>
      <c r="B36" s="287" t="s">
        <v>1</v>
      </c>
      <c r="C36" s="296"/>
      <c r="D36" s="289"/>
      <c r="E36" s="290">
        <f>+E35+E29</f>
        <v>4165660.9500000007</v>
      </c>
      <c r="F36" s="297"/>
      <c r="G36" s="292"/>
      <c r="H36" s="293">
        <f>+H35+H29</f>
        <v>45548074.549999997</v>
      </c>
      <c r="I36" s="294"/>
      <c r="J36" s="293">
        <f>+J35+J29</f>
        <v>41322596.149999999</v>
      </c>
      <c r="K36" s="294"/>
      <c r="L36" s="293">
        <f>+L35+L29</f>
        <v>10110866.76</v>
      </c>
      <c r="M36" s="295"/>
      <c r="N36" s="295">
        <f>+N29</f>
        <v>16992.018749999999</v>
      </c>
      <c r="O36" s="284">
        <f>+O35+O29</f>
        <v>101147198.41</v>
      </c>
      <c r="P36" s="16">
        <f>+O36-O22</f>
        <v>8349903.4499999881</v>
      </c>
    </row>
    <row r="37" spans="1:16" x14ac:dyDescent="0.2">
      <c r="A37" s="97" t="s">
        <v>15</v>
      </c>
      <c r="B37" s="98"/>
      <c r="C37" s="37"/>
      <c r="D37" s="5"/>
      <c r="E37" s="17"/>
      <c r="F37" s="26"/>
      <c r="G37" s="5"/>
      <c r="H37" s="20"/>
      <c r="I37" s="28"/>
      <c r="J37" s="23"/>
      <c r="K37" s="28"/>
      <c r="L37" s="23"/>
      <c r="M37" s="5"/>
      <c r="N37" s="5"/>
      <c r="O37" s="43"/>
    </row>
    <row r="38" spans="1:16" x14ac:dyDescent="0.2">
      <c r="A38" s="9"/>
      <c r="B38" s="10" t="s">
        <v>4</v>
      </c>
      <c r="C38" s="38">
        <f t="shared" ref="C38:L38" si="26">+C24-C10</f>
        <v>0</v>
      </c>
      <c r="D38" s="12">
        <f t="shared" si="26"/>
        <v>0</v>
      </c>
      <c r="E38" s="18">
        <f t="shared" si="26"/>
        <v>0</v>
      </c>
      <c r="F38" s="27">
        <f t="shared" si="26"/>
        <v>0</v>
      </c>
      <c r="G38" s="11">
        <f t="shared" si="26"/>
        <v>20155</v>
      </c>
      <c r="H38" s="21">
        <f t="shared" si="26"/>
        <v>2082414.5999999996</v>
      </c>
      <c r="I38" s="29">
        <f t="shared" si="26"/>
        <v>15030</v>
      </c>
      <c r="J38" s="21">
        <f t="shared" si="26"/>
        <v>1552899.5999999996</v>
      </c>
      <c r="K38" s="29">
        <f t="shared" si="26"/>
        <v>0</v>
      </c>
      <c r="L38" s="21">
        <f t="shared" si="26"/>
        <v>86620.949999999953</v>
      </c>
      <c r="M38" s="12">
        <f>+I38+G38+D38+K38</f>
        <v>35185</v>
      </c>
      <c r="N38" s="12">
        <f>+M38/40</f>
        <v>879.625</v>
      </c>
      <c r="O38" s="12">
        <f>+E38+H38+J38+L38</f>
        <v>3721935.1499999994</v>
      </c>
    </row>
    <row r="39" spans="1:16" x14ac:dyDescent="0.2">
      <c r="A39" s="4"/>
      <c r="B39" s="10" t="s">
        <v>5</v>
      </c>
      <c r="C39" s="38">
        <f t="shared" ref="C39:L39" si="27">+C25-C11</f>
        <v>0</v>
      </c>
      <c r="D39" s="12">
        <f t="shared" si="27"/>
        <v>0</v>
      </c>
      <c r="E39" s="18">
        <f t="shared" si="27"/>
        <v>0</v>
      </c>
      <c r="F39" s="27">
        <f t="shared" si="27"/>
        <v>0</v>
      </c>
      <c r="G39" s="11">
        <f t="shared" si="27"/>
        <v>5819</v>
      </c>
      <c r="H39" s="21">
        <f t="shared" si="27"/>
        <v>601219.08000000007</v>
      </c>
      <c r="I39" s="29">
        <f t="shared" si="27"/>
        <v>5523</v>
      </c>
      <c r="J39" s="21">
        <f t="shared" si="27"/>
        <v>570636.3599999994</v>
      </c>
      <c r="K39" s="29">
        <f t="shared" si="27"/>
        <v>0</v>
      </c>
      <c r="L39" s="21">
        <f t="shared" si="27"/>
        <v>287968.94999999972</v>
      </c>
      <c r="M39" s="12">
        <f>+I39+G39+D39+K39</f>
        <v>11342</v>
      </c>
      <c r="N39" s="12">
        <f>+M39/40</f>
        <v>283.55</v>
      </c>
      <c r="O39" s="12">
        <f>+E39+H39+J39+L39</f>
        <v>1459824.3899999992</v>
      </c>
    </row>
    <row r="40" spans="1:16" x14ac:dyDescent="0.2">
      <c r="A40" s="4"/>
      <c r="B40" s="10" t="s">
        <v>6</v>
      </c>
      <c r="C40" s="38">
        <f t="shared" ref="C40:L40" si="28">+C26-C12</f>
        <v>0</v>
      </c>
      <c r="D40" s="12">
        <f t="shared" si="28"/>
        <v>0</v>
      </c>
      <c r="E40" s="18">
        <f t="shared" si="28"/>
        <v>0</v>
      </c>
      <c r="F40" s="27">
        <f t="shared" si="28"/>
        <v>0</v>
      </c>
      <c r="G40" s="11">
        <f t="shared" si="28"/>
        <v>-177</v>
      </c>
      <c r="H40" s="21">
        <f t="shared" si="28"/>
        <v>-49774.169999999925</v>
      </c>
      <c r="I40" s="29">
        <f t="shared" si="28"/>
        <v>-733</v>
      </c>
      <c r="J40" s="21">
        <f t="shared" si="28"/>
        <v>-206126.9299999997</v>
      </c>
      <c r="K40" s="29">
        <f t="shared" si="28"/>
        <v>0</v>
      </c>
      <c r="L40" s="21">
        <f t="shared" si="28"/>
        <v>249522.56999999983</v>
      </c>
      <c r="M40" s="12">
        <f>+I40+G40+D40+K40</f>
        <v>-910</v>
      </c>
      <c r="N40" s="12">
        <f>+M40/32</f>
        <v>-28.4375</v>
      </c>
      <c r="O40" s="12">
        <f>+E40+H40+J40+L40</f>
        <v>-6378.5299999997951</v>
      </c>
    </row>
    <row r="41" spans="1:16" x14ac:dyDescent="0.2">
      <c r="A41" s="4"/>
      <c r="B41" s="10" t="s">
        <v>7</v>
      </c>
      <c r="C41" s="38">
        <f t="shared" ref="C41:L41" si="29">+C27-C13</f>
        <v>0</v>
      </c>
      <c r="D41" s="12">
        <f t="shared" si="29"/>
        <v>0</v>
      </c>
      <c r="E41" s="18">
        <f t="shared" si="29"/>
        <v>0</v>
      </c>
      <c r="F41" s="27">
        <f t="shared" si="29"/>
        <v>0</v>
      </c>
      <c r="G41" s="11">
        <f t="shared" si="29"/>
        <v>1083</v>
      </c>
      <c r="H41" s="21">
        <f t="shared" si="29"/>
        <v>304550.42999999993</v>
      </c>
      <c r="I41" s="29">
        <f t="shared" si="29"/>
        <v>975</v>
      </c>
      <c r="J41" s="21">
        <f t="shared" si="29"/>
        <v>274179.75</v>
      </c>
      <c r="K41" s="29">
        <f t="shared" si="29"/>
        <v>0</v>
      </c>
      <c r="L41" s="21">
        <f t="shared" si="29"/>
        <v>27349.789999999979</v>
      </c>
      <c r="M41" s="12">
        <f>+I41+G41+D41+K41</f>
        <v>2058</v>
      </c>
      <c r="N41" s="12">
        <f>+M41/32</f>
        <v>64.3125</v>
      </c>
      <c r="O41" s="12">
        <f>+E41+H41+J41+L41</f>
        <v>606079.97</v>
      </c>
    </row>
    <row r="42" spans="1:16" x14ac:dyDescent="0.2">
      <c r="A42" s="4"/>
      <c r="B42" s="10" t="s">
        <v>57</v>
      </c>
      <c r="C42" s="38">
        <f t="shared" ref="C42:L42" si="30">+C28-C14</f>
        <v>0</v>
      </c>
      <c r="D42" s="12">
        <f t="shared" si="30"/>
        <v>0</v>
      </c>
      <c r="E42" s="18">
        <f t="shared" si="30"/>
        <v>0</v>
      </c>
      <c r="F42" s="27">
        <v>0</v>
      </c>
      <c r="G42" s="11">
        <f t="shared" si="30"/>
        <v>0</v>
      </c>
      <c r="H42" s="21">
        <f t="shared" si="30"/>
        <v>-125440</v>
      </c>
      <c r="I42" s="29">
        <f t="shared" si="30"/>
        <v>0</v>
      </c>
      <c r="J42" s="21">
        <f t="shared" si="30"/>
        <v>0</v>
      </c>
      <c r="K42" s="29">
        <f t="shared" si="30"/>
        <v>0</v>
      </c>
      <c r="L42" s="21">
        <f t="shared" si="30"/>
        <v>0</v>
      </c>
      <c r="M42" s="12">
        <f>+I42+G42+D42+K42</f>
        <v>0</v>
      </c>
      <c r="N42" s="12">
        <f>+M42/32</f>
        <v>0</v>
      </c>
      <c r="O42" s="12">
        <f>+E42+H42+J42+L42</f>
        <v>-125440</v>
      </c>
    </row>
    <row r="43" spans="1:16" x14ac:dyDescent="0.2">
      <c r="A43" s="4"/>
      <c r="B43" s="132" t="s">
        <v>13</v>
      </c>
      <c r="C43" s="141"/>
      <c r="D43" s="133">
        <f>SUM(D38:D41)</f>
        <v>0</v>
      </c>
      <c r="E43" s="134">
        <f>SUM(E38:E41)</f>
        <v>0</v>
      </c>
      <c r="F43" s="148"/>
      <c r="G43" s="135">
        <f t="shared" ref="G43:J43" si="31">SUM(G38:G41)</f>
        <v>26880</v>
      </c>
      <c r="H43" s="136">
        <f t="shared" si="31"/>
        <v>2938409.9399999995</v>
      </c>
      <c r="I43" s="137">
        <f t="shared" si="31"/>
        <v>20795</v>
      </c>
      <c r="J43" s="136">
        <f t="shared" si="31"/>
        <v>2191588.7799999993</v>
      </c>
      <c r="K43" s="137">
        <f>SUM(K38:K41)</f>
        <v>0</v>
      </c>
      <c r="L43" s="136">
        <f>SUM(L38:L41)</f>
        <v>651462.25999999954</v>
      </c>
      <c r="M43" s="133">
        <f>SUM(M38:M42)</f>
        <v>47675</v>
      </c>
      <c r="N43" s="133">
        <f>SUM(N38:N42)</f>
        <v>1199.05</v>
      </c>
      <c r="O43" s="133">
        <f>SUM(O38:O42)</f>
        <v>5656020.9799999995</v>
      </c>
    </row>
    <row r="44" spans="1:16" x14ac:dyDescent="0.2">
      <c r="A44" s="4"/>
      <c r="B44" s="10" t="s">
        <v>4</v>
      </c>
      <c r="C44" s="38">
        <f t="shared" ref="C44:L44" si="32">+C30-C16</f>
        <v>0</v>
      </c>
      <c r="D44" s="12">
        <f t="shared" si="32"/>
        <v>0</v>
      </c>
      <c r="E44" s="18">
        <f t="shared" si="32"/>
        <v>0</v>
      </c>
      <c r="F44" s="27">
        <f t="shared" si="32"/>
        <v>0</v>
      </c>
      <c r="G44" s="11">
        <f t="shared" si="32"/>
        <v>1839</v>
      </c>
      <c r="H44" s="21">
        <f t="shared" si="32"/>
        <v>840937.91999999993</v>
      </c>
      <c r="I44" s="29">
        <f t="shared" si="32"/>
        <v>1554</v>
      </c>
      <c r="J44" s="21">
        <f t="shared" si="32"/>
        <v>710613.11999999965</v>
      </c>
      <c r="K44" s="29">
        <f t="shared" si="32"/>
        <v>0</v>
      </c>
      <c r="L44" s="21">
        <f t="shared" si="32"/>
        <v>10059.39</v>
      </c>
      <c r="M44" s="12">
        <f>+I44+G44+D44+K44</f>
        <v>3393</v>
      </c>
      <c r="N44" s="12">
        <f>+M44/40</f>
        <v>84.825000000000003</v>
      </c>
      <c r="O44" s="12">
        <f>+E44+H44+J44+L44</f>
        <v>1561610.4299999995</v>
      </c>
    </row>
    <row r="45" spans="1:16" x14ac:dyDescent="0.2">
      <c r="A45" s="5"/>
      <c r="B45" s="10" t="s">
        <v>5</v>
      </c>
      <c r="C45" s="38">
        <f t="shared" ref="C45:L45" si="33">+C31-C17</f>
        <v>0</v>
      </c>
      <c r="D45" s="12">
        <f t="shared" si="33"/>
        <v>0</v>
      </c>
      <c r="E45" s="18">
        <f t="shared" si="33"/>
        <v>0</v>
      </c>
      <c r="F45" s="27">
        <f t="shared" si="33"/>
        <v>0</v>
      </c>
      <c r="G45" s="11">
        <f t="shared" si="33"/>
        <v>-34</v>
      </c>
      <c r="H45" s="21">
        <f t="shared" si="33"/>
        <v>-15547.520000000019</v>
      </c>
      <c r="I45" s="29">
        <f t="shared" si="33"/>
        <v>458</v>
      </c>
      <c r="J45" s="21">
        <f t="shared" si="33"/>
        <v>209434.24000000022</v>
      </c>
      <c r="K45" s="29">
        <f t="shared" si="33"/>
        <v>0</v>
      </c>
      <c r="L45" s="21">
        <f t="shared" si="33"/>
        <v>36986.039999999921</v>
      </c>
      <c r="M45" s="12">
        <f>+I45+G45+D45+K45</f>
        <v>424</v>
      </c>
      <c r="N45" s="12">
        <f>+M45/40</f>
        <v>10.6</v>
      </c>
      <c r="O45" s="12">
        <f>+E45+H45+J45+L45</f>
        <v>230872.76000000013</v>
      </c>
    </row>
    <row r="46" spans="1:16" x14ac:dyDescent="0.2">
      <c r="A46" s="5"/>
      <c r="B46" s="10" t="s">
        <v>6</v>
      </c>
      <c r="C46" s="38">
        <f t="shared" ref="C46:L46" si="34">+C32-C18</f>
        <v>0</v>
      </c>
      <c r="D46" s="12">
        <f t="shared" si="34"/>
        <v>0</v>
      </c>
      <c r="E46" s="18">
        <f t="shared" si="34"/>
        <v>0</v>
      </c>
      <c r="F46" s="27">
        <f t="shared" si="34"/>
        <v>46.209999999999923</v>
      </c>
      <c r="G46" s="11">
        <f t="shared" si="34"/>
        <v>262</v>
      </c>
      <c r="H46" s="21">
        <f t="shared" si="34"/>
        <v>266114.21999999997</v>
      </c>
      <c r="I46" s="29">
        <f t="shared" si="34"/>
        <v>330</v>
      </c>
      <c r="J46" s="21">
        <f t="shared" si="34"/>
        <v>302340.47999999975</v>
      </c>
      <c r="K46" s="29">
        <f t="shared" si="34"/>
        <v>0</v>
      </c>
      <c r="L46" s="21">
        <f t="shared" si="34"/>
        <v>31515.219999999972</v>
      </c>
      <c r="M46" s="12">
        <f>+I46+G46+D46+K46</f>
        <v>592</v>
      </c>
      <c r="N46" s="12">
        <f>+M46/32</f>
        <v>18.5</v>
      </c>
      <c r="O46" s="12">
        <f>+E46+H46+J46+L46</f>
        <v>599969.91999999969</v>
      </c>
    </row>
    <row r="47" spans="1:16" x14ac:dyDescent="0.2">
      <c r="A47" s="5"/>
      <c r="B47" s="10" t="s">
        <v>7</v>
      </c>
      <c r="C47" s="38">
        <f t="shared" ref="C47:L47" si="35">+C33-C19</f>
        <v>0</v>
      </c>
      <c r="D47" s="12">
        <f t="shared" si="35"/>
        <v>0</v>
      </c>
      <c r="E47" s="18">
        <f t="shared" si="35"/>
        <v>0</v>
      </c>
      <c r="F47" s="27">
        <f t="shared" si="35"/>
        <v>46.209999999999923</v>
      </c>
      <c r="G47" s="11">
        <f t="shared" si="35"/>
        <v>147</v>
      </c>
      <c r="H47" s="21">
        <f t="shared" si="35"/>
        <v>142991.69999999995</v>
      </c>
      <c r="I47" s="29">
        <f t="shared" si="35"/>
        <v>192</v>
      </c>
      <c r="J47" s="21">
        <f t="shared" si="35"/>
        <v>169676.39999999991</v>
      </c>
      <c r="K47" s="29">
        <f t="shared" si="35"/>
        <v>0</v>
      </c>
      <c r="L47" s="21">
        <f t="shared" si="35"/>
        <v>18761.25999999998</v>
      </c>
      <c r="M47" s="12">
        <f>+I47+G47+D47+K47</f>
        <v>339</v>
      </c>
      <c r="N47" s="12">
        <f>+M47/32</f>
        <v>10.59375</v>
      </c>
      <c r="O47" s="12">
        <f>+E47+H47+J47+L47</f>
        <v>331429.35999999987</v>
      </c>
    </row>
    <row r="48" spans="1:16" x14ac:dyDescent="0.2">
      <c r="A48" s="5"/>
      <c r="B48" s="10" t="s">
        <v>57</v>
      </c>
      <c r="C48" s="38">
        <f t="shared" ref="C48:L48" si="36">+C34-C20</f>
        <v>0</v>
      </c>
      <c r="D48" s="12">
        <f t="shared" si="36"/>
        <v>0</v>
      </c>
      <c r="E48" s="18">
        <f t="shared" si="36"/>
        <v>0</v>
      </c>
      <c r="F48" s="27">
        <v>0</v>
      </c>
      <c r="G48" s="11">
        <f t="shared" si="36"/>
        <v>0</v>
      </c>
      <c r="H48" s="21">
        <f t="shared" si="36"/>
        <v>-30000</v>
      </c>
      <c r="I48" s="29">
        <f t="shared" si="36"/>
        <v>0</v>
      </c>
      <c r="J48" s="21">
        <f t="shared" si="36"/>
        <v>0</v>
      </c>
      <c r="K48" s="29">
        <f t="shared" si="36"/>
        <v>0</v>
      </c>
      <c r="L48" s="21">
        <f t="shared" si="36"/>
        <v>0</v>
      </c>
      <c r="M48" s="12">
        <f>+I48+G48+D48+K48</f>
        <v>0</v>
      </c>
      <c r="N48" s="12">
        <f>+M48/32</f>
        <v>0</v>
      </c>
      <c r="O48" s="12">
        <f>+E48+H48+J48+L48</f>
        <v>-30000</v>
      </c>
    </row>
    <row r="49" spans="1:15" x14ac:dyDescent="0.2">
      <c r="A49" s="5"/>
      <c r="B49" s="132" t="s">
        <v>14</v>
      </c>
      <c r="C49" s="141"/>
      <c r="D49" s="133">
        <f>SUM(D44:D47)</f>
        <v>0</v>
      </c>
      <c r="E49" s="134">
        <f>SUM(E44:E47)</f>
        <v>0</v>
      </c>
      <c r="F49" s="148"/>
      <c r="G49" s="135">
        <f t="shared" ref="G49:J49" si="37">SUM(G44:G47)</f>
        <v>2214</v>
      </c>
      <c r="H49" s="136">
        <f t="shared" si="37"/>
        <v>1234496.3199999998</v>
      </c>
      <c r="I49" s="137">
        <f t="shared" si="37"/>
        <v>2534</v>
      </c>
      <c r="J49" s="136">
        <f t="shared" si="37"/>
        <v>1392064.2399999995</v>
      </c>
      <c r="K49" s="137">
        <f>SUM(K44:K47)</f>
        <v>0</v>
      </c>
      <c r="L49" s="136">
        <f>SUM(L44:L47)</f>
        <v>97321.909999999873</v>
      </c>
      <c r="M49" s="133">
        <f>SUM(M44:M48)</f>
        <v>4748</v>
      </c>
      <c r="N49" s="133">
        <f>SUM(N44:N48)</f>
        <v>124.51875</v>
      </c>
      <c r="O49" s="133">
        <f>SUM(O44:O48)</f>
        <v>2693882.4699999993</v>
      </c>
    </row>
    <row r="50" spans="1:15" ht="12.75" thickBot="1" x14ac:dyDescent="0.25">
      <c r="A50" s="14"/>
      <c r="B50" s="138" t="s">
        <v>1</v>
      </c>
      <c r="C50" s="143"/>
      <c r="D50" s="139"/>
      <c r="E50" s="139">
        <f>+E49+E43</f>
        <v>0</v>
      </c>
      <c r="F50" s="144"/>
      <c r="G50" s="145"/>
      <c r="H50" s="146">
        <f>+H49+H43</f>
        <v>4172906.2599999993</v>
      </c>
      <c r="I50" s="147"/>
      <c r="J50" s="146">
        <f>+J49+J43</f>
        <v>3583653.0199999986</v>
      </c>
      <c r="K50" s="147"/>
      <c r="L50" s="146">
        <f>+L49+L43</f>
        <v>748784.16999999946</v>
      </c>
      <c r="M50" s="139"/>
      <c r="N50" s="139"/>
      <c r="O50" s="139">
        <f>+O49+O43</f>
        <v>8349903.4499999993</v>
      </c>
    </row>
    <row r="51" spans="1:15" x14ac:dyDescent="0.2">
      <c r="E51" s="58">
        <f>+E36-E22</f>
        <v>0</v>
      </c>
      <c r="H51" s="58">
        <f>+H36-H22</f>
        <v>4017466.2600000054</v>
      </c>
      <c r="I51" s="56"/>
      <c r="J51" s="58">
        <f>+J36-J22</f>
        <v>3583653.0199999958</v>
      </c>
      <c r="K51" s="56"/>
      <c r="L51" s="58">
        <f>+L36-L22</f>
        <v>748784.16999999993</v>
      </c>
      <c r="M51" s="56"/>
      <c r="N51" s="56"/>
      <c r="O51" s="113">
        <f>SUM(E51:M51)</f>
        <v>8349903.4500000011</v>
      </c>
    </row>
    <row r="52" spans="1:15" x14ac:dyDescent="0.2">
      <c r="I52" s="56"/>
      <c r="J52" s="56"/>
      <c r="K52" s="56"/>
      <c r="L52" s="56"/>
      <c r="M52" s="56"/>
      <c r="N52" s="56"/>
      <c r="O52" s="113"/>
    </row>
    <row r="53" spans="1:15" ht="15.75" x14ac:dyDescent="0.25">
      <c r="A53" s="306" t="s">
        <v>38</v>
      </c>
      <c r="B53" s="306"/>
      <c r="C53" s="306"/>
      <c r="D53" s="306"/>
      <c r="E53" s="306"/>
      <c r="F53" s="306"/>
      <c r="G53" s="306"/>
      <c r="H53" s="306"/>
      <c r="I53" s="306"/>
      <c r="J53" s="306"/>
      <c r="K53" s="306"/>
      <c r="L53" s="306"/>
      <c r="M53" s="306"/>
      <c r="N53" s="306"/>
      <c r="O53" s="306"/>
    </row>
    <row r="54" spans="1:15" x14ac:dyDescent="0.2">
      <c r="A54" s="302" t="s">
        <v>53</v>
      </c>
      <c r="B54" s="302"/>
      <c r="C54" s="302"/>
      <c r="D54" s="302"/>
      <c r="E54" s="302"/>
      <c r="F54" s="302"/>
      <c r="G54" s="302"/>
      <c r="H54" s="302"/>
      <c r="I54" s="302"/>
      <c r="J54" s="302"/>
      <c r="K54" s="302"/>
      <c r="L54" s="302"/>
      <c r="M54" s="302"/>
      <c r="N54" s="302"/>
      <c r="O54" s="302"/>
    </row>
    <row r="55" spans="1:15" x14ac:dyDescent="0.2">
      <c r="A55" s="5"/>
      <c r="B55" s="99"/>
      <c r="C55" s="307" t="s">
        <v>46</v>
      </c>
      <c r="D55" s="308"/>
      <c r="E55" s="309"/>
      <c r="F55" s="83"/>
      <c r="G55" s="308" t="s">
        <v>39</v>
      </c>
      <c r="H55" s="308"/>
      <c r="I55" s="307" t="s">
        <v>40</v>
      </c>
      <c r="J55" s="309"/>
      <c r="K55" s="308" t="s">
        <v>47</v>
      </c>
      <c r="L55" s="308"/>
      <c r="M55" s="307" t="s">
        <v>10</v>
      </c>
      <c r="N55" s="308"/>
      <c r="O55" s="114"/>
    </row>
    <row r="56" spans="1:15" ht="12.75" thickBot="1" x14ac:dyDescent="0.25">
      <c r="A56" s="6" t="s">
        <v>20</v>
      </c>
      <c r="B56" s="100" t="s">
        <v>48</v>
      </c>
      <c r="C56" s="101" t="s">
        <v>9</v>
      </c>
      <c r="D56" s="8" t="s">
        <v>8</v>
      </c>
      <c r="E56" s="19" t="s">
        <v>10</v>
      </c>
      <c r="F56" s="102" t="s">
        <v>9</v>
      </c>
      <c r="G56" s="8" t="s">
        <v>8</v>
      </c>
      <c r="H56" s="8" t="s">
        <v>10</v>
      </c>
      <c r="I56" s="103" t="s">
        <v>8</v>
      </c>
      <c r="J56" s="19" t="s">
        <v>10</v>
      </c>
      <c r="K56" s="8" t="s">
        <v>8</v>
      </c>
      <c r="L56" s="8" t="s">
        <v>10</v>
      </c>
      <c r="M56" s="103" t="s">
        <v>8</v>
      </c>
      <c r="N56" s="104" t="s">
        <v>10</v>
      </c>
      <c r="O56" s="114"/>
    </row>
    <row r="57" spans="1:15" s="5" customFormat="1" x14ac:dyDescent="0.2">
      <c r="A57" s="97" t="s">
        <v>29</v>
      </c>
      <c r="B57" s="59"/>
      <c r="C57" s="31"/>
      <c r="D57" s="60"/>
      <c r="E57" s="84"/>
      <c r="G57" s="60"/>
      <c r="H57" s="50"/>
      <c r="I57" s="24"/>
      <c r="J57" s="117"/>
      <c r="K57" s="50"/>
      <c r="L57" s="50"/>
      <c r="M57" s="24"/>
      <c r="N57" s="17"/>
      <c r="O57" s="43"/>
    </row>
    <row r="58" spans="1:15" x14ac:dyDescent="0.2">
      <c r="A58" s="59" t="s">
        <v>21</v>
      </c>
      <c r="B58" s="47" t="s">
        <v>22</v>
      </c>
      <c r="C58" s="61">
        <v>2.3199999999999998</v>
      </c>
      <c r="D58" s="49">
        <f>+D24+D25-D30-D31</f>
        <v>31203</v>
      </c>
      <c r="E58" s="33">
        <f>+D58*C58</f>
        <v>72390.959999999992</v>
      </c>
      <c r="F58" s="61">
        <v>2.3199999999999998</v>
      </c>
      <c r="G58" s="49">
        <f>+G24+G25-G30-G31</f>
        <v>250152</v>
      </c>
      <c r="H58" s="40">
        <f>+G58*F58</f>
        <v>580352.64</v>
      </c>
      <c r="I58" s="53">
        <f>+I24+I25-I30-I31</f>
        <v>233215</v>
      </c>
      <c r="J58" s="118">
        <f>+I58*F58</f>
        <v>541058.79999999993</v>
      </c>
      <c r="K58" s="49">
        <f>+K24+K25-K30-K31</f>
        <v>47577</v>
      </c>
      <c r="L58" s="40">
        <f>+K58*F58</f>
        <v>110378.64</v>
      </c>
      <c r="M58" s="34">
        <f>D58+G58+I58+K58</f>
        <v>562147</v>
      </c>
      <c r="N58" s="40">
        <f>+E58+H58+J58+L58</f>
        <v>1304181.0399999998</v>
      </c>
      <c r="O58" s="43"/>
    </row>
    <row r="59" spans="1:15" x14ac:dyDescent="0.2">
      <c r="A59" s="59" t="s">
        <v>41</v>
      </c>
      <c r="B59" s="48" t="s">
        <v>44</v>
      </c>
      <c r="C59" s="62">
        <v>12.8</v>
      </c>
      <c r="D59" s="51">
        <f>+D58</f>
        <v>31203</v>
      </c>
      <c r="E59" s="35">
        <f t="shared" ref="E59:E65" si="38">+D59*C59</f>
        <v>399398.40000000002</v>
      </c>
      <c r="F59" s="62">
        <v>21.42</v>
      </c>
      <c r="G59" s="51">
        <f>+G58</f>
        <v>250152</v>
      </c>
      <c r="H59" s="41">
        <f t="shared" ref="H59:H65" si="39">+G59*F59</f>
        <v>5358255.8400000008</v>
      </c>
      <c r="I59" s="54">
        <f>+I58</f>
        <v>233215</v>
      </c>
      <c r="J59" s="119">
        <f t="shared" ref="J59:J65" si="40">+I59*F59</f>
        <v>4995465.3000000007</v>
      </c>
      <c r="K59" s="51">
        <f>+K58</f>
        <v>47577</v>
      </c>
      <c r="L59" s="41">
        <f t="shared" ref="L59:L65" si="41">+K59*F59</f>
        <v>1019099.3400000001</v>
      </c>
      <c r="M59" s="36">
        <f t="shared" ref="M59:M65" si="42">D59+G59+I59+K59</f>
        <v>562147</v>
      </c>
      <c r="N59" s="41">
        <f t="shared" ref="N59:N65" si="43">+E59+H59+J59+L59</f>
        <v>11772218.880000003</v>
      </c>
      <c r="O59" s="43"/>
    </row>
    <row r="60" spans="1:15" x14ac:dyDescent="0.2">
      <c r="A60" s="59" t="s">
        <v>42</v>
      </c>
      <c r="B60" s="48" t="s">
        <v>43</v>
      </c>
      <c r="C60" s="62">
        <v>4.42</v>
      </c>
      <c r="D60" s="51">
        <f>+D59</f>
        <v>31203</v>
      </c>
      <c r="E60" s="35">
        <f t="shared" si="38"/>
        <v>137917.26</v>
      </c>
      <c r="F60" s="62">
        <v>5.17</v>
      </c>
      <c r="G60" s="51">
        <f>+G59</f>
        <v>250152</v>
      </c>
      <c r="H60" s="41">
        <f t="shared" si="39"/>
        <v>1293285.8400000001</v>
      </c>
      <c r="I60" s="54">
        <f>+I59</f>
        <v>233215</v>
      </c>
      <c r="J60" s="119">
        <f t="shared" si="40"/>
        <v>1205721.55</v>
      </c>
      <c r="K60" s="51">
        <f>+K59</f>
        <v>47577</v>
      </c>
      <c r="L60" s="41">
        <f t="shared" si="41"/>
        <v>245973.09</v>
      </c>
      <c r="M60" s="36">
        <f t="shared" si="42"/>
        <v>562147</v>
      </c>
      <c r="N60" s="41">
        <f t="shared" si="43"/>
        <v>2882897.74</v>
      </c>
      <c r="O60" s="43"/>
    </row>
    <row r="61" spans="1:15" x14ac:dyDescent="0.2">
      <c r="A61" s="59" t="s">
        <v>17</v>
      </c>
      <c r="B61" s="48" t="s">
        <v>23</v>
      </c>
      <c r="C61" s="62">
        <v>4.78</v>
      </c>
      <c r="D61" s="51">
        <f>+D58</f>
        <v>31203</v>
      </c>
      <c r="E61" s="35">
        <f t="shared" si="38"/>
        <v>149150.34</v>
      </c>
      <c r="F61" s="62">
        <v>5.17</v>
      </c>
      <c r="G61" s="51">
        <f>+G58</f>
        <v>250152</v>
      </c>
      <c r="H61" s="41">
        <f t="shared" si="39"/>
        <v>1293285.8400000001</v>
      </c>
      <c r="I61" s="54">
        <f>+I58</f>
        <v>233215</v>
      </c>
      <c r="J61" s="119">
        <f t="shared" si="40"/>
        <v>1205721.55</v>
      </c>
      <c r="K61" s="51">
        <f>+K58</f>
        <v>47577</v>
      </c>
      <c r="L61" s="41">
        <f t="shared" si="41"/>
        <v>245973.09</v>
      </c>
      <c r="M61" s="36">
        <f t="shared" si="42"/>
        <v>562147</v>
      </c>
      <c r="N61" s="41">
        <f t="shared" si="43"/>
        <v>2894130.8200000003</v>
      </c>
      <c r="O61" s="43"/>
    </row>
    <row r="62" spans="1:15" x14ac:dyDescent="0.2">
      <c r="A62" s="59" t="s">
        <v>24</v>
      </c>
      <c r="B62" s="55" t="s">
        <v>45</v>
      </c>
      <c r="C62" s="62">
        <v>2.44</v>
      </c>
      <c r="D62" s="51">
        <f>+D61</f>
        <v>31203</v>
      </c>
      <c r="E62" s="35">
        <f t="shared" si="38"/>
        <v>76135.319999999992</v>
      </c>
      <c r="F62" s="62">
        <v>2.44</v>
      </c>
      <c r="G62" s="51">
        <f>+G61</f>
        <v>250152</v>
      </c>
      <c r="H62" s="41">
        <f t="shared" si="39"/>
        <v>610370.88</v>
      </c>
      <c r="I62" s="54">
        <f>+I61</f>
        <v>233215</v>
      </c>
      <c r="J62" s="119">
        <f t="shared" si="40"/>
        <v>569044.6</v>
      </c>
      <c r="K62" s="51">
        <f>+K61</f>
        <v>47577</v>
      </c>
      <c r="L62" s="41">
        <f t="shared" si="41"/>
        <v>116087.88</v>
      </c>
      <c r="M62" s="36">
        <f t="shared" si="42"/>
        <v>562147</v>
      </c>
      <c r="N62" s="41">
        <f t="shared" si="43"/>
        <v>1371638.6799999997</v>
      </c>
      <c r="O62" s="43"/>
    </row>
    <row r="63" spans="1:15" x14ac:dyDescent="0.2">
      <c r="A63" s="59" t="s">
        <v>18</v>
      </c>
      <c r="B63" s="48" t="s">
        <v>25</v>
      </c>
      <c r="C63" s="62">
        <v>11.96</v>
      </c>
      <c r="D63" s="51">
        <f>+D62</f>
        <v>31203</v>
      </c>
      <c r="E63" s="35">
        <f t="shared" si="38"/>
        <v>373187.88</v>
      </c>
      <c r="F63" s="62">
        <v>11.96</v>
      </c>
      <c r="G63" s="51">
        <f>+G62</f>
        <v>250152</v>
      </c>
      <c r="H63" s="41">
        <f t="shared" si="39"/>
        <v>2991817.9200000004</v>
      </c>
      <c r="I63" s="54">
        <f>+I62</f>
        <v>233215</v>
      </c>
      <c r="J63" s="119">
        <f t="shared" si="40"/>
        <v>2789251.4000000004</v>
      </c>
      <c r="K63" s="51">
        <f>+K62</f>
        <v>47577</v>
      </c>
      <c r="L63" s="41">
        <f t="shared" si="41"/>
        <v>569020.92000000004</v>
      </c>
      <c r="M63" s="36">
        <f t="shared" si="42"/>
        <v>562147</v>
      </c>
      <c r="N63" s="41">
        <f t="shared" si="43"/>
        <v>6723278.120000001</v>
      </c>
      <c r="O63" s="43"/>
    </row>
    <row r="64" spans="1:15" x14ac:dyDescent="0.2">
      <c r="A64" s="59" t="s">
        <v>19</v>
      </c>
      <c r="B64" s="48" t="s">
        <v>26</v>
      </c>
      <c r="C64" s="62">
        <v>16.45</v>
      </c>
      <c r="D64" s="51">
        <f>+D63</f>
        <v>31203</v>
      </c>
      <c r="E64" s="35">
        <f t="shared" si="38"/>
        <v>513289.35</v>
      </c>
      <c r="F64" s="62">
        <v>16.45</v>
      </c>
      <c r="G64" s="51">
        <f>+G63</f>
        <v>250152</v>
      </c>
      <c r="H64" s="41">
        <f t="shared" si="39"/>
        <v>4115000.4</v>
      </c>
      <c r="I64" s="54">
        <f>+I63</f>
        <v>233215</v>
      </c>
      <c r="J64" s="119">
        <f t="shared" si="40"/>
        <v>3836386.75</v>
      </c>
      <c r="K64" s="51">
        <f>+K63</f>
        <v>47577</v>
      </c>
      <c r="L64" s="41">
        <f t="shared" si="41"/>
        <v>782641.65</v>
      </c>
      <c r="M64" s="36">
        <f t="shared" si="42"/>
        <v>562147</v>
      </c>
      <c r="N64" s="41">
        <f t="shared" si="43"/>
        <v>9247318.1500000004</v>
      </c>
      <c r="O64" s="43"/>
    </row>
    <row r="65" spans="1:15" x14ac:dyDescent="0.2">
      <c r="A65" s="59" t="s">
        <v>27</v>
      </c>
      <c r="B65" s="66" t="s">
        <v>28</v>
      </c>
      <c r="C65" s="67">
        <v>8.9700000000000006</v>
      </c>
      <c r="D65" s="68">
        <f>+D64</f>
        <v>31203</v>
      </c>
      <c r="E65" s="85">
        <f t="shared" si="38"/>
        <v>279890.91000000003</v>
      </c>
      <c r="F65" s="67">
        <v>9.42</v>
      </c>
      <c r="G65" s="68">
        <f>+G64</f>
        <v>250152</v>
      </c>
      <c r="H65" s="69">
        <f t="shared" si="39"/>
        <v>2356431.84</v>
      </c>
      <c r="I65" s="87">
        <f>+I64</f>
        <v>233215</v>
      </c>
      <c r="J65" s="120">
        <f t="shared" si="40"/>
        <v>2196885.2999999998</v>
      </c>
      <c r="K65" s="68">
        <f>+K64</f>
        <v>47577</v>
      </c>
      <c r="L65" s="69">
        <f t="shared" si="41"/>
        <v>448175.34</v>
      </c>
      <c r="M65" s="91">
        <f t="shared" si="42"/>
        <v>562147</v>
      </c>
      <c r="N65" s="69">
        <f t="shared" si="43"/>
        <v>5281383.3899999997</v>
      </c>
      <c r="O65" s="43"/>
    </row>
    <row r="66" spans="1:15" s="65" customFormat="1" x14ac:dyDescent="0.2">
      <c r="A66" s="71" t="s">
        <v>34</v>
      </c>
      <c r="B66" s="72"/>
      <c r="C66" s="73">
        <f>SUM(C58:C65)</f>
        <v>64.14</v>
      </c>
      <c r="D66" s="105"/>
      <c r="E66" s="86">
        <f>SUM(E58:E65)</f>
        <v>2001360.42</v>
      </c>
      <c r="F66" s="73">
        <f>SUM(F58:F65)</f>
        <v>74.350000000000009</v>
      </c>
      <c r="G66" s="74"/>
      <c r="H66" s="75">
        <f>SUM(H58:H65)</f>
        <v>18598801.200000003</v>
      </c>
      <c r="I66" s="88"/>
      <c r="J66" s="93">
        <f>SUM(J58:J65)</f>
        <v>17339535.25</v>
      </c>
      <c r="K66" s="74"/>
      <c r="L66" s="75">
        <f>SUM(L58:L65)</f>
        <v>3537349.9499999997</v>
      </c>
      <c r="M66" s="88"/>
      <c r="N66" s="93">
        <f>SUM(N58:N65)</f>
        <v>41477046.820000008</v>
      </c>
      <c r="O66" s="115"/>
    </row>
    <row r="67" spans="1:15" x14ac:dyDescent="0.2">
      <c r="A67" s="97" t="s">
        <v>31</v>
      </c>
      <c r="B67" s="32"/>
      <c r="C67" s="107"/>
      <c r="D67" s="70"/>
      <c r="E67" s="106"/>
      <c r="F67" s="107"/>
      <c r="G67" s="108"/>
      <c r="H67" s="44"/>
      <c r="I67" s="109"/>
      <c r="J67" s="118"/>
      <c r="K67" s="108"/>
      <c r="L67" s="44"/>
      <c r="M67" s="110"/>
      <c r="N67" s="44"/>
      <c r="O67" s="43"/>
    </row>
    <row r="68" spans="1:15" x14ac:dyDescent="0.2">
      <c r="A68" s="59" t="s">
        <v>21</v>
      </c>
      <c r="B68" s="48" t="s">
        <v>22</v>
      </c>
      <c r="C68" s="62">
        <v>2.3199999999999998</v>
      </c>
      <c r="D68" s="51">
        <f>+D26+D27-D32-D33</f>
        <v>1969</v>
      </c>
      <c r="E68" s="35">
        <f t="shared" ref="E68:E75" si="44">+D68*C68</f>
        <v>4568.08</v>
      </c>
      <c r="F68" s="62">
        <v>2.3199999999999998</v>
      </c>
      <c r="G68" s="51">
        <f>+G26+G27-G32-G33</f>
        <v>24430</v>
      </c>
      <c r="H68" s="41">
        <f t="shared" ref="H68:H75" si="45">+G68*F68</f>
        <v>56677.599999999999</v>
      </c>
      <c r="I68" s="54">
        <f>+I26+I27-I32-I33</f>
        <v>23885</v>
      </c>
      <c r="J68" s="119">
        <f t="shared" ref="J68:J75" si="46">+I68*F68</f>
        <v>55413.2</v>
      </c>
      <c r="K68" s="51">
        <f>+K26+K27-K32-K33</f>
        <v>12204</v>
      </c>
      <c r="L68" s="41">
        <f t="shared" ref="L68:L75" si="47">+K68*F68</f>
        <v>28313.279999999999</v>
      </c>
      <c r="M68" s="36">
        <f t="shared" ref="M68:M75" si="48">D68+G68+I68+K68</f>
        <v>62488</v>
      </c>
      <c r="N68" s="41">
        <f t="shared" ref="N68:N75" si="49">+E68+H68+J68+L68</f>
        <v>144972.16</v>
      </c>
      <c r="O68" s="43"/>
    </row>
    <row r="69" spans="1:15" x14ac:dyDescent="0.2">
      <c r="A69" s="59" t="s">
        <v>41</v>
      </c>
      <c r="B69" s="48" t="s">
        <v>44</v>
      </c>
      <c r="C69" s="62">
        <v>0</v>
      </c>
      <c r="D69" s="51">
        <v>0</v>
      </c>
      <c r="E69" s="35">
        <f t="shared" si="44"/>
        <v>0</v>
      </c>
      <c r="F69" s="62">
        <v>0</v>
      </c>
      <c r="G69" s="51">
        <v>0</v>
      </c>
      <c r="H69" s="41">
        <f t="shared" si="45"/>
        <v>0</v>
      </c>
      <c r="I69" s="54">
        <v>0</v>
      </c>
      <c r="J69" s="119">
        <f t="shared" si="46"/>
        <v>0</v>
      </c>
      <c r="K69" s="51">
        <v>0</v>
      </c>
      <c r="L69" s="41">
        <f t="shared" si="47"/>
        <v>0</v>
      </c>
      <c r="M69" s="36">
        <f t="shared" si="48"/>
        <v>0</v>
      </c>
      <c r="N69" s="41">
        <f t="shared" si="49"/>
        <v>0</v>
      </c>
      <c r="O69" s="43"/>
    </row>
    <row r="70" spans="1:15" x14ac:dyDescent="0.2">
      <c r="A70" s="59" t="s">
        <v>42</v>
      </c>
      <c r="B70" s="48" t="s">
        <v>43</v>
      </c>
      <c r="C70" s="62">
        <v>4.42</v>
      </c>
      <c r="D70" s="51">
        <f>+D68</f>
        <v>1969</v>
      </c>
      <c r="E70" s="35">
        <f t="shared" si="44"/>
        <v>8702.98</v>
      </c>
      <c r="F70" s="62">
        <v>5.17</v>
      </c>
      <c r="G70" s="51">
        <f>+G68</f>
        <v>24430</v>
      </c>
      <c r="H70" s="41">
        <f t="shared" si="45"/>
        <v>126303.09999999999</v>
      </c>
      <c r="I70" s="54">
        <f>+I68</f>
        <v>23885</v>
      </c>
      <c r="J70" s="119">
        <f t="shared" si="46"/>
        <v>123485.45</v>
      </c>
      <c r="K70" s="51">
        <f>+K68</f>
        <v>12204</v>
      </c>
      <c r="L70" s="41">
        <f t="shared" si="47"/>
        <v>63094.68</v>
      </c>
      <c r="M70" s="36">
        <f t="shared" si="48"/>
        <v>62488</v>
      </c>
      <c r="N70" s="41">
        <f t="shared" si="49"/>
        <v>321586.20999999996</v>
      </c>
      <c r="O70" s="43"/>
    </row>
    <row r="71" spans="1:15" x14ac:dyDescent="0.2">
      <c r="A71" s="59" t="s">
        <v>17</v>
      </c>
      <c r="B71" s="48" t="s">
        <v>23</v>
      </c>
      <c r="C71" s="62">
        <v>13.02</v>
      </c>
      <c r="D71" s="51">
        <f>+D68</f>
        <v>1969</v>
      </c>
      <c r="E71" s="35">
        <f t="shared" si="44"/>
        <v>25636.379999999997</v>
      </c>
      <c r="F71" s="62">
        <v>14.06</v>
      </c>
      <c r="G71" s="51">
        <f>+G68</f>
        <v>24430</v>
      </c>
      <c r="H71" s="41">
        <f t="shared" si="45"/>
        <v>343485.8</v>
      </c>
      <c r="I71" s="54">
        <f>+I68</f>
        <v>23885</v>
      </c>
      <c r="J71" s="119">
        <f t="shared" si="46"/>
        <v>335823.10000000003</v>
      </c>
      <c r="K71" s="51">
        <f>+K68</f>
        <v>12204</v>
      </c>
      <c r="L71" s="41">
        <f t="shared" si="47"/>
        <v>171588.24000000002</v>
      </c>
      <c r="M71" s="36">
        <f t="shared" si="48"/>
        <v>62488</v>
      </c>
      <c r="N71" s="41">
        <f t="shared" si="49"/>
        <v>876533.52</v>
      </c>
      <c r="O71" s="43"/>
    </row>
    <row r="72" spans="1:15" x14ac:dyDescent="0.2">
      <c r="A72" s="59" t="s">
        <v>24</v>
      </c>
      <c r="B72" s="55" t="s">
        <v>45</v>
      </c>
      <c r="C72" s="62">
        <v>2.44</v>
      </c>
      <c r="D72" s="51">
        <f>+D71</f>
        <v>1969</v>
      </c>
      <c r="E72" s="35">
        <f t="shared" si="44"/>
        <v>4804.3599999999997</v>
      </c>
      <c r="F72" s="62">
        <v>2.44</v>
      </c>
      <c r="G72" s="51">
        <f>+G71</f>
        <v>24430</v>
      </c>
      <c r="H72" s="41">
        <f t="shared" si="45"/>
        <v>59609.2</v>
      </c>
      <c r="I72" s="54">
        <f>+I71</f>
        <v>23885</v>
      </c>
      <c r="J72" s="119">
        <f t="shared" si="46"/>
        <v>58279.4</v>
      </c>
      <c r="K72" s="51">
        <f>+K71</f>
        <v>12204</v>
      </c>
      <c r="L72" s="41">
        <f t="shared" si="47"/>
        <v>29777.759999999998</v>
      </c>
      <c r="M72" s="36">
        <f t="shared" si="48"/>
        <v>62488</v>
      </c>
      <c r="N72" s="41">
        <f t="shared" si="49"/>
        <v>152470.72</v>
      </c>
      <c r="O72" s="43"/>
    </row>
    <row r="73" spans="1:15" x14ac:dyDescent="0.2">
      <c r="A73" s="59" t="s">
        <v>18</v>
      </c>
      <c r="B73" s="48" t="s">
        <v>25</v>
      </c>
      <c r="C73" s="62">
        <v>11.96</v>
      </c>
      <c r="D73" s="51">
        <f>+D72</f>
        <v>1969</v>
      </c>
      <c r="E73" s="35">
        <f t="shared" si="44"/>
        <v>23549.24</v>
      </c>
      <c r="F73" s="62">
        <v>11.96</v>
      </c>
      <c r="G73" s="51">
        <f>+G72</f>
        <v>24430</v>
      </c>
      <c r="H73" s="41">
        <f t="shared" si="45"/>
        <v>292182.80000000005</v>
      </c>
      <c r="I73" s="54">
        <f>+I72</f>
        <v>23885</v>
      </c>
      <c r="J73" s="119">
        <f t="shared" si="46"/>
        <v>285664.60000000003</v>
      </c>
      <c r="K73" s="51">
        <f>+K72</f>
        <v>12204</v>
      </c>
      <c r="L73" s="41">
        <f t="shared" si="47"/>
        <v>145959.84</v>
      </c>
      <c r="M73" s="36">
        <f t="shared" si="48"/>
        <v>62488</v>
      </c>
      <c r="N73" s="41">
        <f t="shared" si="49"/>
        <v>747356.4800000001</v>
      </c>
      <c r="O73" s="43"/>
    </row>
    <row r="74" spans="1:15" x14ac:dyDescent="0.2">
      <c r="A74" s="59" t="s">
        <v>19</v>
      </c>
      <c r="B74" s="48" t="s">
        <v>26</v>
      </c>
      <c r="C74" s="62">
        <v>16.45</v>
      </c>
      <c r="D74" s="51">
        <f>+D73</f>
        <v>1969</v>
      </c>
      <c r="E74" s="35">
        <f t="shared" si="44"/>
        <v>32390.05</v>
      </c>
      <c r="F74" s="62">
        <v>16.45</v>
      </c>
      <c r="G74" s="51">
        <f>+G73</f>
        <v>24430</v>
      </c>
      <c r="H74" s="41">
        <f t="shared" si="45"/>
        <v>401873.5</v>
      </c>
      <c r="I74" s="54">
        <f>+I73</f>
        <v>23885</v>
      </c>
      <c r="J74" s="119">
        <f t="shared" si="46"/>
        <v>392908.25</v>
      </c>
      <c r="K74" s="51">
        <f>+K73</f>
        <v>12204</v>
      </c>
      <c r="L74" s="41">
        <f t="shared" si="47"/>
        <v>200755.8</v>
      </c>
      <c r="M74" s="36">
        <f t="shared" si="48"/>
        <v>62488</v>
      </c>
      <c r="N74" s="41">
        <f t="shared" si="49"/>
        <v>1027927.6000000001</v>
      </c>
      <c r="O74" s="43"/>
    </row>
    <row r="75" spans="1:15" x14ac:dyDescent="0.2">
      <c r="A75" s="59" t="s">
        <v>27</v>
      </c>
      <c r="B75" s="66" t="s">
        <v>28</v>
      </c>
      <c r="C75" s="67">
        <v>8.9700000000000006</v>
      </c>
      <c r="D75" s="68">
        <f>+D74</f>
        <v>1969</v>
      </c>
      <c r="E75" s="85">
        <f t="shared" si="44"/>
        <v>17661.93</v>
      </c>
      <c r="F75" s="67">
        <v>9.42</v>
      </c>
      <c r="G75" s="68">
        <f>+G74</f>
        <v>24430</v>
      </c>
      <c r="H75" s="69">
        <f t="shared" si="45"/>
        <v>230130.6</v>
      </c>
      <c r="I75" s="87">
        <f>+I74</f>
        <v>23885</v>
      </c>
      <c r="J75" s="120">
        <f t="shared" si="46"/>
        <v>224996.7</v>
      </c>
      <c r="K75" s="68">
        <f>+K74</f>
        <v>12204</v>
      </c>
      <c r="L75" s="69">
        <f t="shared" si="47"/>
        <v>114961.68</v>
      </c>
      <c r="M75" s="91">
        <f t="shared" si="48"/>
        <v>62488</v>
      </c>
      <c r="N75" s="69">
        <f t="shared" si="49"/>
        <v>587750.90999999992</v>
      </c>
      <c r="O75" s="43"/>
    </row>
    <row r="76" spans="1:15" x14ac:dyDescent="0.2">
      <c r="A76" s="71" t="s">
        <v>35</v>
      </c>
      <c r="B76" s="72"/>
      <c r="C76" s="73">
        <f>SUM(C68:C75)</f>
        <v>59.58</v>
      </c>
      <c r="D76" s="76"/>
      <c r="E76" s="86">
        <f>SUM(E68:E75)</f>
        <v>117313.01999999999</v>
      </c>
      <c r="F76" s="73">
        <f>SUM(F68:F75)</f>
        <v>61.820000000000007</v>
      </c>
      <c r="G76" s="76"/>
      <c r="H76" s="75">
        <f>SUM(H68:H75)</f>
        <v>1510262.6</v>
      </c>
      <c r="I76" s="89"/>
      <c r="J76" s="93">
        <f>SUM(J68:J75)</f>
        <v>1476570.7</v>
      </c>
      <c r="K76" s="76"/>
      <c r="L76" s="75">
        <f>SUM(L68:L75)</f>
        <v>754451.28</v>
      </c>
      <c r="M76" s="89"/>
      <c r="N76" s="93">
        <f>SUM(N68:N75)</f>
        <v>3858597.6000000006</v>
      </c>
      <c r="O76" s="43"/>
    </row>
    <row r="77" spans="1:15" x14ac:dyDescent="0.2">
      <c r="A77" s="97" t="s">
        <v>30</v>
      </c>
      <c r="B77" s="32"/>
      <c r="C77" s="107"/>
      <c r="D77" s="70"/>
      <c r="E77" s="106"/>
      <c r="F77" s="107"/>
      <c r="G77" s="108"/>
      <c r="H77" s="44"/>
      <c r="I77" s="109"/>
      <c r="J77" s="118"/>
      <c r="K77" s="108"/>
      <c r="L77" s="44"/>
      <c r="M77" s="92"/>
      <c r="N77" s="44"/>
      <c r="O77" s="43"/>
    </row>
    <row r="78" spans="1:15" x14ac:dyDescent="0.2">
      <c r="A78" s="59" t="s">
        <v>21</v>
      </c>
      <c r="B78" s="48" t="s">
        <v>22</v>
      </c>
      <c r="C78" s="62">
        <v>2.3199999999999998</v>
      </c>
      <c r="D78" s="51">
        <f>+D30+D31</f>
        <v>828</v>
      </c>
      <c r="E78" s="35">
        <f t="shared" ref="E78:E85" si="50">+D78*C78</f>
        <v>1920.9599999999998</v>
      </c>
      <c r="F78" s="62">
        <v>2.3199999999999998</v>
      </c>
      <c r="G78" s="51">
        <f>+G30+G31</f>
        <v>13412</v>
      </c>
      <c r="H78" s="41">
        <f t="shared" ref="H78:H85" si="51">+G78*F78</f>
        <v>31115.839999999997</v>
      </c>
      <c r="I78" s="54">
        <f>+I30+I31</f>
        <v>12791</v>
      </c>
      <c r="J78" s="119">
        <f t="shared" ref="J78:J85" si="52">+I78*F78</f>
        <v>29675.119999999999</v>
      </c>
      <c r="K78" s="51">
        <f>+K30+K31</f>
        <v>1389</v>
      </c>
      <c r="L78" s="41">
        <f t="shared" ref="L78:L85" si="53">+K78*F78</f>
        <v>3222.4799999999996</v>
      </c>
      <c r="M78" s="36">
        <f t="shared" ref="M78:M85" si="54">D78+G78+I78+K78</f>
        <v>28420</v>
      </c>
      <c r="N78" s="41">
        <f t="shared" ref="N78:N85" si="55">+E78+H78+J78+L78</f>
        <v>65934.399999999994</v>
      </c>
      <c r="O78" s="43"/>
    </row>
    <row r="79" spans="1:15" x14ac:dyDescent="0.2">
      <c r="A79" s="59" t="s">
        <v>41</v>
      </c>
      <c r="B79" s="48" t="s">
        <v>44</v>
      </c>
      <c r="C79" s="62">
        <v>12.8</v>
      </c>
      <c r="D79" s="51">
        <f>+D78</f>
        <v>828</v>
      </c>
      <c r="E79" s="35">
        <f t="shared" si="50"/>
        <v>10598.400000000001</v>
      </c>
      <c r="F79" s="62">
        <v>21.42</v>
      </c>
      <c r="G79" s="51">
        <f>+G78</f>
        <v>13412</v>
      </c>
      <c r="H79" s="41">
        <f t="shared" si="51"/>
        <v>287285.04000000004</v>
      </c>
      <c r="I79" s="54">
        <f>+I78</f>
        <v>12791</v>
      </c>
      <c r="J79" s="119">
        <f t="shared" si="52"/>
        <v>273983.22000000003</v>
      </c>
      <c r="K79" s="51">
        <f>+K78</f>
        <v>1389</v>
      </c>
      <c r="L79" s="41">
        <f t="shared" si="53"/>
        <v>29752.38</v>
      </c>
      <c r="M79" s="36">
        <f t="shared" si="54"/>
        <v>28420</v>
      </c>
      <c r="N79" s="41">
        <f t="shared" si="55"/>
        <v>601619.04000000015</v>
      </c>
      <c r="O79" s="43"/>
    </row>
    <row r="80" spans="1:15" x14ac:dyDescent="0.2">
      <c r="A80" s="59" t="s">
        <v>42</v>
      </c>
      <c r="B80" s="48" t="s">
        <v>43</v>
      </c>
      <c r="C80" s="62">
        <v>4.42</v>
      </c>
      <c r="D80" s="51">
        <f>+D79</f>
        <v>828</v>
      </c>
      <c r="E80" s="35">
        <f t="shared" si="50"/>
        <v>3659.7599999999998</v>
      </c>
      <c r="F80" s="62">
        <v>5.17</v>
      </c>
      <c r="G80" s="51">
        <f>+G79</f>
        <v>13412</v>
      </c>
      <c r="H80" s="41">
        <f t="shared" si="51"/>
        <v>69340.039999999994</v>
      </c>
      <c r="I80" s="54">
        <f>+I79</f>
        <v>12791</v>
      </c>
      <c r="J80" s="119">
        <f t="shared" si="52"/>
        <v>66129.47</v>
      </c>
      <c r="K80" s="51">
        <f>+K79</f>
        <v>1389</v>
      </c>
      <c r="L80" s="41">
        <f t="shared" si="53"/>
        <v>7181.13</v>
      </c>
      <c r="M80" s="36">
        <f t="shared" si="54"/>
        <v>28420</v>
      </c>
      <c r="N80" s="41">
        <f t="shared" si="55"/>
        <v>146310.39999999999</v>
      </c>
      <c r="O80" s="43"/>
    </row>
    <row r="81" spans="1:15" x14ac:dyDescent="0.2">
      <c r="A81" s="59" t="s">
        <v>17</v>
      </c>
      <c r="B81" s="48" t="s">
        <v>23</v>
      </c>
      <c r="C81" s="62">
        <v>25.95</v>
      </c>
      <c r="D81" s="51">
        <f>+D78</f>
        <v>828</v>
      </c>
      <c r="E81" s="35">
        <f t="shared" si="50"/>
        <v>21486.6</v>
      </c>
      <c r="F81" s="62">
        <v>27.4</v>
      </c>
      <c r="G81" s="51">
        <f>+G78</f>
        <v>13412</v>
      </c>
      <c r="H81" s="41">
        <f t="shared" si="51"/>
        <v>367488.8</v>
      </c>
      <c r="I81" s="54">
        <f>+I78</f>
        <v>12791</v>
      </c>
      <c r="J81" s="119">
        <f t="shared" si="52"/>
        <v>350473.39999999997</v>
      </c>
      <c r="K81" s="51">
        <f>+K78</f>
        <v>1389</v>
      </c>
      <c r="L81" s="41">
        <f t="shared" si="53"/>
        <v>38058.6</v>
      </c>
      <c r="M81" s="36">
        <f t="shared" si="54"/>
        <v>28420</v>
      </c>
      <c r="N81" s="41">
        <f t="shared" si="55"/>
        <v>777507.39999999991</v>
      </c>
      <c r="O81" s="43"/>
    </row>
    <row r="82" spans="1:15" x14ac:dyDescent="0.2">
      <c r="A82" s="59" t="s">
        <v>24</v>
      </c>
      <c r="B82" s="55" t="s">
        <v>45</v>
      </c>
      <c r="C82" s="62">
        <v>2.44</v>
      </c>
      <c r="D82" s="51">
        <f>+D81</f>
        <v>828</v>
      </c>
      <c r="E82" s="35">
        <f t="shared" si="50"/>
        <v>2020.32</v>
      </c>
      <c r="F82" s="62">
        <v>2.44</v>
      </c>
      <c r="G82" s="51">
        <f>+G81</f>
        <v>13412</v>
      </c>
      <c r="H82" s="41">
        <f t="shared" si="51"/>
        <v>32725.279999999999</v>
      </c>
      <c r="I82" s="54">
        <f>+I81</f>
        <v>12791</v>
      </c>
      <c r="J82" s="119">
        <f t="shared" si="52"/>
        <v>31210.04</v>
      </c>
      <c r="K82" s="51">
        <f>+K81</f>
        <v>1389</v>
      </c>
      <c r="L82" s="41">
        <f t="shared" si="53"/>
        <v>3389.16</v>
      </c>
      <c r="M82" s="36">
        <f t="shared" si="54"/>
        <v>28420</v>
      </c>
      <c r="N82" s="41">
        <f t="shared" si="55"/>
        <v>69344.800000000003</v>
      </c>
      <c r="O82" s="43"/>
    </row>
    <row r="83" spans="1:15" x14ac:dyDescent="0.2">
      <c r="A83" s="59" t="s">
        <v>18</v>
      </c>
      <c r="B83" s="48" t="s">
        <v>25</v>
      </c>
      <c r="C83" s="62">
        <v>11.96</v>
      </c>
      <c r="D83" s="51">
        <f>+D82</f>
        <v>828</v>
      </c>
      <c r="E83" s="35">
        <f t="shared" si="50"/>
        <v>9902.880000000001</v>
      </c>
      <c r="F83" s="62">
        <v>11.96</v>
      </c>
      <c r="G83" s="51">
        <f>+G82</f>
        <v>13412</v>
      </c>
      <c r="H83" s="41">
        <f t="shared" si="51"/>
        <v>160407.52000000002</v>
      </c>
      <c r="I83" s="54">
        <f>+I82</f>
        <v>12791</v>
      </c>
      <c r="J83" s="119">
        <f t="shared" si="52"/>
        <v>152980.36000000002</v>
      </c>
      <c r="K83" s="51">
        <f>+K82</f>
        <v>1389</v>
      </c>
      <c r="L83" s="41">
        <f t="shared" si="53"/>
        <v>16612.440000000002</v>
      </c>
      <c r="M83" s="36">
        <f t="shared" si="54"/>
        <v>28420</v>
      </c>
      <c r="N83" s="41">
        <f t="shared" si="55"/>
        <v>339903.2</v>
      </c>
      <c r="O83" s="43"/>
    </row>
    <row r="84" spans="1:15" x14ac:dyDescent="0.2">
      <c r="A84" s="59" t="s">
        <v>19</v>
      </c>
      <c r="B84" s="48" t="s">
        <v>26</v>
      </c>
      <c r="C84" s="62">
        <v>16.45</v>
      </c>
      <c r="D84" s="51">
        <f>+D83</f>
        <v>828</v>
      </c>
      <c r="E84" s="35">
        <f t="shared" si="50"/>
        <v>13620.599999999999</v>
      </c>
      <c r="F84" s="62">
        <v>16.45</v>
      </c>
      <c r="G84" s="51">
        <f>+G83</f>
        <v>13412</v>
      </c>
      <c r="H84" s="41">
        <f t="shared" si="51"/>
        <v>220627.4</v>
      </c>
      <c r="I84" s="54">
        <f>+I83</f>
        <v>12791</v>
      </c>
      <c r="J84" s="119">
        <f t="shared" si="52"/>
        <v>210411.94999999998</v>
      </c>
      <c r="K84" s="51">
        <f>+K83</f>
        <v>1389</v>
      </c>
      <c r="L84" s="41">
        <f t="shared" si="53"/>
        <v>22849.05</v>
      </c>
      <c r="M84" s="36">
        <f t="shared" si="54"/>
        <v>28420</v>
      </c>
      <c r="N84" s="41">
        <f t="shared" si="55"/>
        <v>467508.99999999994</v>
      </c>
      <c r="O84" s="43"/>
    </row>
    <row r="85" spans="1:15" x14ac:dyDescent="0.2">
      <c r="A85" s="59" t="s">
        <v>27</v>
      </c>
      <c r="B85" s="66" t="s">
        <v>28</v>
      </c>
      <c r="C85" s="67">
        <v>8.9700000000000006</v>
      </c>
      <c r="D85" s="68">
        <f>+D84</f>
        <v>828</v>
      </c>
      <c r="E85" s="85">
        <f t="shared" si="50"/>
        <v>7427.1600000000008</v>
      </c>
      <c r="F85" s="67">
        <v>9.42</v>
      </c>
      <c r="G85" s="68">
        <f>+G84</f>
        <v>13412</v>
      </c>
      <c r="H85" s="69">
        <f t="shared" si="51"/>
        <v>126341.04</v>
      </c>
      <c r="I85" s="87">
        <f>+I84</f>
        <v>12791</v>
      </c>
      <c r="J85" s="120">
        <f t="shared" si="52"/>
        <v>120491.22</v>
      </c>
      <c r="K85" s="68">
        <f>+K84</f>
        <v>1389</v>
      </c>
      <c r="L85" s="69">
        <f t="shared" si="53"/>
        <v>13084.38</v>
      </c>
      <c r="M85" s="91">
        <f t="shared" si="54"/>
        <v>28420</v>
      </c>
      <c r="N85" s="69">
        <f t="shared" si="55"/>
        <v>267343.8</v>
      </c>
      <c r="O85" s="43"/>
    </row>
    <row r="86" spans="1:15" x14ac:dyDescent="0.2">
      <c r="A86" s="71" t="s">
        <v>33</v>
      </c>
      <c r="B86" s="72"/>
      <c r="C86" s="73">
        <f>SUM(C78:C85)</f>
        <v>85.309999999999988</v>
      </c>
      <c r="D86" s="76"/>
      <c r="E86" s="86">
        <f>SUM(E78:E85)</f>
        <v>70636.679999999993</v>
      </c>
      <c r="F86" s="73">
        <f>SUM(F78:F85)</f>
        <v>96.580000000000013</v>
      </c>
      <c r="G86" s="76"/>
      <c r="H86" s="75">
        <f>SUM(H78:H85)</f>
        <v>1295330.96</v>
      </c>
      <c r="I86" s="89"/>
      <c r="J86" s="93">
        <f>SUM(J78:J85)</f>
        <v>1235354.78</v>
      </c>
      <c r="K86" s="76"/>
      <c r="L86" s="75">
        <f>SUM(L78:L85)</f>
        <v>134149.62</v>
      </c>
      <c r="M86" s="89"/>
      <c r="N86" s="93">
        <f>SUM(N78:N85)</f>
        <v>2735472.04</v>
      </c>
      <c r="O86" s="43"/>
    </row>
    <row r="87" spans="1:15" x14ac:dyDescent="0.2">
      <c r="A87" s="97" t="s">
        <v>32</v>
      </c>
      <c r="B87" s="32"/>
      <c r="C87" s="107"/>
      <c r="D87" s="70"/>
      <c r="E87" s="106"/>
      <c r="F87" s="107"/>
      <c r="G87" s="108"/>
      <c r="H87" s="44"/>
      <c r="I87" s="109"/>
      <c r="J87" s="118"/>
      <c r="K87" s="108"/>
      <c r="L87" s="44"/>
      <c r="M87" s="92"/>
      <c r="N87" s="44"/>
      <c r="O87" s="43"/>
    </row>
    <row r="88" spans="1:15" x14ac:dyDescent="0.2">
      <c r="A88" s="59" t="s">
        <v>21</v>
      </c>
      <c r="B88" s="48" t="s">
        <v>22</v>
      </c>
      <c r="C88" s="62">
        <v>2.3199999999999998</v>
      </c>
      <c r="D88" s="51">
        <f>+D32+D33</f>
        <v>284</v>
      </c>
      <c r="E88" s="35">
        <f t="shared" ref="E88:E95" si="56">+D88*C88</f>
        <v>658.88</v>
      </c>
      <c r="F88" s="62">
        <v>2.3199999999999998</v>
      </c>
      <c r="G88" s="51">
        <f>+G32+G33</f>
        <v>3741</v>
      </c>
      <c r="H88" s="41">
        <f t="shared" ref="H88:H95" si="57">+G88*F88</f>
        <v>8679.119999999999</v>
      </c>
      <c r="I88" s="54">
        <f>+I32+I33</f>
        <v>3690</v>
      </c>
      <c r="J88" s="119">
        <f t="shared" ref="J88:J95" si="58">+I88*F88</f>
        <v>8560.7999999999993</v>
      </c>
      <c r="K88" s="51">
        <f>+K32+K33</f>
        <v>1088</v>
      </c>
      <c r="L88" s="41">
        <f t="shared" ref="L88:L95" si="59">+K88*F88</f>
        <v>2524.16</v>
      </c>
      <c r="M88" s="36">
        <f t="shared" ref="M88:M95" si="60">D88+G88+I88+K88</f>
        <v>8803</v>
      </c>
      <c r="N88" s="41">
        <f t="shared" ref="N88:N95" si="61">+E88+H88+J88+L88</f>
        <v>20422.959999999995</v>
      </c>
      <c r="O88" s="43"/>
    </row>
    <row r="89" spans="1:15" x14ac:dyDescent="0.2">
      <c r="A89" s="59" t="s">
        <v>41</v>
      </c>
      <c r="B89" s="48" t="s">
        <v>44</v>
      </c>
      <c r="C89" s="62">
        <v>0</v>
      </c>
      <c r="D89" s="51">
        <v>0</v>
      </c>
      <c r="E89" s="35">
        <f t="shared" si="56"/>
        <v>0</v>
      </c>
      <c r="F89" s="62">
        <v>0</v>
      </c>
      <c r="G89" s="51">
        <v>0</v>
      </c>
      <c r="H89" s="41">
        <f t="shared" si="57"/>
        <v>0</v>
      </c>
      <c r="I89" s="54">
        <v>0</v>
      </c>
      <c r="J89" s="119">
        <f t="shared" si="58"/>
        <v>0</v>
      </c>
      <c r="K89" s="51">
        <v>0</v>
      </c>
      <c r="L89" s="41">
        <f t="shared" si="59"/>
        <v>0</v>
      </c>
      <c r="M89" s="36">
        <f t="shared" si="60"/>
        <v>0</v>
      </c>
      <c r="N89" s="41">
        <f t="shared" si="61"/>
        <v>0</v>
      </c>
      <c r="O89" s="43"/>
    </row>
    <row r="90" spans="1:15" x14ac:dyDescent="0.2">
      <c r="A90" s="59" t="s">
        <v>42</v>
      </c>
      <c r="B90" s="48" t="s">
        <v>43</v>
      </c>
      <c r="C90" s="62">
        <v>4.42</v>
      </c>
      <c r="D90" s="51">
        <f>+D88</f>
        <v>284</v>
      </c>
      <c r="E90" s="35">
        <f t="shared" si="56"/>
        <v>1255.28</v>
      </c>
      <c r="F90" s="62">
        <v>5.17</v>
      </c>
      <c r="G90" s="51">
        <f>+G88</f>
        <v>3741</v>
      </c>
      <c r="H90" s="41">
        <f t="shared" si="57"/>
        <v>19340.97</v>
      </c>
      <c r="I90" s="54">
        <f>+I88</f>
        <v>3690</v>
      </c>
      <c r="J90" s="119">
        <f t="shared" si="58"/>
        <v>19077.3</v>
      </c>
      <c r="K90" s="51">
        <f>+K88</f>
        <v>1088</v>
      </c>
      <c r="L90" s="41">
        <f t="shared" si="59"/>
        <v>5624.96</v>
      </c>
      <c r="M90" s="36">
        <f t="shared" si="60"/>
        <v>8803</v>
      </c>
      <c r="N90" s="41">
        <f t="shared" si="61"/>
        <v>45298.51</v>
      </c>
      <c r="O90" s="43"/>
    </row>
    <row r="91" spans="1:15" x14ac:dyDescent="0.2">
      <c r="A91" s="59" t="s">
        <v>17</v>
      </c>
      <c r="B91" s="48" t="s">
        <v>23</v>
      </c>
      <c r="C91" s="62">
        <v>41.89</v>
      </c>
      <c r="D91" s="51">
        <f>+D88</f>
        <v>284</v>
      </c>
      <c r="E91" s="35">
        <f t="shared" si="56"/>
        <v>11896.76</v>
      </c>
      <c r="F91" s="62">
        <v>44.38</v>
      </c>
      <c r="G91" s="51">
        <f>+G88</f>
        <v>3741</v>
      </c>
      <c r="H91" s="41">
        <f t="shared" si="57"/>
        <v>166025.58000000002</v>
      </c>
      <c r="I91" s="54">
        <f>+I88</f>
        <v>3690</v>
      </c>
      <c r="J91" s="119">
        <f t="shared" si="58"/>
        <v>163762.20000000001</v>
      </c>
      <c r="K91" s="51">
        <f>+K90</f>
        <v>1088</v>
      </c>
      <c r="L91" s="41">
        <f t="shared" si="59"/>
        <v>48285.440000000002</v>
      </c>
      <c r="M91" s="36">
        <f t="shared" si="60"/>
        <v>8803</v>
      </c>
      <c r="N91" s="41">
        <f t="shared" si="61"/>
        <v>389969.98000000004</v>
      </c>
      <c r="O91" s="43"/>
    </row>
    <row r="92" spans="1:15" x14ac:dyDescent="0.2">
      <c r="A92" s="59" t="s">
        <v>24</v>
      </c>
      <c r="B92" s="55" t="s">
        <v>45</v>
      </c>
      <c r="C92" s="62">
        <v>2.44</v>
      </c>
      <c r="D92" s="51">
        <f>+D91</f>
        <v>284</v>
      </c>
      <c r="E92" s="35">
        <f t="shared" si="56"/>
        <v>692.96</v>
      </c>
      <c r="F92" s="62">
        <v>2.44</v>
      </c>
      <c r="G92" s="51">
        <f>+G91</f>
        <v>3741</v>
      </c>
      <c r="H92" s="41">
        <f t="shared" si="57"/>
        <v>9128.0399999999991</v>
      </c>
      <c r="I92" s="54">
        <f>+I91</f>
        <v>3690</v>
      </c>
      <c r="J92" s="119">
        <f t="shared" si="58"/>
        <v>9003.6</v>
      </c>
      <c r="K92" s="51">
        <f>+K91</f>
        <v>1088</v>
      </c>
      <c r="L92" s="41">
        <f t="shared" si="59"/>
        <v>2654.72</v>
      </c>
      <c r="M92" s="36">
        <f t="shared" si="60"/>
        <v>8803</v>
      </c>
      <c r="N92" s="41">
        <f t="shared" si="61"/>
        <v>21479.32</v>
      </c>
      <c r="O92" s="43"/>
    </row>
    <row r="93" spans="1:15" x14ac:dyDescent="0.2">
      <c r="A93" s="59" t="s">
        <v>18</v>
      </c>
      <c r="B93" s="48" t="s">
        <v>25</v>
      </c>
      <c r="C93" s="62">
        <v>11.96</v>
      </c>
      <c r="D93" s="51">
        <f>+D92</f>
        <v>284</v>
      </c>
      <c r="E93" s="35">
        <f t="shared" si="56"/>
        <v>3396.6400000000003</v>
      </c>
      <c r="F93" s="62">
        <v>11.96</v>
      </c>
      <c r="G93" s="51">
        <f>+G92</f>
        <v>3741</v>
      </c>
      <c r="H93" s="41">
        <f t="shared" si="57"/>
        <v>44742.36</v>
      </c>
      <c r="I93" s="54">
        <f>+I92</f>
        <v>3690</v>
      </c>
      <c r="J93" s="119">
        <f t="shared" si="58"/>
        <v>44132.4</v>
      </c>
      <c r="K93" s="51">
        <f>+K92</f>
        <v>1088</v>
      </c>
      <c r="L93" s="41">
        <f t="shared" si="59"/>
        <v>13012.480000000001</v>
      </c>
      <c r="M93" s="36">
        <f t="shared" si="60"/>
        <v>8803</v>
      </c>
      <c r="N93" s="41">
        <f t="shared" si="61"/>
        <v>105283.87999999999</v>
      </c>
      <c r="O93" s="43"/>
    </row>
    <row r="94" spans="1:15" x14ac:dyDescent="0.2">
      <c r="A94" s="59" t="s">
        <v>19</v>
      </c>
      <c r="B94" s="48" t="s">
        <v>26</v>
      </c>
      <c r="C94" s="62">
        <v>16.45</v>
      </c>
      <c r="D94" s="51">
        <f>+D93</f>
        <v>284</v>
      </c>
      <c r="E94" s="35">
        <f t="shared" si="56"/>
        <v>4671.8</v>
      </c>
      <c r="F94" s="62">
        <v>16.45</v>
      </c>
      <c r="G94" s="51">
        <f>+G93</f>
        <v>3741</v>
      </c>
      <c r="H94" s="41">
        <f t="shared" si="57"/>
        <v>61539.45</v>
      </c>
      <c r="I94" s="54">
        <f>+I93</f>
        <v>3690</v>
      </c>
      <c r="J94" s="119">
        <f t="shared" si="58"/>
        <v>60700.5</v>
      </c>
      <c r="K94" s="51">
        <f>+K93</f>
        <v>1088</v>
      </c>
      <c r="L94" s="41">
        <f t="shared" si="59"/>
        <v>17897.599999999999</v>
      </c>
      <c r="M94" s="36">
        <f t="shared" si="60"/>
        <v>8803</v>
      </c>
      <c r="N94" s="41">
        <f t="shared" si="61"/>
        <v>144809.35</v>
      </c>
      <c r="O94" s="43"/>
    </row>
    <row r="95" spans="1:15" x14ac:dyDescent="0.2">
      <c r="A95" s="59" t="s">
        <v>27</v>
      </c>
      <c r="B95" s="66" t="s">
        <v>28</v>
      </c>
      <c r="C95" s="67">
        <v>8.9700000000000006</v>
      </c>
      <c r="D95" s="68">
        <f>+D94</f>
        <v>284</v>
      </c>
      <c r="E95" s="85">
        <f t="shared" si="56"/>
        <v>2547.48</v>
      </c>
      <c r="F95" s="67">
        <v>9.42</v>
      </c>
      <c r="G95" s="68">
        <f>+G94</f>
        <v>3741</v>
      </c>
      <c r="H95" s="69">
        <f t="shared" si="57"/>
        <v>35240.22</v>
      </c>
      <c r="I95" s="87">
        <f>+I94</f>
        <v>3690</v>
      </c>
      <c r="J95" s="120">
        <f t="shared" si="58"/>
        <v>34759.800000000003</v>
      </c>
      <c r="K95" s="68">
        <f>+K94</f>
        <v>1088</v>
      </c>
      <c r="L95" s="69">
        <f t="shared" si="59"/>
        <v>10248.959999999999</v>
      </c>
      <c r="M95" s="91">
        <f t="shared" si="60"/>
        <v>8803</v>
      </c>
      <c r="N95" s="69">
        <f t="shared" si="61"/>
        <v>82796.459999999992</v>
      </c>
      <c r="O95" s="43"/>
    </row>
    <row r="96" spans="1:15" x14ac:dyDescent="0.2">
      <c r="A96" s="71" t="s">
        <v>36</v>
      </c>
      <c r="B96" s="72"/>
      <c r="C96" s="73">
        <f>SUM(C88:C95)</f>
        <v>88.45</v>
      </c>
      <c r="D96" s="76"/>
      <c r="E96" s="86">
        <f>SUM(E88:E95)</f>
        <v>25119.8</v>
      </c>
      <c r="F96" s="73">
        <f>SUM(F88:F95)</f>
        <v>92.140000000000015</v>
      </c>
      <c r="G96" s="76"/>
      <c r="H96" s="75">
        <f>SUM(H88:H95)</f>
        <v>344695.74</v>
      </c>
      <c r="I96" s="89"/>
      <c r="J96" s="93">
        <f>SUM(J88:J95)</f>
        <v>339996.60000000003</v>
      </c>
      <c r="K96" s="76"/>
      <c r="L96" s="75">
        <f>SUM(L88:L95)</f>
        <v>100248.32000000001</v>
      </c>
      <c r="M96" s="89">
        <f>SUM(M88:M95)</f>
        <v>61621</v>
      </c>
      <c r="N96" s="93">
        <f>SUM(N88:N95)</f>
        <v>810060.46</v>
      </c>
      <c r="O96" s="43"/>
    </row>
    <row r="97" spans="1:16" x14ac:dyDescent="0.2">
      <c r="A97" s="97" t="s">
        <v>37</v>
      </c>
      <c r="B97" s="32"/>
      <c r="C97" s="63"/>
      <c r="D97" s="70"/>
      <c r="E97" s="33"/>
      <c r="F97" s="107"/>
      <c r="G97" s="108"/>
      <c r="H97" s="40"/>
      <c r="I97" s="109"/>
      <c r="J97" s="118"/>
      <c r="K97" s="108"/>
      <c r="L97" s="40"/>
      <c r="M97" s="92"/>
      <c r="N97" s="44"/>
      <c r="O97" s="43"/>
    </row>
    <row r="98" spans="1:16" x14ac:dyDescent="0.2">
      <c r="A98" s="59" t="s">
        <v>21</v>
      </c>
      <c r="B98" s="48" t="s">
        <v>22</v>
      </c>
      <c r="C98" s="64"/>
      <c r="D98" s="51">
        <f>+D88+D78+D68+D58</f>
        <v>34284</v>
      </c>
      <c r="E98" s="119">
        <f>+E88+E78+E68+E58</f>
        <v>79538.87999999999</v>
      </c>
      <c r="F98" s="62"/>
      <c r="G98" s="51">
        <f t="shared" ref="G98:L105" si="62">+G88+G78+G68+G58</f>
        <v>291735</v>
      </c>
      <c r="H98" s="94">
        <f t="shared" si="62"/>
        <v>676825.2</v>
      </c>
      <c r="I98" s="54">
        <f t="shared" si="62"/>
        <v>273581</v>
      </c>
      <c r="J98" s="119">
        <f t="shared" si="62"/>
        <v>634707.91999999993</v>
      </c>
      <c r="K98" s="51">
        <f t="shared" si="62"/>
        <v>62258</v>
      </c>
      <c r="L98" s="94">
        <f t="shared" si="62"/>
        <v>144438.56</v>
      </c>
      <c r="M98" s="36">
        <f t="shared" ref="M98:M105" si="63">D98+G98+I98+K98</f>
        <v>661858</v>
      </c>
      <c r="N98" s="41">
        <f t="shared" ref="N98:N105" si="64">+E98+H98+J98+L98</f>
        <v>1535510.56</v>
      </c>
      <c r="O98" s="43">
        <f t="shared" ref="O98:O105" si="65">+N58+N68+N78+N88</f>
        <v>1535510.5599999996</v>
      </c>
      <c r="P98" s="58">
        <f t="shared" ref="P98:P105" si="66">+O98-N98</f>
        <v>0</v>
      </c>
    </row>
    <row r="99" spans="1:16" x14ac:dyDescent="0.2">
      <c r="A99" s="59" t="s">
        <v>41</v>
      </c>
      <c r="B99" s="48" t="s">
        <v>44</v>
      </c>
      <c r="C99" s="64"/>
      <c r="D99" s="51">
        <f>+D89+D79+D69+D59</f>
        <v>32031</v>
      </c>
      <c r="E99" s="119">
        <f t="shared" ref="D99:E105" si="67">+E89+E79+E69+E59</f>
        <v>409996.80000000005</v>
      </c>
      <c r="F99" s="62"/>
      <c r="G99" s="51">
        <f t="shared" si="62"/>
        <v>263564</v>
      </c>
      <c r="H99" s="94">
        <f t="shared" si="62"/>
        <v>5645540.8800000008</v>
      </c>
      <c r="I99" s="54">
        <f t="shared" si="62"/>
        <v>246006</v>
      </c>
      <c r="J99" s="119">
        <f t="shared" si="62"/>
        <v>5269448.5200000005</v>
      </c>
      <c r="K99" s="51">
        <f t="shared" si="62"/>
        <v>48966</v>
      </c>
      <c r="L99" s="94">
        <f t="shared" si="62"/>
        <v>1048851.72</v>
      </c>
      <c r="M99" s="36">
        <f t="shared" si="63"/>
        <v>590567</v>
      </c>
      <c r="N99" s="41">
        <f t="shared" si="64"/>
        <v>12373837.920000002</v>
      </c>
      <c r="O99" s="43">
        <f t="shared" si="65"/>
        <v>12373837.920000004</v>
      </c>
      <c r="P99" s="58">
        <f t="shared" si="66"/>
        <v>0</v>
      </c>
    </row>
    <row r="100" spans="1:16" x14ac:dyDescent="0.2">
      <c r="A100" s="59" t="s">
        <v>42</v>
      </c>
      <c r="B100" s="48" t="s">
        <v>43</v>
      </c>
      <c r="C100" s="64"/>
      <c r="D100" s="51">
        <f t="shared" si="67"/>
        <v>34284</v>
      </c>
      <c r="E100" s="119">
        <f t="shared" si="67"/>
        <v>151535.28</v>
      </c>
      <c r="F100" s="62"/>
      <c r="G100" s="51">
        <f t="shared" si="62"/>
        <v>291735</v>
      </c>
      <c r="H100" s="94">
        <f t="shared" si="62"/>
        <v>1508269.9500000002</v>
      </c>
      <c r="I100" s="54">
        <f t="shared" si="62"/>
        <v>273581</v>
      </c>
      <c r="J100" s="119">
        <f t="shared" si="62"/>
        <v>1414413.77</v>
      </c>
      <c r="K100" s="51">
        <f t="shared" si="62"/>
        <v>62258</v>
      </c>
      <c r="L100" s="94">
        <f t="shared" si="62"/>
        <v>321873.86</v>
      </c>
      <c r="M100" s="36">
        <f t="shared" si="63"/>
        <v>661858</v>
      </c>
      <c r="N100" s="41">
        <f t="shared" si="64"/>
        <v>3396092.86</v>
      </c>
      <c r="O100" s="43">
        <f t="shared" si="65"/>
        <v>3396092.86</v>
      </c>
      <c r="P100" s="58">
        <f t="shared" si="66"/>
        <v>0</v>
      </c>
    </row>
    <row r="101" spans="1:16" x14ac:dyDescent="0.2">
      <c r="A101" s="59" t="s">
        <v>17</v>
      </c>
      <c r="B101" s="48" t="s">
        <v>23</v>
      </c>
      <c r="C101" s="64"/>
      <c r="D101" s="51">
        <f t="shared" si="67"/>
        <v>34284</v>
      </c>
      <c r="E101" s="119">
        <f t="shared" si="67"/>
        <v>208170.08</v>
      </c>
      <c r="F101" s="62"/>
      <c r="G101" s="51">
        <f t="shared" si="62"/>
        <v>291735</v>
      </c>
      <c r="H101" s="94">
        <f t="shared" si="62"/>
        <v>2170286.02</v>
      </c>
      <c r="I101" s="54">
        <f t="shared" si="62"/>
        <v>273581</v>
      </c>
      <c r="J101" s="119">
        <f t="shared" si="62"/>
        <v>2055780.25</v>
      </c>
      <c r="K101" s="51">
        <f t="shared" si="62"/>
        <v>62258</v>
      </c>
      <c r="L101" s="94">
        <f t="shared" si="62"/>
        <v>503905.37</v>
      </c>
      <c r="M101" s="36">
        <f t="shared" si="63"/>
        <v>661858</v>
      </c>
      <c r="N101" s="41">
        <f t="shared" si="64"/>
        <v>4938141.72</v>
      </c>
      <c r="O101" s="43">
        <f t="shared" si="65"/>
        <v>4938141.7200000007</v>
      </c>
      <c r="P101" s="58">
        <f t="shared" si="66"/>
        <v>0</v>
      </c>
    </row>
    <row r="102" spans="1:16" x14ac:dyDescent="0.2">
      <c r="A102" s="59" t="s">
        <v>24</v>
      </c>
      <c r="B102" s="55" t="s">
        <v>45</v>
      </c>
      <c r="C102" s="64"/>
      <c r="D102" s="51">
        <f t="shared" si="67"/>
        <v>34284</v>
      </c>
      <c r="E102" s="119">
        <f t="shared" si="67"/>
        <v>83652.959999999992</v>
      </c>
      <c r="F102" s="62"/>
      <c r="G102" s="51">
        <f t="shared" si="62"/>
        <v>291735</v>
      </c>
      <c r="H102" s="94">
        <f t="shared" si="62"/>
        <v>711833.4</v>
      </c>
      <c r="I102" s="54">
        <f t="shared" si="62"/>
        <v>273581</v>
      </c>
      <c r="J102" s="119">
        <f t="shared" si="62"/>
        <v>667537.64</v>
      </c>
      <c r="K102" s="51">
        <f t="shared" si="62"/>
        <v>62258</v>
      </c>
      <c r="L102" s="94">
        <f t="shared" si="62"/>
        <v>151909.52000000002</v>
      </c>
      <c r="M102" s="36">
        <f t="shared" si="63"/>
        <v>661858</v>
      </c>
      <c r="N102" s="41">
        <f t="shared" si="64"/>
        <v>1614933.52</v>
      </c>
      <c r="O102" s="43">
        <f t="shared" si="65"/>
        <v>1614933.5199999998</v>
      </c>
      <c r="P102" s="58">
        <f t="shared" si="66"/>
        <v>0</v>
      </c>
    </row>
    <row r="103" spans="1:16" x14ac:dyDescent="0.2">
      <c r="A103" s="59" t="s">
        <v>18</v>
      </c>
      <c r="B103" s="48" t="s">
        <v>25</v>
      </c>
      <c r="C103" s="64"/>
      <c r="D103" s="51">
        <f t="shared" si="67"/>
        <v>34284</v>
      </c>
      <c r="E103" s="119">
        <f t="shared" si="67"/>
        <v>410036.64</v>
      </c>
      <c r="F103" s="62"/>
      <c r="G103" s="51">
        <f t="shared" si="62"/>
        <v>291735</v>
      </c>
      <c r="H103" s="94">
        <f t="shared" si="62"/>
        <v>3489150.6000000006</v>
      </c>
      <c r="I103" s="54">
        <f t="shared" si="62"/>
        <v>273581</v>
      </c>
      <c r="J103" s="119">
        <f t="shared" si="62"/>
        <v>3272028.7600000002</v>
      </c>
      <c r="K103" s="51">
        <f t="shared" si="62"/>
        <v>62258</v>
      </c>
      <c r="L103" s="94">
        <f t="shared" si="62"/>
        <v>744605.68</v>
      </c>
      <c r="M103" s="36">
        <f t="shared" si="63"/>
        <v>661858</v>
      </c>
      <c r="N103" s="41">
        <f t="shared" si="64"/>
        <v>7915821.6800000006</v>
      </c>
      <c r="O103" s="43">
        <f t="shared" si="65"/>
        <v>7915821.6800000016</v>
      </c>
      <c r="P103" s="58">
        <f t="shared" si="66"/>
        <v>0</v>
      </c>
    </row>
    <row r="104" spans="1:16" x14ac:dyDescent="0.2">
      <c r="A104" s="59" t="s">
        <v>19</v>
      </c>
      <c r="B104" s="48" t="s">
        <v>26</v>
      </c>
      <c r="C104" s="64"/>
      <c r="D104" s="51">
        <f t="shared" si="67"/>
        <v>34284</v>
      </c>
      <c r="E104" s="119">
        <f t="shared" si="67"/>
        <v>563971.79999999993</v>
      </c>
      <c r="F104" s="62"/>
      <c r="G104" s="51">
        <f t="shared" si="62"/>
        <v>291735</v>
      </c>
      <c r="H104" s="94">
        <f t="shared" si="62"/>
        <v>4799040.75</v>
      </c>
      <c r="I104" s="54">
        <f t="shared" si="62"/>
        <v>273581</v>
      </c>
      <c r="J104" s="119">
        <f t="shared" si="62"/>
        <v>4500407.45</v>
      </c>
      <c r="K104" s="51">
        <f t="shared" si="62"/>
        <v>62258</v>
      </c>
      <c r="L104" s="94">
        <f t="shared" si="62"/>
        <v>1024144.1</v>
      </c>
      <c r="M104" s="36">
        <f t="shared" si="63"/>
        <v>661858</v>
      </c>
      <c r="N104" s="41">
        <f t="shared" si="64"/>
        <v>10887564.1</v>
      </c>
      <c r="O104" s="43">
        <f t="shared" si="65"/>
        <v>10887564.1</v>
      </c>
      <c r="P104" s="58">
        <f t="shared" si="66"/>
        <v>0</v>
      </c>
    </row>
    <row r="105" spans="1:16" x14ac:dyDescent="0.2">
      <c r="A105" s="59" t="s">
        <v>27</v>
      </c>
      <c r="B105" s="66" t="s">
        <v>28</v>
      </c>
      <c r="C105" s="81"/>
      <c r="D105" s="68">
        <f t="shared" si="67"/>
        <v>34284</v>
      </c>
      <c r="E105" s="120">
        <f t="shared" si="67"/>
        <v>307527.48000000004</v>
      </c>
      <c r="F105" s="67"/>
      <c r="G105" s="68">
        <f t="shared" si="62"/>
        <v>291735</v>
      </c>
      <c r="H105" s="95">
        <f t="shared" si="62"/>
        <v>2748143.6999999997</v>
      </c>
      <c r="I105" s="87">
        <f t="shared" si="62"/>
        <v>273581</v>
      </c>
      <c r="J105" s="120">
        <f t="shared" si="62"/>
        <v>2577133.02</v>
      </c>
      <c r="K105" s="68">
        <f t="shared" si="62"/>
        <v>62258</v>
      </c>
      <c r="L105" s="95">
        <f t="shared" si="62"/>
        <v>586470.36</v>
      </c>
      <c r="M105" s="36">
        <f t="shared" si="63"/>
        <v>661858</v>
      </c>
      <c r="N105" s="41">
        <f t="shared" si="64"/>
        <v>6219274.5599999996</v>
      </c>
      <c r="O105" s="116">
        <f t="shared" si="65"/>
        <v>6219274.5599999996</v>
      </c>
      <c r="P105" s="58">
        <f t="shared" si="66"/>
        <v>0</v>
      </c>
    </row>
    <row r="106" spans="1:16" x14ac:dyDescent="0.2">
      <c r="A106" s="77" t="s">
        <v>2</v>
      </c>
      <c r="B106" s="78"/>
      <c r="C106" s="82"/>
      <c r="D106" s="79"/>
      <c r="E106" s="121">
        <f>SUM(E98:E105)</f>
        <v>2214429.92</v>
      </c>
      <c r="F106" s="80"/>
      <c r="G106" s="79"/>
      <c r="H106" s="96">
        <f>SUM(H98:H105)</f>
        <v>21749090.5</v>
      </c>
      <c r="I106" s="90"/>
      <c r="J106" s="96">
        <f>SUM(J98:J105)</f>
        <v>20391457.330000002</v>
      </c>
      <c r="K106" s="79"/>
      <c r="L106" s="96">
        <f>SUM(L98:L105)</f>
        <v>4526199.1700000009</v>
      </c>
      <c r="M106" s="90"/>
      <c r="N106" s="96">
        <f>SUM(N98:N105)</f>
        <v>48881176.920000002</v>
      </c>
      <c r="O106" s="43">
        <f>SUM(O98:O105)</f>
        <v>48881176.920000009</v>
      </c>
    </row>
    <row r="107" spans="1:16" x14ac:dyDescent="0.2">
      <c r="A107" s="5"/>
      <c r="B107" s="60"/>
      <c r="C107" s="5"/>
      <c r="D107" s="5"/>
      <c r="E107" s="17">
        <f>+E96+E86+E76+E66</f>
        <v>2214429.92</v>
      </c>
      <c r="F107" s="43"/>
      <c r="G107" s="50"/>
      <c r="H107" s="39">
        <f>+H96+H86+H76+H66</f>
        <v>21749090.500000004</v>
      </c>
      <c r="I107" s="50"/>
      <c r="J107" s="17">
        <f>+J96+J86+J76+J66</f>
        <v>20391457.329999998</v>
      </c>
      <c r="K107" s="50"/>
      <c r="L107" s="39">
        <f>+L96+L86+L76+L66</f>
        <v>4526199.17</v>
      </c>
      <c r="M107" s="15"/>
      <c r="N107" s="17">
        <f>+N96+N86+N76+N66</f>
        <v>48881176.920000009</v>
      </c>
      <c r="O107" s="43">
        <f>+N106-O106</f>
        <v>0</v>
      </c>
    </row>
    <row r="108" spans="1:16" x14ac:dyDescent="0.2">
      <c r="B108" s="30"/>
      <c r="C108" s="2"/>
      <c r="G108" s="52"/>
      <c r="I108" s="52"/>
      <c r="J108" s="52"/>
      <c r="K108" s="52"/>
      <c r="M108" s="16">
        <f>+M99-M98</f>
        <v>-71291</v>
      </c>
      <c r="N108" s="30"/>
    </row>
    <row r="109" spans="1:16" x14ac:dyDescent="0.2">
      <c r="B109" s="30" t="s">
        <v>52</v>
      </c>
      <c r="C109" s="2"/>
      <c r="D109" s="122">
        <f>+D99-D98</f>
        <v>-2253</v>
      </c>
      <c r="G109" s="122">
        <f>+G99-G98</f>
        <v>-28171</v>
      </c>
      <c r="I109" s="122">
        <f>+I99-I98</f>
        <v>-27575</v>
      </c>
      <c r="J109" s="52"/>
      <c r="K109" s="122">
        <f>+K99-K98</f>
        <v>-13292</v>
      </c>
      <c r="M109" s="16">
        <f>SUM(D109:L109)</f>
        <v>-71291</v>
      </c>
      <c r="N109" s="30"/>
    </row>
    <row r="110" spans="1:16" x14ac:dyDescent="0.2">
      <c r="C110" s="2"/>
      <c r="G110" s="52"/>
      <c r="I110" s="52"/>
      <c r="J110" s="52"/>
      <c r="K110" s="52"/>
      <c r="M110" s="16">
        <f>+M100-M98</f>
        <v>0</v>
      </c>
      <c r="N110" s="30"/>
    </row>
    <row r="111" spans="1:16" x14ac:dyDescent="0.2">
      <c r="C111" s="2"/>
      <c r="G111" s="52"/>
      <c r="I111" s="52"/>
      <c r="J111" s="52"/>
      <c r="K111" s="52"/>
      <c r="N111" s="30"/>
    </row>
    <row r="112" spans="1:16" x14ac:dyDescent="0.2">
      <c r="C112" s="2"/>
      <c r="G112" s="52"/>
      <c r="I112" s="52"/>
      <c r="J112" s="52"/>
      <c r="K112" s="52"/>
    </row>
    <row r="113" spans="3:15" x14ac:dyDescent="0.2">
      <c r="C113" s="2"/>
      <c r="G113" s="52"/>
      <c r="I113" s="52"/>
      <c r="J113" s="52"/>
      <c r="K113" s="52"/>
    </row>
    <row r="114" spans="3:15" x14ac:dyDescent="0.2">
      <c r="C114" s="2"/>
      <c r="G114" s="52"/>
      <c r="I114" s="52"/>
      <c r="J114" s="52"/>
      <c r="K114" s="52"/>
    </row>
    <row r="115" spans="3:15" x14ac:dyDescent="0.2">
      <c r="C115" s="2"/>
      <c r="G115" s="52"/>
      <c r="I115" s="52"/>
      <c r="J115" s="52"/>
      <c r="K115" s="52"/>
    </row>
    <row r="116" spans="3:15" x14ac:dyDescent="0.2">
      <c r="C116" s="2"/>
      <c r="G116" s="52"/>
      <c r="I116" s="52"/>
      <c r="J116" s="52"/>
      <c r="K116" s="52"/>
    </row>
    <row r="117" spans="3:15" x14ac:dyDescent="0.2">
      <c r="C117" s="2"/>
      <c r="G117" s="52"/>
      <c r="I117" s="52"/>
      <c r="J117" s="52"/>
      <c r="K117" s="52"/>
    </row>
    <row r="118" spans="3:15" x14ac:dyDescent="0.2">
      <c r="C118" s="2"/>
      <c r="G118" s="52"/>
      <c r="I118" s="52"/>
      <c r="J118" s="52"/>
      <c r="K118" s="52"/>
    </row>
    <row r="119" spans="3:15" x14ac:dyDescent="0.2">
      <c r="C119" s="2"/>
      <c r="G119" s="52"/>
      <c r="I119" s="52"/>
      <c r="J119" s="52"/>
      <c r="K119" s="52"/>
      <c r="O119" s="2"/>
    </row>
    <row r="120" spans="3:15" x14ac:dyDescent="0.2">
      <c r="C120" s="2"/>
      <c r="G120" s="52"/>
      <c r="I120" s="52"/>
      <c r="J120" s="52"/>
      <c r="K120" s="52"/>
      <c r="O120" s="2"/>
    </row>
    <row r="121" spans="3:15" x14ac:dyDescent="0.2">
      <c r="C121" s="2"/>
      <c r="G121" s="52"/>
      <c r="I121" s="52"/>
      <c r="J121" s="52"/>
      <c r="K121" s="52"/>
      <c r="O121" s="2"/>
    </row>
    <row r="122" spans="3:15" x14ac:dyDescent="0.2">
      <c r="C122" s="2"/>
      <c r="G122" s="52"/>
      <c r="I122" s="52"/>
      <c r="J122" s="52"/>
      <c r="K122" s="52"/>
      <c r="O122" s="2"/>
    </row>
    <row r="123" spans="3:15" x14ac:dyDescent="0.2">
      <c r="C123" s="2"/>
      <c r="G123" s="52"/>
      <c r="I123" s="52"/>
      <c r="J123" s="52"/>
      <c r="K123" s="52"/>
      <c r="O123" s="2"/>
    </row>
    <row r="124" spans="3:15" x14ac:dyDescent="0.2">
      <c r="C124" s="2"/>
      <c r="G124" s="52"/>
      <c r="I124" s="52"/>
      <c r="J124" s="52"/>
      <c r="K124" s="52"/>
      <c r="O124" s="2"/>
    </row>
    <row r="125" spans="3:15" x14ac:dyDescent="0.2">
      <c r="C125" s="2"/>
      <c r="G125" s="52"/>
      <c r="I125" s="52"/>
      <c r="J125" s="52"/>
      <c r="K125" s="52"/>
      <c r="O125" s="2"/>
    </row>
    <row r="126" spans="3:15" x14ac:dyDescent="0.2">
      <c r="C126" s="2"/>
      <c r="G126" s="52"/>
      <c r="I126" s="52"/>
      <c r="J126" s="52"/>
      <c r="K126" s="52"/>
      <c r="O126" s="2"/>
    </row>
    <row r="127" spans="3:15" x14ac:dyDescent="0.2">
      <c r="C127" s="2"/>
      <c r="G127" s="52"/>
      <c r="I127" s="52"/>
      <c r="J127" s="52"/>
      <c r="K127" s="52"/>
      <c r="O127" s="2"/>
    </row>
    <row r="128" spans="3:15" x14ac:dyDescent="0.2">
      <c r="C128" s="2"/>
      <c r="G128" s="52"/>
      <c r="I128" s="52"/>
      <c r="J128" s="52"/>
      <c r="K128" s="52"/>
      <c r="O128" s="2"/>
    </row>
    <row r="129" spans="3:15" x14ac:dyDescent="0.2">
      <c r="C129" s="2"/>
      <c r="G129" s="52"/>
      <c r="I129" s="52"/>
      <c r="J129" s="52"/>
      <c r="K129" s="52"/>
      <c r="O129" s="2"/>
    </row>
    <row r="130" spans="3:15" x14ac:dyDescent="0.2">
      <c r="C130" s="2"/>
      <c r="G130" s="52"/>
      <c r="I130" s="52"/>
      <c r="J130" s="52"/>
      <c r="K130" s="52"/>
      <c r="O130" s="2"/>
    </row>
    <row r="131" spans="3:15" x14ac:dyDescent="0.2">
      <c r="C131" s="2"/>
      <c r="G131" s="52"/>
      <c r="I131" s="52"/>
      <c r="J131" s="52"/>
      <c r="K131" s="52"/>
      <c r="O131" s="2"/>
    </row>
    <row r="132" spans="3:15" x14ac:dyDescent="0.2">
      <c r="C132" s="2"/>
      <c r="G132" s="52"/>
      <c r="I132" s="52"/>
      <c r="J132" s="52"/>
      <c r="K132" s="52"/>
      <c r="O132" s="2"/>
    </row>
    <row r="133" spans="3:15" x14ac:dyDescent="0.2">
      <c r="C133" s="2"/>
      <c r="G133" s="52"/>
      <c r="I133" s="52"/>
      <c r="J133" s="52"/>
      <c r="K133" s="52"/>
      <c r="O133" s="2"/>
    </row>
    <row r="134" spans="3:15" x14ac:dyDescent="0.2">
      <c r="C134" s="2"/>
      <c r="G134" s="52"/>
      <c r="I134" s="52"/>
      <c r="J134" s="52"/>
      <c r="K134" s="52"/>
      <c r="O134" s="2"/>
    </row>
    <row r="135" spans="3:15" x14ac:dyDescent="0.2">
      <c r="C135" s="2"/>
      <c r="G135" s="52"/>
      <c r="I135" s="52"/>
      <c r="J135" s="52"/>
      <c r="K135" s="52"/>
      <c r="O135" s="2"/>
    </row>
    <row r="136" spans="3:15" x14ac:dyDescent="0.2">
      <c r="C136" s="2"/>
      <c r="G136" s="52"/>
      <c r="I136" s="52"/>
      <c r="J136" s="52"/>
      <c r="K136" s="52"/>
      <c r="O136" s="2"/>
    </row>
    <row r="137" spans="3:15" x14ac:dyDescent="0.2">
      <c r="C137" s="2"/>
      <c r="G137" s="52"/>
      <c r="I137" s="52"/>
      <c r="J137" s="52"/>
      <c r="K137" s="52"/>
      <c r="O137" s="2"/>
    </row>
    <row r="138" spans="3:15" x14ac:dyDescent="0.2">
      <c r="C138" s="2"/>
      <c r="G138" s="52"/>
      <c r="I138" s="52"/>
      <c r="J138" s="52"/>
      <c r="K138" s="52"/>
      <c r="O138" s="2"/>
    </row>
    <row r="139" spans="3:15" x14ac:dyDescent="0.2">
      <c r="C139" s="2"/>
      <c r="G139" s="52"/>
      <c r="I139" s="52"/>
      <c r="J139" s="52"/>
      <c r="K139" s="52"/>
      <c r="O139" s="2"/>
    </row>
    <row r="140" spans="3:15" x14ac:dyDescent="0.2">
      <c r="C140" s="2"/>
      <c r="G140" s="52"/>
      <c r="I140" s="52"/>
      <c r="J140" s="52"/>
      <c r="K140" s="52"/>
      <c r="O140" s="2"/>
    </row>
    <row r="141" spans="3:15" x14ac:dyDescent="0.2">
      <c r="C141" s="2"/>
      <c r="G141" s="52"/>
      <c r="I141" s="52"/>
      <c r="J141" s="52"/>
      <c r="K141" s="52"/>
      <c r="O141" s="2"/>
    </row>
    <row r="142" spans="3:15" x14ac:dyDescent="0.2">
      <c r="C142" s="2"/>
      <c r="G142" s="52"/>
      <c r="I142" s="52"/>
      <c r="J142" s="52"/>
      <c r="K142" s="52"/>
      <c r="O142" s="2"/>
    </row>
    <row r="143" spans="3:15" x14ac:dyDescent="0.2">
      <c r="C143" s="2"/>
      <c r="G143" s="52"/>
      <c r="I143" s="52"/>
      <c r="J143" s="52"/>
      <c r="K143" s="52"/>
      <c r="O143" s="2"/>
    </row>
    <row r="144" spans="3:15" x14ac:dyDescent="0.2">
      <c r="C144" s="2"/>
      <c r="G144" s="52"/>
      <c r="I144" s="52"/>
      <c r="J144" s="52"/>
      <c r="K144" s="52"/>
      <c r="O144" s="2"/>
    </row>
    <row r="145" spans="3:15" x14ac:dyDescent="0.2">
      <c r="C145" s="2"/>
      <c r="G145" s="52"/>
      <c r="I145" s="52"/>
      <c r="J145" s="52"/>
      <c r="K145" s="52"/>
      <c r="O145" s="2"/>
    </row>
    <row r="146" spans="3:15" x14ac:dyDescent="0.2">
      <c r="C146" s="2"/>
      <c r="G146" s="52"/>
      <c r="I146" s="52"/>
      <c r="J146" s="52"/>
      <c r="K146" s="52"/>
      <c r="O146" s="2"/>
    </row>
    <row r="147" spans="3:15" x14ac:dyDescent="0.2">
      <c r="C147" s="2"/>
      <c r="G147" s="52"/>
      <c r="I147" s="52"/>
      <c r="J147" s="52"/>
      <c r="K147" s="52"/>
      <c r="O147" s="2"/>
    </row>
    <row r="148" spans="3:15" x14ac:dyDescent="0.2">
      <c r="C148" s="2"/>
      <c r="G148" s="52"/>
      <c r="I148" s="52"/>
      <c r="J148" s="52"/>
      <c r="K148" s="52"/>
      <c r="O148" s="2"/>
    </row>
    <row r="149" spans="3:15" x14ac:dyDescent="0.2">
      <c r="C149" s="2"/>
      <c r="G149" s="52"/>
      <c r="I149" s="52"/>
      <c r="J149" s="52"/>
      <c r="K149" s="52"/>
      <c r="O149" s="2"/>
    </row>
    <row r="150" spans="3:15" x14ac:dyDescent="0.2">
      <c r="C150" s="2"/>
      <c r="G150" s="52"/>
      <c r="I150" s="52"/>
      <c r="J150" s="52"/>
      <c r="K150" s="52"/>
      <c r="O150" s="2"/>
    </row>
    <row r="151" spans="3:15" x14ac:dyDescent="0.2">
      <c r="C151" s="2"/>
      <c r="G151" s="52"/>
      <c r="I151" s="52"/>
      <c r="J151" s="52"/>
      <c r="K151" s="52"/>
      <c r="O151" s="2"/>
    </row>
    <row r="152" spans="3:15" x14ac:dyDescent="0.2">
      <c r="C152" s="2"/>
      <c r="G152" s="52"/>
      <c r="I152" s="52"/>
      <c r="J152" s="52"/>
      <c r="K152" s="52"/>
      <c r="O152" s="2"/>
    </row>
    <row r="153" spans="3:15" x14ac:dyDescent="0.2">
      <c r="C153" s="2"/>
      <c r="G153" s="52"/>
      <c r="I153" s="52"/>
      <c r="J153" s="52"/>
      <c r="K153" s="52"/>
      <c r="O153" s="2"/>
    </row>
    <row r="154" spans="3:15" x14ac:dyDescent="0.2">
      <c r="C154" s="2"/>
      <c r="G154" s="52"/>
      <c r="I154" s="52"/>
      <c r="J154" s="52"/>
      <c r="K154" s="52"/>
      <c r="O154" s="2"/>
    </row>
    <row r="155" spans="3:15" x14ac:dyDescent="0.2">
      <c r="C155" s="2"/>
      <c r="I155" s="52"/>
      <c r="J155" s="52"/>
      <c r="K155" s="52"/>
      <c r="O155" s="2"/>
    </row>
    <row r="156" spans="3:15" x14ac:dyDescent="0.2">
      <c r="C156" s="2"/>
      <c r="I156" s="52"/>
      <c r="J156" s="52"/>
      <c r="K156" s="52"/>
      <c r="O156" s="2"/>
    </row>
    <row r="157" spans="3:15" x14ac:dyDescent="0.2">
      <c r="C157" s="2"/>
      <c r="I157" s="52"/>
      <c r="J157" s="52"/>
      <c r="K157" s="52"/>
      <c r="O157" s="2"/>
    </row>
    <row r="158" spans="3:15" x14ac:dyDescent="0.2">
      <c r="C158" s="2"/>
      <c r="I158" s="52"/>
      <c r="J158" s="52"/>
      <c r="K158" s="52"/>
      <c r="O158" s="2"/>
    </row>
    <row r="159" spans="3:15" x14ac:dyDescent="0.2">
      <c r="C159" s="2"/>
      <c r="I159" s="52"/>
      <c r="J159" s="52"/>
      <c r="K159" s="52"/>
      <c r="O159" s="2"/>
    </row>
    <row r="160" spans="3:15" x14ac:dyDescent="0.2">
      <c r="C160" s="2"/>
      <c r="I160" s="52"/>
      <c r="J160" s="52"/>
      <c r="K160" s="52"/>
      <c r="O160" s="2"/>
    </row>
    <row r="161" spans="3:15" x14ac:dyDescent="0.2">
      <c r="J161" s="52"/>
      <c r="K161" s="52"/>
      <c r="L161" s="52"/>
      <c r="O161" s="2"/>
    </row>
    <row r="162" spans="3:15" x14ac:dyDescent="0.2">
      <c r="J162" s="52"/>
      <c r="K162" s="52"/>
      <c r="L162" s="52"/>
      <c r="O162" s="2"/>
    </row>
    <row r="163" spans="3:15" x14ac:dyDescent="0.2">
      <c r="J163" s="52"/>
      <c r="K163" s="52"/>
      <c r="L163" s="52"/>
      <c r="O163" s="2"/>
    </row>
    <row r="164" spans="3:15" x14ac:dyDescent="0.2">
      <c r="J164" s="52"/>
      <c r="K164" s="52"/>
      <c r="L164" s="52"/>
      <c r="O164" s="2"/>
    </row>
    <row r="165" spans="3:15" x14ac:dyDescent="0.2">
      <c r="J165" s="52"/>
      <c r="K165" s="52"/>
      <c r="L165" s="52"/>
      <c r="O165" s="2"/>
    </row>
    <row r="166" spans="3:15" x14ac:dyDescent="0.2">
      <c r="J166" s="52"/>
      <c r="K166" s="52"/>
      <c r="L166" s="52"/>
      <c r="O166" s="2"/>
    </row>
    <row r="167" spans="3:15" x14ac:dyDescent="0.2">
      <c r="C167" s="2"/>
      <c r="J167" s="52"/>
      <c r="K167" s="52"/>
      <c r="L167" s="52"/>
      <c r="O167" s="2"/>
    </row>
    <row r="168" spans="3:15" x14ac:dyDescent="0.2">
      <c r="C168" s="2"/>
      <c r="J168" s="52"/>
      <c r="K168" s="52"/>
      <c r="L168" s="52"/>
      <c r="O168" s="2"/>
    </row>
  </sheetData>
  <mergeCells count="16">
    <mergeCell ref="A1:O1"/>
    <mergeCell ref="A2:O2"/>
    <mergeCell ref="A3:O3"/>
    <mergeCell ref="A4:O4"/>
    <mergeCell ref="C7:E7"/>
    <mergeCell ref="G7:H7"/>
    <mergeCell ref="I7:J7"/>
    <mergeCell ref="K7:L7"/>
    <mergeCell ref="M7:O7"/>
    <mergeCell ref="A53:O53"/>
    <mergeCell ref="A54:O54"/>
    <mergeCell ref="C55:E55"/>
    <mergeCell ref="G55:H55"/>
    <mergeCell ref="I55:J55"/>
    <mergeCell ref="K55:L55"/>
    <mergeCell ref="M55:N55"/>
  </mergeCells>
  <pageMargins left="0.5" right="0" top="0.75" bottom="0.75" header="0.3" footer="0.3"/>
  <pageSetup paperSize="5" scale="82" orientation="landscape" r:id="rId1"/>
  <headerFooter>
    <oddFooter>&amp;C&amp;D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2007-08</vt:lpstr>
      <vt:lpstr>2008-09</vt:lpstr>
      <vt:lpstr>2009-10</vt:lpstr>
      <vt:lpstr>2010-11</vt:lpstr>
      <vt:lpstr>2011-12</vt:lpstr>
      <vt:lpstr>'2008-09'!Print_Area</vt:lpstr>
      <vt:lpstr>'2009-10'!Print_Area</vt:lpstr>
      <vt:lpstr>'2010-11'!Print_Area</vt:lpstr>
      <vt:lpstr>'2011-12'!Print_Area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Shi</dc:creator>
  <cp:lastModifiedBy>Jie Shi</cp:lastModifiedBy>
  <cp:lastPrinted>2012-01-19T13:54:25Z</cp:lastPrinted>
  <dcterms:created xsi:type="dcterms:W3CDTF">2007-08-01T13:03:49Z</dcterms:created>
  <dcterms:modified xsi:type="dcterms:W3CDTF">2012-01-31T21:44:39Z</dcterms:modified>
</cp:coreProperties>
</file>