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17145" windowHeight="9945" activeTab="3"/>
  </bookViews>
  <sheets>
    <sheet name="08-09_Final" sheetId="30" r:id="rId1"/>
    <sheet name="09-10_Final" sheetId="39" r:id="rId2"/>
    <sheet name="10-11_Final" sheetId="53" r:id="rId3"/>
    <sheet name="9-8-11" sheetId="54" r:id="rId4"/>
    <sheet name="10-13-11" sheetId="56" r:id="rId5"/>
    <sheet name="11-17-11" sheetId="55" r:id="rId6"/>
    <sheet name="1-18-12" sheetId="57" r:id="rId7"/>
  </sheets>
  <definedNames>
    <definedName name="_xlnm.Print_Area" localSheetId="0">'08-09_Final'!$A$1:$F$79</definedName>
    <definedName name="_xlnm.Print_Area" localSheetId="2">'10-11_Final'!$A$1:$G$68</definedName>
    <definedName name="_xlnm.Print_Area" localSheetId="5">'11-17-11'!$A$1:$H$56</definedName>
    <definedName name="_xlnm.Print_Area" localSheetId="6">'1-18-12'!$A$1:$H$60</definedName>
  </definedNames>
  <calcPr calcId="145621"/>
</workbook>
</file>

<file path=xl/calcChain.xml><?xml version="1.0" encoding="utf-8"?>
<calcChain xmlns="http://schemas.openxmlformats.org/spreadsheetml/2006/main">
  <c r="K24" i="57" l="1"/>
  <c r="E37" i="57" l="1"/>
  <c r="F26" i="57"/>
  <c r="F27" i="57" s="1"/>
  <c r="F25" i="57"/>
  <c r="F24" i="57"/>
  <c r="F23" i="57"/>
  <c r="E33" i="57"/>
  <c r="E27" i="57"/>
  <c r="D27" i="57"/>
  <c r="E46" i="57"/>
  <c r="D46" i="57"/>
  <c r="G45" i="57"/>
  <c r="F44" i="57"/>
  <c r="F46" i="57" s="1"/>
  <c r="E44" i="57"/>
  <c r="F41" i="57"/>
  <c r="G41" i="57" s="1"/>
  <c r="E41" i="57"/>
  <c r="D41" i="57"/>
  <c r="F31" i="57"/>
  <c r="G31" i="57" s="1"/>
  <c r="H31" i="57" s="1"/>
  <c r="D31" i="57"/>
  <c r="E31" i="57"/>
  <c r="D42" i="57"/>
  <c r="D47" i="57" s="1"/>
  <c r="F51" i="57" s="1"/>
  <c r="F53" i="57" s="1"/>
  <c r="F21" i="57"/>
  <c r="G21" i="57" s="1"/>
  <c r="H21" i="57" s="1"/>
  <c r="E21" i="57"/>
  <c r="D21" i="57"/>
  <c r="F15" i="57"/>
  <c r="G15" i="57" s="1"/>
  <c r="H15" i="57" s="1"/>
  <c r="E15" i="57"/>
  <c r="D15" i="57"/>
  <c r="H3" i="57"/>
  <c r="G27" i="57" l="1"/>
  <c r="H27" i="57" s="1"/>
  <c r="E42" i="57"/>
  <c r="E47" i="57" s="1"/>
  <c r="F42" i="57"/>
  <c r="F47" i="57" s="1"/>
  <c r="F54" i="57" s="1"/>
  <c r="H41" i="57"/>
  <c r="G44" i="57"/>
  <c r="G46" i="57" s="1"/>
  <c r="F55" i="57"/>
  <c r="E44" i="56"/>
  <c r="D44" i="56"/>
  <c r="G43" i="56"/>
  <c r="F42" i="56"/>
  <c r="F44" i="56" s="1"/>
  <c r="E42" i="56"/>
  <c r="G39" i="56"/>
  <c r="F39" i="56"/>
  <c r="E39" i="56"/>
  <c r="D39" i="56"/>
  <c r="F29" i="56"/>
  <c r="G29" i="56" s="1"/>
  <c r="H29" i="56" s="1"/>
  <c r="D29" i="56"/>
  <c r="E28" i="56"/>
  <c r="E29" i="56" s="1"/>
  <c r="F25" i="56"/>
  <c r="G25" i="56" s="1"/>
  <c r="H25" i="56" s="1"/>
  <c r="E25" i="56"/>
  <c r="D25" i="56"/>
  <c r="D40" i="56" s="1"/>
  <c r="D45" i="56" s="1"/>
  <c r="F49" i="56" s="1"/>
  <c r="F51" i="56" s="1"/>
  <c r="G21" i="56"/>
  <c r="H21" i="56" s="1"/>
  <c r="F21" i="56"/>
  <c r="E21" i="56"/>
  <c r="D21" i="56"/>
  <c r="F15" i="56"/>
  <c r="G15" i="56" s="1"/>
  <c r="H15" i="56" s="1"/>
  <c r="E15" i="56"/>
  <c r="D15" i="56"/>
  <c r="H3" i="56"/>
  <c r="H42" i="57" l="1"/>
  <c r="G42" i="57"/>
  <c r="G47" i="57" s="1"/>
  <c r="H47" i="57" s="1"/>
  <c r="F56" i="57"/>
  <c r="F57" i="57" s="1"/>
  <c r="E48" i="57"/>
  <c r="H46" i="57"/>
  <c r="E40" i="56"/>
  <c r="G40" i="56"/>
  <c r="E45" i="56"/>
  <c r="F40" i="56"/>
  <c r="F45" i="56" s="1"/>
  <c r="F52" i="56" s="1"/>
  <c r="H39" i="56"/>
  <c r="H40" i="56" s="1"/>
  <c r="G42" i="56"/>
  <c r="G44" i="56" s="1"/>
  <c r="F53" i="56"/>
  <c r="F54" i="56" l="1"/>
  <c r="F55" i="56" s="1"/>
  <c r="E46" i="56"/>
  <c r="G45" i="56"/>
  <c r="H45" i="56" s="1"/>
  <c r="H44" i="56"/>
  <c r="E44" i="55" l="1"/>
  <c r="D44" i="55"/>
  <c r="G43" i="55"/>
  <c r="F42" i="55"/>
  <c r="F44" i="55" s="1"/>
  <c r="E42" i="55"/>
  <c r="G39" i="55"/>
  <c r="F39" i="55"/>
  <c r="E39" i="55"/>
  <c r="D39" i="55"/>
  <c r="F29" i="55"/>
  <c r="G29" i="55" s="1"/>
  <c r="H29" i="55" s="1"/>
  <c r="D29" i="55"/>
  <c r="E28" i="55"/>
  <c r="E29" i="55" s="1"/>
  <c r="F25" i="55"/>
  <c r="G25" i="55" s="1"/>
  <c r="H25" i="55" s="1"/>
  <c r="E25" i="55"/>
  <c r="D25" i="55"/>
  <c r="D40" i="55" s="1"/>
  <c r="D45" i="55" s="1"/>
  <c r="F49" i="55" s="1"/>
  <c r="F51" i="55" s="1"/>
  <c r="G21" i="55"/>
  <c r="H21" i="55" s="1"/>
  <c r="F21" i="55"/>
  <c r="E21" i="55"/>
  <c r="D21" i="55"/>
  <c r="F15" i="55"/>
  <c r="G15" i="55" s="1"/>
  <c r="H15" i="55" s="1"/>
  <c r="E15" i="55"/>
  <c r="D15" i="55"/>
  <c r="H3" i="55"/>
  <c r="E40" i="55" l="1"/>
  <c r="F45" i="55"/>
  <c r="F52" i="55" s="1"/>
  <c r="G40" i="55"/>
  <c r="E45" i="55"/>
  <c r="F40" i="55"/>
  <c r="H39" i="55"/>
  <c r="H40" i="55" s="1"/>
  <c r="G42" i="55"/>
  <c r="G44" i="55" s="1"/>
  <c r="F53" i="55"/>
  <c r="F54" i="55" l="1"/>
  <c r="F55" i="55" s="1"/>
  <c r="E46" i="55"/>
  <c r="G45" i="55"/>
  <c r="H45" i="55" s="1"/>
  <c r="H44" i="55"/>
  <c r="H3" i="54" l="1"/>
  <c r="E28" i="54" l="1"/>
  <c r="F29" i="54" l="1"/>
  <c r="E29" i="54"/>
  <c r="D29" i="54"/>
  <c r="F25" i="54"/>
  <c r="E25" i="54"/>
  <c r="D25" i="54"/>
  <c r="D44" i="54"/>
  <c r="G43" i="54"/>
  <c r="E42" i="54"/>
  <c r="E44" i="54" s="1"/>
  <c r="D39" i="54"/>
  <c r="E39" i="54"/>
  <c r="F21" i="54"/>
  <c r="E21" i="54"/>
  <c r="D21" i="54"/>
  <c r="F15" i="54"/>
  <c r="E15" i="54"/>
  <c r="D15" i="54"/>
  <c r="E53" i="54" l="1"/>
  <c r="G21" i="54"/>
  <c r="H21" i="54" s="1"/>
  <c r="G25" i="54"/>
  <c r="H25" i="54" s="1"/>
  <c r="G29" i="54"/>
  <c r="H29" i="54" s="1"/>
  <c r="E40" i="54"/>
  <c r="E45" i="54" s="1"/>
  <c r="F39" i="54"/>
  <c r="G39" i="54" s="1"/>
  <c r="D40" i="54"/>
  <c r="D45" i="54" s="1"/>
  <c r="E49" i="54" s="1"/>
  <c r="E51" i="54" s="1"/>
  <c r="G15" i="54"/>
  <c r="H15" i="54" s="1"/>
  <c r="F42" i="54"/>
  <c r="F44" i="54" s="1"/>
  <c r="F40" i="54" l="1"/>
  <c r="F45" i="54" s="1"/>
  <c r="H39" i="54"/>
  <c r="G42" i="54"/>
  <c r="G44" i="54" s="1"/>
  <c r="H44" i="54" s="1"/>
  <c r="E66" i="53"/>
  <c r="E58" i="53"/>
  <c r="F60" i="53" s="1"/>
  <c r="F61" i="53" s="1"/>
  <c r="F56" i="53"/>
  <c r="C38" i="53"/>
  <c r="F37" i="53"/>
  <c r="E36" i="53"/>
  <c r="F36" i="53" s="1"/>
  <c r="D35" i="53"/>
  <c r="D38" i="53" s="1"/>
  <c r="E30" i="53"/>
  <c r="E32" i="53" s="1"/>
  <c r="D27" i="53"/>
  <c r="E64" i="53" s="1"/>
  <c r="C27" i="53"/>
  <c r="C32" i="53" s="1"/>
  <c r="D23" i="53"/>
  <c r="D32" i="53" s="1"/>
  <c r="E20" i="53"/>
  <c r="D20" i="53"/>
  <c r="D21" i="53" s="1"/>
  <c r="C20" i="53"/>
  <c r="C21" i="53" s="1"/>
  <c r="E14" i="53"/>
  <c r="D14" i="53"/>
  <c r="C14" i="53"/>
  <c r="G4" i="53"/>
  <c r="C33" i="53" l="1"/>
  <c r="C39" i="53" s="1"/>
  <c r="E49" i="53" s="1"/>
  <c r="E61" i="53" s="1"/>
  <c r="G61" i="53" s="1"/>
  <c r="F20" i="53"/>
  <c r="E35" i="53"/>
  <c r="F35" i="53" s="1"/>
  <c r="F38" i="53" s="1"/>
  <c r="G38" i="53" s="1"/>
  <c r="F65" i="53"/>
  <c r="F14" i="53"/>
  <c r="G14" i="53" s="1"/>
  <c r="E46" i="54"/>
  <c r="E52" i="54"/>
  <c r="E54" i="54" s="1"/>
  <c r="E55" i="54" s="1"/>
  <c r="H40" i="54"/>
  <c r="G40" i="54"/>
  <c r="G45" i="54" s="1"/>
  <c r="H45" i="54" s="1"/>
  <c r="F21" i="53"/>
  <c r="G21" i="53" s="1"/>
  <c r="F32" i="53"/>
  <c r="D33" i="53"/>
  <c r="D39" i="53" s="1"/>
  <c r="E21" i="53"/>
  <c r="E33" i="53" s="1"/>
  <c r="G20" i="53"/>
  <c r="E38" i="53"/>
  <c r="D40" i="53" l="1"/>
  <c r="E62" i="53"/>
  <c r="F33" i="53"/>
  <c r="G32" i="53"/>
  <c r="E39" i="53"/>
  <c r="E40" i="53" s="1"/>
  <c r="G33" i="53" l="1"/>
  <c r="F39" i="53"/>
  <c r="G39" i="53" s="1"/>
  <c r="E67" i="53"/>
  <c r="F62" i="53"/>
  <c r="E63" i="53"/>
  <c r="D26" i="39" l="1"/>
  <c r="D32" i="39" s="1"/>
  <c r="E68" i="39"/>
  <c r="E66" i="39"/>
  <c r="E67" i="39" s="1"/>
  <c r="E64" i="39"/>
  <c r="F59" i="39"/>
  <c r="F56" i="39"/>
  <c r="E38" i="39"/>
  <c r="D38" i="39"/>
  <c r="C38" i="39"/>
  <c r="F37" i="39"/>
  <c r="F36" i="39"/>
  <c r="F35" i="39"/>
  <c r="F38" i="39" s="1"/>
  <c r="C32" i="39"/>
  <c r="E30" i="39"/>
  <c r="E28" i="39"/>
  <c r="E32" i="39" s="1"/>
  <c r="E20" i="39"/>
  <c r="D20" i="39"/>
  <c r="C19" i="39"/>
  <c r="C18" i="39"/>
  <c r="C17" i="39"/>
  <c r="C16" i="39"/>
  <c r="E14" i="39"/>
  <c r="D14" i="39"/>
  <c r="D21" i="39" s="1"/>
  <c r="C13" i="39"/>
  <c r="C12" i="39"/>
  <c r="C11" i="39"/>
  <c r="C10" i="39"/>
  <c r="C14" i="39" l="1"/>
  <c r="F14" i="39" s="1"/>
  <c r="G14" i="39" s="1"/>
  <c r="F32" i="39"/>
  <c r="G32" i="39" s="1"/>
  <c r="D33" i="39"/>
  <c r="C20" i="39"/>
  <c r="E21" i="39"/>
  <c r="E33" i="39" s="1"/>
  <c r="E39" i="39" s="1"/>
  <c r="F60" i="39"/>
  <c r="E69" i="39"/>
  <c r="G38" i="39"/>
  <c r="F20" i="39"/>
  <c r="D39" i="39"/>
  <c r="D25" i="30"/>
  <c r="D27" i="30"/>
  <c r="D32" i="30"/>
  <c r="D20" i="30"/>
  <c r="D13" i="30"/>
  <c r="D14" i="30"/>
  <c r="D35" i="30"/>
  <c r="D38" i="30"/>
  <c r="D39" i="30"/>
  <c r="D43" i="30"/>
  <c r="D51" i="30"/>
  <c r="C52" i="30"/>
  <c r="C32" i="30"/>
  <c r="C16" i="30"/>
  <c r="F16" i="30" s="1"/>
  <c r="C17" i="30"/>
  <c r="C20" i="30" s="1"/>
  <c r="C18" i="30"/>
  <c r="C19" i="30"/>
  <c r="C10" i="30"/>
  <c r="F10" i="30" s="1"/>
  <c r="C11" i="30"/>
  <c r="C14" i="30" s="1"/>
  <c r="C12" i="30"/>
  <c r="C13" i="30"/>
  <c r="F70" i="30"/>
  <c r="E35" i="30"/>
  <c r="E52" i="30" s="1"/>
  <c r="E32" i="30"/>
  <c r="E20" i="30"/>
  <c r="E21" i="30" s="1"/>
  <c r="E33" i="30" s="1"/>
  <c r="E14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24" i="30"/>
  <c r="F25" i="30"/>
  <c r="F26" i="30"/>
  <c r="F27" i="30"/>
  <c r="F28" i="30"/>
  <c r="F29" i="30"/>
  <c r="F30" i="30"/>
  <c r="F31" i="30"/>
  <c r="F18" i="30"/>
  <c r="F19" i="30"/>
  <c r="F12" i="30"/>
  <c r="F13" i="30"/>
  <c r="F5" i="30"/>
  <c r="E53" i="30" l="1"/>
  <c r="F35" i="30"/>
  <c r="F52" i="30" s="1"/>
  <c r="D21" i="30"/>
  <c r="D33" i="30" s="1"/>
  <c r="C21" i="39"/>
  <c r="C33" i="39" s="1"/>
  <c r="C39" i="39" s="1"/>
  <c r="F11" i="30"/>
  <c r="F14" i="30" s="1"/>
  <c r="F17" i="30"/>
  <c r="F20" i="30" s="1"/>
  <c r="F21" i="30" s="1"/>
  <c r="G21" i="30" s="1"/>
  <c r="F32" i="30"/>
  <c r="D52" i="30"/>
  <c r="C21" i="30"/>
  <c r="C33" i="30" s="1"/>
  <c r="C53" i="30" s="1"/>
  <c r="E63" i="30" s="1"/>
  <c r="E72" i="30" s="1"/>
  <c r="E49" i="39"/>
  <c r="E60" i="39" s="1"/>
  <c r="E40" i="39"/>
  <c r="D40" i="39"/>
  <c r="E61" i="39"/>
  <c r="F21" i="39"/>
  <c r="G20" i="39"/>
  <c r="F33" i="30" l="1"/>
  <c r="D53" i="30"/>
  <c r="G53" i="30"/>
  <c r="G21" i="39"/>
  <c r="F33" i="39"/>
  <c r="F61" i="39"/>
  <c r="E65" i="39"/>
  <c r="F63" i="39"/>
  <c r="D54" i="30" l="1"/>
  <c r="E73" i="30"/>
  <c r="E75" i="30" s="1"/>
  <c r="G33" i="30"/>
  <c r="F53" i="30"/>
  <c r="G33" i="39"/>
  <c r="F39" i="39"/>
  <c r="G39" i="39" s="1"/>
</calcChain>
</file>

<file path=xl/sharedStrings.xml><?xml version="1.0" encoding="utf-8"?>
<sst xmlns="http://schemas.openxmlformats.org/spreadsheetml/2006/main" count="512" uniqueCount="166">
  <si>
    <t>FLORIDA ATLANTIC UNIVERSITY</t>
  </si>
  <si>
    <t>EDUCATION &amp; GENERAL - STUDENT FEE TRUST FUND</t>
  </si>
  <si>
    <t>Late Registration/Payment</t>
  </si>
  <si>
    <t xml:space="preserve">PROJECTION SUMMARY </t>
  </si>
  <si>
    <t>BUDGET TARGET - FBOE BUDGET OFFICE</t>
  </si>
  <si>
    <t>SURPLUS/DEFICIT</t>
  </si>
  <si>
    <t>(D) The 05-06 Budget appropriated was $68,775,509.  The University chose to hold back $638,291 pending additional</t>
  </si>
  <si>
    <t xml:space="preserve">ITF BUDGET TARGET - FAU BOT </t>
  </si>
  <si>
    <t>Certificate exemptions</t>
  </si>
  <si>
    <t>Linkage exemptions</t>
  </si>
  <si>
    <t>Road to independent exemptions</t>
  </si>
  <si>
    <t>Special program exemptions</t>
  </si>
  <si>
    <t>International exemptions</t>
  </si>
  <si>
    <t>FAU/Non-SUS employee exemptions</t>
  </si>
  <si>
    <t>Early admission student exemptions</t>
  </si>
  <si>
    <t>Early admit lab fee exemptions</t>
  </si>
  <si>
    <t>Firefighter dependent exemptions</t>
  </si>
  <si>
    <t>State  waiver authority</t>
  </si>
  <si>
    <t>High school exemptions</t>
  </si>
  <si>
    <t>Late fee exemptions</t>
  </si>
  <si>
    <t>Late registration fee exemptions</t>
  </si>
  <si>
    <t>Law enforcement exemptions</t>
  </si>
  <si>
    <t>Veteran medal exemptions</t>
  </si>
  <si>
    <t>Total Budgeted</t>
  </si>
  <si>
    <t>2008 - 2009</t>
  </si>
  <si>
    <t>Total In-state</t>
  </si>
  <si>
    <t>Total out-of-state</t>
  </si>
  <si>
    <t>Lower</t>
  </si>
  <si>
    <t>Upper</t>
  </si>
  <si>
    <t>Graduate</t>
  </si>
  <si>
    <t>Thesis</t>
  </si>
  <si>
    <t>Increase/</t>
  </si>
  <si>
    <t>Decrease</t>
  </si>
  <si>
    <t>Total Tuitions and Fees Exemptions</t>
  </si>
  <si>
    <t>Prior-Year Revenue</t>
  </si>
  <si>
    <t>Library Fines</t>
  </si>
  <si>
    <t>Research Overhead</t>
  </si>
  <si>
    <t>Miscellaneous Fees</t>
  </si>
  <si>
    <t>Other Revenue</t>
  </si>
  <si>
    <t>Total Other Revenue</t>
  </si>
  <si>
    <t>Projected Rev.</t>
  </si>
  <si>
    <t>Based on Credit hr</t>
  </si>
  <si>
    <t>Report</t>
  </si>
  <si>
    <t xml:space="preserve">Based on </t>
  </si>
  <si>
    <t>Allocations</t>
  </si>
  <si>
    <t>Out-Of-State Tuitions:</t>
  </si>
  <si>
    <t>In-State Tuitions:</t>
  </si>
  <si>
    <t>Total Revenue</t>
  </si>
  <si>
    <t xml:space="preserve">Total Tuitions   </t>
  </si>
  <si>
    <t>Application Fees</t>
  </si>
  <si>
    <t>(C) The initial appropriation was $76,094,026 which included an additional $1,000,000 to be available from "other" sources</t>
  </si>
  <si>
    <t>such as prior years unexpended surplus.</t>
  </si>
  <si>
    <t>enrollment which did not materialize. In 2007-08 and 2008-09, this amount was also held back.</t>
  </si>
  <si>
    <t>(E) Additional Notes:</t>
  </si>
  <si>
    <t>Descriptions</t>
  </si>
  <si>
    <t>Types</t>
  </si>
  <si>
    <t>(B) Projected exemptions and other fees include an estimate based on prior year amounts or actual as most relevant.</t>
  </si>
  <si>
    <t xml:space="preserve">                 Less Funding Held Pending Student Collections:</t>
  </si>
  <si>
    <t>05-06 Annualization of Change In Mix</t>
  </si>
  <si>
    <t>05-06 Estimated Student Fund Surplus/Excess</t>
  </si>
  <si>
    <t>04-05 Prior Year Additional Funding Held</t>
  </si>
  <si>
    <t>06-07 Change In Mix</t>
  </si>
  <si>
    <t>06-07 3% non-undergraduate increase</t>
  </si>
  <si>
    <t>07-08 BOT tuition increase on hold</t>
  </si>
  <si>
    <t>Miscellaneous fee exemption</t>
  </si>
  <si>
    <t>Carry forward &amp; Excess Fees</t>
  </si>
  <si>
    <t>Net Revenue</t>
  </si>
  <si>
    <t>Current Yr. Revenue % of Projection</t>
  </si>
  <si>
    <t>Actual  Rev.</t>
  </si>
  <si>
    <t>Booked in</t>
  </si>
  <si>
    <t>Banner</t>
  </si>
  <si>
    <t>Tuitions and Fees Exemptions  Booked in Banner</t>
  </si>
  <si>
    <t>Data sources:</t>
  </si>
  <si>
    <t>Credit Hour report - IRM NWRC</t>
  </si>
  <si>
    <t>Actual Revenue booked - Banner FGIBDSR</t>
  </si>
  <si>
    <t>Exemptions - Banner - FGIBDSR</t>
  </si>
  <si>
    <t>Compare Budget</t>
  </si>
  <si>
    <t>Total Revenue Booked -----------&gt;&gt;&gt;</t>
  </si>
  <si>
    <t>Bad Debt Expense</t>
  </si>
  <si>
    <t>As of June 30, 2009</t>
  </si>
  <si>
    <t>(A) Total 15,015FTEs are used to calculate the "Total Projected Revenue" and is based on the Final Summer, Fall, and  Spring</t>
  </si>
  <si>
    <t>Reciprocal Student Exchange-OIP</t>
  </si>
  <si>
    <t>FINAL</t>
  </si>
  <si>
    <t>2009 - 2010</t>
  </si>
  <si>
    <t>Tuition Differential</t>
  </si>
  <si>
    <t>09-10-Budget authority</t>
  </si>
  <si>
    <t>09-10-7% tuition diff. authority</t>
  </si>
  <si>
    <t>State Mandated Fee Exemptions</t>
  </si>
  <si>
    <t>Net Amount</t>
  </si>
  <si>
    <t>% of Revenue Booked vs. Budget and Projected Rev.</t>
  </si>
  <si>
    <t>(A) Total 15,586 FTEs are used to calculate the "Total Projected Revenue" and is based on the Final Summer, Fall, and  Spring</t>
  </si>
  <si>
    <t>Incr./ Decr.</t>
  </si>
  <si>
    <t>Amount</t>
  </si>
  <si>
    <t>Percent</t>
  </si>
  <si>
    <t xml:space="preserve">Based on Credit </t>
  </si>
  <si>
    <t>Hour Report</t>
  </si>
  <si>
    <t>Total Actual Rev. -----------&gt;&gt;&gt;</t>
  </si>
  <si>
    <t xml:space="preserve">Tui. Diff.-Need based-1st </t>
  </si>
  <si>
    <t>Tui. Diff.-Need based-2nd</t>
  </si>
  <si>
    <t>Banner report (FGRBDSC)</t>
  </si>
  <si>
    <t>Compare with Actual Rev.</t>
  </si>
  <si>
    <t>To cover 2010 Summer Cost</t>
  </si>
  <si>
    <t>Total differential revenue</t>
  </si>
  <si>
    <t>Amount needs to be adjusted</t>
  </si>
  <si>
    <t>30% need based fin. Aid should be</t>
  </si>
  <si>
    <t>Fund transferred as of May 14, 2010</t>
  </si>
  <si>
    <t>As of Aug. 10, 2010</t>
  </si>
  <si>
    <t>2010-11</t>
  </si>
  <si>
    <t>10-11 Budget authority</t>
  </si>
  <si>
    <t>PROJECTED SURPLUS/DEFICIT</t>
  </si>
  <si>
    <t>Data sources: Banner Report (FGRBDSC)</t>
  </si>
  <si>
    <t>30% tui. Diff. for need-based fin. Aid</t>
  </si>
  <si>
    <t>Faculty advisors &amp; promotions</t>
  </si>
  <si>
    <t>BOT Salary increase program cost</t>
  </si>
  <si>
    <t>SFT BUDGET TARGET - Allocated to Unit Base Budget</t>
  </si>
  <si>
    <t>Surplus/Deficit</t>
  </si>
  <si>
    <t>As of Aug. 2, 2011 - FINAL</t>
  </si>
  <si>
    <t>As of Sept. 8, 2011</t>
  </si>
  <si>
    <t>Medical School</t>
  </si>
  <si>
    <t xml:space="preserve">Tuition Diff. </t>
  </si>
  <si>
    <t>BOG Budget</t>
  </si>
  <si>
    <t>In-State Medical</t>
  </si>
  <si>
    <t>Out-of-state Medical</t>
  </si>
  <si>
    <t xml:space="preserve">Total  </t>
  </si>
  <si>
    <t>Total</t>
  </si>
  <si>
    <t>T.D exemption</t>
  </si>
  <si>
    <t>Prepaid adjustment</t>
  </si>
  <si>
    <t>2011-12 E&amp;G - STUDENT FEE TRUST FUND</t>
  </si>
  <si>
    <t>REVENUE</t>
  </si>
  <si>
    <t>FEE EXEMPATIONS</t>
  </si>
  <si>
    <t>REV. vs. EXEMPTION</t>
  </si>
  <si>
    <t>Projection</t>
  </si>
  <si>
    <t>Actuals Booked</t>
  </si>
  <si>
    <t>in Banner</t>
  </si>
  <si>
    <t>B</t>
  </si>
  <si>
    <t xml:space="preserve">A  </t>
  </si>
  <si>
    <t>C</t>
  </si>
  <si>
    <t>Category</t>
  </si>
  <si>
    <t xml:space="preserve">       Descriptions</t>
  </si>
  <si>
    <t>BOG STF Budget</t>
  </si>
  <si>
    <t>D=C-A</t>
  </si>
  <si>
    <t>E=D/A</t>
  </si>
  <si>
    <t>Total Need</t>
  </si>
  <si>
    <t>30% TD Fin. Aid</t>
  </si>
  <si>
    <t>Projected + / -</t>
  </si>
  <si>
    <t>*Data sources: Banner Report (FGRBDSC)</t>
  </si>
  <si>
    <t>Based on Budget</t>
  </si>
  <si>
    <t>For Base Reduction</t>
  </si>
  <si>
    <t>Projection--&gt;&gt;</t>
  </si>
  <si>
    <t>Adj. Projection</t>
  </si>
  <si>
    <t>As of Oct. 13, 2011</t>
  </si>
  <si>
    <t>Need For Base Reduction</t>
  </si>
  <si>
    <t xml:space="preserve">Total Fund Needed </t>
  </si>
  <si>
    <t>*Data sources: Banner Report (FGRBDSC) and IEA Enrollment Report</t>
  </si>
  <si>
    <t>As of Nov. 17, 2011</t>
  </si>
  <si>
    <t>Percent of Actual Rev. compared with BOG Budget</t>
  </si>
  <si>
    <t>As of January 18, 2012</t>
  </si>
  <si>
    <t>Tuition exemptions</t>
  </si>
  <si>
    <t>** Data sources: Banner Report (FGRBDSC) and IEA Enrollment Report</t>
  </si>
  <si>
    <t>Projections</t>
  </si>
  <si>
    <t>Based on SCH</t>
  </si>
  <si>
    <t xml:space="preserve">* Projection is based on the actual student enrollment data provided from IEA (Priliminary for Fall 2011 and Spring 2012), BOG budget </t>
  </si>
  <si>
    <t>for 2012 Summer A &amp; C terms.</t>
  </si>
  <si>
    <t>SCH report total</t>
  </si>
  <si>
    <t xml:space="preserve">Actuals Revenue </t>
  </si>
  <si>
    <t>Booked in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</si>
</sst>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0.0000%"/>
    <numFmt numFmtId="166" formatCode="&quot;$&quot;#,##0"/>
    <numFmt numFmtId="167" formatCode="_(* #,##0_);_(* \(#,##0\);_(* &quot;-&quot;??_);_(@_)"/>
    <numFmt numFmtId="168" formatCode="_(&quot;$&quot;* #,##0_);_(&quot;$&quot;* \(#,##0\);_(&quot;$&quot;* &quot;-&quot;??_);_(@_)"/>
    <numFmt numFmtId="169" formatCode="[$-409]d\-mmm\-yy;@"/>
    <numFmt numFmtId="170" formatCode="0.0%"/>
  </numFmts>
  <fonts count="2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u/>
      <sz val="10"/>
      <name val="Calibri"/>
      <family val="2"/>
    </font>
    <font>
      <sz val="10"/>
      <color indexed="17"/>
      <name val="Calibri"/>
      <family val="2"/>
    </font>
    <font>
      <b/>
      <sz val="10"/>
      <color indexed="10"/>
      <name val="Calibri"/>
      <family val="2"/>
    </font>
    <font>
      <sz val="9"/>
      <name val="Calibri"/>
      <family val="2"/>
    </font>
    <font>
      <b/>
      <u/>
      <sz val="9"/>
      <name val="Calibri"/>
      <family val="2"/>
    </font>
    <font>
      <b/>
      <sz val="9"/>
      <name val="Calibri"/>
      <family val="2"/>
    </font>
    <font>
      <sz val="10"/>
      <color indexed="10"/>
      <name val="Calibri"/>
      <family val="2"/>
    </font>
    <font>
      <sz val="8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8"/>
      <name val="Calibri"/>
      <family val="2"/>
    </font>
    <font>
      <b/>
      <sz val="10"/>
      <color rgb="FFFF0000"/>
      <name val="Calibri"/>
      <family val="2"/>
    </font>
    <font>
      <sz val="8"/>
      <color rgb="FF002060"/>
      <name val="Calibri"/>
      <family val="2"/>
    </font>
    <font>
      <sz val="8"/>
      <color rgb="FFFF0000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9"/>
      <color rgb="FFC00000"/>
      <name val="Calibri"/>
      <family val="2"/>
    </font>
    <font>
      <b/>
      <sz val="9"/>
      <color rgb="FFC00000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b/>
      <i/>
      <sz val="8"/>
      <name val="Calibri"/>
      <family val="2"/>
    </font>
    <font>
      <b/>
      <i/>
      <sz val="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0" fontId="3" fillId="0" borderId="0" xfId="0" applyFont="1" applyAlignment="1" applyProtection="1">
      <alignment horizontal="center"/>
    </xf>
    <xf numFmtId="0" fontId="4" fillId="0" borderId="0" xfId="0" applyFont="1"/>
    <xf numFmtId="0" fontId="4" fillId="0" borderId="0" xfId="0" applyFont="1" applyAlignment="1" applyProtection="1">
      <alignment horizontal="left"/>
    </xf>
    <xf numFmtId="164" fontId="4" fillId="2" borderId="0" xfId="0" applyNumberFormat="1" applyFont="1" applyFill="1"/>
    <xf numFmtId="0" fontId="4" fillId="0" borderId="0" xfId="0" applyFont="1" applyAlignment="1" applyProtection="1">
      <alignment horizontal="center"/>
    </xf>
    <xf numFmtId="37" fontId="4" fillId="0" borderId="0" xfId="0" applyNumberFormat="1" applyFont="1" applyProtection="1"/>
    <xf numFmtId="0" fontId="4" fillId="0" borderId="0" xfId="0" applyFont="1" applyBorder="1" applyAlignment="1" applyProtection="1">
      <alignment horizontal="left"/>
    </xf>
    <xf numFmtId="37" fontId="4" fillId="0" borderId="0" xfId="0" applyNumberFormat="1" applyFont="1" applyBorder="1" applyProtection="1"/>
    <xf numFmtId="0" fontId="3" fillId="0" borderId="0" xfId="0" applyFont="1" applyAlignment="1" applyProtection="1">
      <alignment horizontal="left"/>
    </xf>
    <xf numFmtId="37" fontId="3" fillId="0" borderId="0" xfId="0" applyNumberFormat="1" applyFont="1" applyBorder="1" applyProtection="1"/>
    <xf numFmtId="0" fontId="3" fillId="3" borderId="0" xfId="0" applyFont="1" applyFill="1" applyAlignment="1" applyProtection="1">
      <alignment horizontal="left"/>
    </xf>
    <xf numFmtId="0" fontId="4" fillId="0" borderId="0" xfId="0" applyFont="1" applyProtection="1"/>
    <xf numFmtId="37" fontId="4" fillId="0" borderId="0" xfId="0" applyNumberFormat="1" applyFont="1"/>
    <xf numFmtId="0" fontId="4" fillId="0" borderId="1" xfId="0" applyFont="1" applyBorder="1" applyAlignment="1" applyProtection="1">
      <alignment horizontal="left"/>
    </xf>
    <xf numFmtId="37" fontId="4" fillId="0" borderId="1" xfId="0" applyNumberFormat="1" applyFont="1" applyBorder="1" applyProtection="1"/>
    <xf numFmtId="37" fontId="4" fillId="0" borderId="1" xfId="0" applyNumberFormat="1" applyFont="1" applyFill="1" applyBorder="1" applyProtection="1"/>
    <xf numFmtId="37" fontId="4" fillId="0" borderId="0" xfId="0" applyNumberFormat="1" applyFont="1" applyFill="1" applyProtection="1"/>
    <xf numFmtId="165" fontId="4" fillId="0" borderId="0" xfId="0" applyNumberFormat="1" applyFont="1" applyProtection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167" fontId="4" fillId="0" borderId="0" xfId="1" applyNumberFormat="1" applyFont="1"/>
    <xf numFmtId="10" fontId="4" fillId="0" borderId="0" xfId="0" applyNumberFormat="1" applyFont="1"/>
    <xf numFmtId="3" fontId="4" fillId="0" borderId="0" xfId="0" applyNumberFormat="1" applyFont="1"/>
    <xf numFmtId="37" fontId="6" fillId="0" borderId="0" xfId="0" applyNumberFormat="1" applyFont="1" applyBorder="1" applyProtection="1"/>
    <xf numFmtId="37" fontId="3" fillId="3" borderId="4" xfId="0" applyNumberFormat="1" applyFont="1" applyFill="1" applyBorder="1" applyProtection="1"/>
    <xf numFmtId="0" fontId="3" fillId="0" borderId="0" xfId="0" applyFont="1"/>
    <xf numFmtId="0" fontId="3" fillId="0" borderId="0" xfId="0" applyFont="1" applyFill="1" applyAlignment="1" applyProtection="1">
      <alignment horizontal="left"/>
    </xf>
    <xf numFmtId="37" fontId="3" fillId="0" borderId="0" xfId="0" applyNumberFormat="1" applyFont="1" applyFill="1" applyProtection="1"/>
    <xf numFmtId="37" fontId="4" fillId="0" borderId="0" xfId="0" applyNumberFormat="1" applyFont="1" applyFill="1" applyBorder="1" applyProtection="1"/>
    <xf numFmtId="0" fontId="4" fillId="0" borderId="0" xfId="0" applyFont="1" applyBorder="1" applyProtection="1"/>
    <xf numFmtId="0" fontId="3" fillId="3" borderId="4" xfId="0" applyFont="1" applyFill="1" applyBorder="1" applyAlignment="1" applyProtection="1">
      <alignment horizontal="left"/>
    </xf>
    <xf numFmtId="0" fontId="3" fillId="4" borderId="5" xfId="0" applyFont="1" applyFill="1" applyBorder="1" applyAlignment="1" applyProtection="1">
      <alignment horizontal="left"/>
    </xf>
    <xf numFmtId="37" fontId="3" fillId="4" borderId="5" xfId="0" applyNumberFormat="1" applyFont="1" applyFill="1" applyBorder="1" applyProtection="1"/>
    <xf numFmtId="165" fontId="7" fillId="0" borderId="0" xfId="0" applyNumberFormat="1" applyFont="1" applyProtection="1"/>
    <xf numFmtId="0" fontId="7" fillId="0" borderId="0" xfId="0" applyFont="1" applyAlignment="1" applyProtection="1">
      <alignment horizontal="left"/>
    </xf>
    <xf numFmtId="0" fontId="4" fillId="0" borderId="6" xfId="0" applyFont="1" applyBorder="1"/>
    <xf numFmtId="0" fontId="3" fillId="0" borderId="6" xfId="0" applyFont="1" applyBorder="1" applyAlignment="1" applyProtection="1">
      <alignment horizontal="center"/>
    </xf>
    <xf numFmtId="0" fontId="3" fillId="3" borderId="7" xfId="0" applyFont="1" applyFill="1" applyBorder="1" applyAlignment="1" applyProtection="1">
      <alignment horizontal="left"/>
    </xf>
    <xf numFmtId="37" fontId="3" fillId="3" borderId="7" xfId="0" applyNumberFormat="1" applyFont="1" applyFill="1" applyBorder="1" applyProtection="1"/>
    <xf numFmtId="0" fontId="3" fillId="4" borderId="5" xfId="0" applyFont="1" applyFill="1" applyBorder="1"/>
    <xf numFmtId="0" fontId="3" fillId="0" borderId="1" xfId="0" applyFont="1" applyBorder="1"/>
    <xf numFmtId="37" fontId="3" fillId="0" borderId="0" xfId="0" applyNumberFormat="1" applyFont="1" applyProtection="1"/>
    <xf numFmtId="0" fontId="4" fillId="0" borderId="8" xfId="0" applyFont="1" applyBorder="1"/>
    <xf numFmtId="0" fontId="4" fillId="0" borderId="9" xfId="0" applyFont="1" applyBorder="1" applyAlignment="1" applyProtection="1">
      <alignment horizontal="left"/>
    </xf>
    <xf numFmtId="0" fontId="4" fillId="0" borderId="10" xfId="0" applyFont="1" applyBorder="1"/>
    <xf numFmtId="0" fontId="4" fillId="0" borderId="11" xfId="0" applyFont="1" applyBorder="1"/>
    <xf numFmtId="0" fontId="4" fillId="0" borderId="8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left"/>
    </xf>
    <xf numFmtId="0" fontId="3" fillId="0" borderId="8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166" fontId="3" fillId="0" borderId="0" xfId="0" applyNumberFormat="1" applyFont="1" applyFill="1" applyBorder="1"/>
    <xf numFmtId="166" fontId="4" fillId="0" borderId="0" xfId="0" applyNumberFormat="1" applyFont="1" applyFill="1" applyBorder="1"/>
    <xf numFmtId="166" fontId="4" fillId="0" borderId="1" xfId="0" applyNumberFormat="1" applyFont="1" applyFill="1" applyBorder="1"/>
    <xf numFmtId="166" fontId="3" fillId="0" borderId="0" xfId="0" applyNumberFormat="1" applyFont="1" applyBorder="1"/>
    <xf numFmtId="166" fontId="3" fillId="0" borderId="8" xfId="0" applyNumberFormat="1" applyFont="1" applyBorder="1"/>
    <xf numFmtId="0" fontId="3" fillId="0" borderId="12" xfId="0" applyFont="1" applyFill="1" applyBorder="1" applyAlignment="1" applyProtection="1">
      <alignment horizontal="left"/>
    </xf>
    <xf numFmtId="0" fontId="3" fillId="4" borderId="6" xfId="0" applyFont="1" applyFill="1" applyBorder="1" applyAlignment="1" applyProtection="1">
      <alignment horizontal="left"/>
    </xf>
    <xf numFmtId="37" fontId="4" fillId="0" borderId="6" xfId="0" applyNumberFormat="1" applyFont="1" applyBorder="1" applyProtection="1"/>
    <xf numFmtId="166" fontId="3" fillId="0" borderId="6" xfId="0" applyNumberFormat="1" applyFont="1" applyFill="1" applyBorder="1"/>
    <xf numFmtId="168" fontId="4" fillId="0" borderId="0" xfId="2" applyNumberFormat="1" applyFont="1" applyBorder="1"/>
    <xf numFmtId="168" fontId="3" fillId="4" borderId="0" xfId="2" applyNumberFormat="1" applyFont="1" applyFill="1" applyBorder="1"/>
    <xf numFmtId="168" fontId="3" fillId="0" borderId="0" xfId="2" applyNumberFormat="1" applyFont="1" applyBorder="1"/>
    <xf numFmtId="168" fontId="3" fillId="4" borderId="6" xfId="2" applyNumberFormat="1" applyFont="1" applyFill="1" applyBorder="1"/>
    <xf numFmtId="0" fontId="3" fillId="5" borderId="5" xfId="0" applyFont="1" applyFill="1" applyBorder="1" applyAlignment="1" applyProtection="1">
      <alignment horizontal="left"/>
    </xf>
    <xf numFmtId="37" fontId="3" fillId="5" borderId="5" xfId="0" applyNumberFormat="1" applyFont="1" applyFill="1" applyBorder="1" applyProtection="1"/>
    <xf numFmtId="0" fontId="7" fillId="0" borderId="0" xfId="0" applyFont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  <xf numFmtId="0" fontId="8" fillId="0" borderId="0" xfId="0" applyFont="1"/>
    <xf numFmtId="0" fontId="8" fillId="0" borderId="0" xfId="0" applyFont="1" applyAlignment="1" applyProtection="1">
      <alignment horizontal="left"/>
    </xf>
    <xf numFmtId="37" fontId="3" fillId="6" borderId="4" xfId="0" applyNumberFormat="1" applyFont="1" applyFill="1" applyBorder="1" applyProtection="1"/>
    <xf numFmtId="37" fontId="3" fillId="6" borderId="7" xfId="0" applyNumberFormat="1" applyFont="1" applyFill="1" applyBorder="1" applyProtection="1"/>
    <xf numFmtId="37" fontId="3" fillId="7" borderId="5" xfId="0" applyNumberFormat="1" applyFont="1" applyFill="1" applyBorder="1" applyProtection="1"/>
    <xf numFmtId="10" fontId="4" fillId="0" borderId="0" xfId="3" applyNumberFormat="1" applyFont="1"/>
    <xf numFmtId="37" fontId="3" fillId="3" borderId="0" xfId="0" applyNumberFormat="1" applyFont="1" applyFill="1" applyProtection="1"/>
    <xf numFmtId="37" fontId="3" fillId="6" borderId="5" xfId="0" applyNumberFormat="1" applyFont="1" applyFill="1" applyBorder="1" applyProtection="1"/>
    <xf numFmtId="168" fontId="3" fillId="6" borderId="0" xfId="2" applyNumberFormat="1" applyFont="1" applyFill="1" applyBorder="1"/>
    <xf numFmtId="168" fontId="4" fillId="0" borderId="2" xfId="0" applyNumberFormat="1" applyFont="1" applyBorder="1"/>
    <xf numFmtId="168" fontId="4" fillId="2" borderId="1" xfId="2" applyNumberFormat="1" applyFont="1" applyFill="1" applyBorder="1"/>
    <xf numFmtId="0" fontId="3" fillId="6" borderId="13" xfId="0" applyFont="1" applyFill="1" applyBorder="1"/>
    <xf numFmtId="0" fontId="8" fillId="0" borderId="9" xfId="0" applyFont="1" applyBorder="1" applyAlignment="1" applyProtection="1">
      <alignment horizontal="left"/>
    </xf>
    <xf numFmtId="0" fontId="8" fillId="0" borderId="10" xfId="0" applyFont="1" applyBorder="1"/>
    <xf numFmtId="0" fontId="8" fillId="0" borderId="8" xfId="0" applyFont="1" applyBorder="1" applyAlignment="1" applyProtection="1">
      <alignment horizontal="left"/>
    </xf>
    <xf numFmtId="0" fontId="8" fillId="0" borderId="0" xfId="0" applyFont="1" applyBorder="1"/>
    <xf numFmtId="0" fontId="8" fillId="0" borderId="8" xfId="0" applyFont="1" applyBorder="1"/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left"/>
    </xf>
    <xf numFmtId="0" fontId="10" fillId="0" borderId="8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37" fontId="8" fillId="0" borderId="0" xfId="0" applyNumberFormat="1" applyFont="1" applyBorder="1" applyProtection="1"/>
    <xf numFmtId="166" fontId="10" fillId="0" borderId="0" xfId="0" applyNumberFormat="1" applyFont="1" applyFill="1" applyBorder="1"/>
    <xf numFmtId="168" fontId="10" fillId="4" borderId="0" xfId="2" applyNumberFormat="1" applyFont="1" applyFill="1" applyBorder="1"/>
    <xf numFmtId="166" fontId="8" fillId="0" borderId="0" xfId="0" applyNumberFormat="1" applyFont="1" applyFill="1" applyBorder="1"/>
    <xf numFmtId="168" fontId="8" fillId="0" borderId="0" xfId="2" applyNumberFormat="1" applyFont="1" applyBorder="1"/>
    <xf numFmtId="168" fontId="8" fillId="0" borderId="1" xfId="2" applyNumberFormat="1" applyFont="1" applyBorder="1"/>
    <xf numFmtId="0" fontId="8" fillId="0" borderId="1" xfId="0" applyFont="1" applyBorder="1" applyAlignment="1" applyProtection="1">
      <alignment horizontal="left"/>
    </xf>
    <xf numFmtId="166" fontId="8" fillId="0" borderId="1" xfId="0" applyNumberFormat="1" applyFont="1" applyFill="1" applyBorder="1"/>
    <xf numFmtId="168" fontId="8" fillId="0" borderId="1" xfId="2" applyNumberFormat="1" applyFont="1" applyFill="1" applyBorder="1"/>
    <xf numFmtId="166" fontId="10" fillId="0" borderId="8" xfId="0" applyNumberFormat="1" applyFont="1" applyBorder="1"/>
    <xf numFmtId="166" fontId="10" fillId="0" borderId="0" xfId="0" applyNumberFormat="1" applyFont="1" applyBorder="1"/>
    <xf numFmtId="0" fontId="10" fillId="0" borderId="12" xfId="0" applyFont="1" applyFill="1" applyBorder="1" applyAlignment="1" applyProtection="1">
      <alignment horizontal="left"/>
    </xf>
    <xf numFmtId="0" fontId="3" fillId="8" borderId="4" xfId="0" applyFont="1" applyFill="1" applyBorder="1" applyAlignment="1" applyProtection="1">
      <alignment horizontal="left"/>
    </xf>
    <xf numFmtId="0" fontId="3" fillId="8" borderId="7" xfId="0" applyFont="1" applyFill="1" applyBorder="1" applyAlignment="1" applyProtection="1">
      <alignment horizontal="left"/>
    </xf>
    <xf numFmtId="0" fontId="3" fillId="9" borderId="5" xfId="0" applyFont="1" applyFill="1" applyBorder="1"/>
    <xf numFmtId="0" fontId="3" fillId="9" borderId="5" xfId="0" applyFont="1" applyFill="1" applyBorder="1" applyAlignment="1" applyProtection="1">
      <alignment horizontal="left"/>
    </xf>
    <xf numFmtId="0" fontId="3" fillId="9" borderId="0" xfId="0" applyFont="1" applyFill="1" applyAlignment="1" applyProtection="1">
      <alignment horizontal="left"/>
    </xf>
    <xf numFmtId="0" fontId="3" fillId="10" borderId="5" xfId="0" applyFont="1" applyFill="1" applyBorder="1" applyAlignment="1" applyProtection="1">
      <alignment horizontal="left"/>
    </xf>
    <xf numFmtId="0" fontId="10" fillId="11" borderId="0" xfId="0" applyFont="1" applyFill="1" applyBorder="1" applyAlignment="1" applyProtection="1">
      <alignment horizontal="left"/>
    </xf>
    <xf numFmtId="37" fontId="8" fillId="11" borderId="0" xfId="0" applyNumberFormat="1" applyFont="1" applyFill="1" applyBorder="1" applyProtection="1"/>
    <xf numFmtId="166" fontId="10" fillId="11" borderId="0" xfId="0" applyNumberFormat="1" applyFont="1" applyFill="1" applyBorder="1"/>
    <xf numFmtId="168" fontId="10" fillId="11" borderId="0" xfId="2" applyNumberFormat="1" applyFont="1" applyFill="1" applyBorder="1"/>
    <xf numFmtId="0" fontId="3" fillId="0" borderId="14" xfId="0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4" fillId="0" borderId="14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37" fontId="4" fillId="0" borderId="14" xfId="0" applyNumberFormat="1" applyFont="1" applyBorder="1" applyProtection="1"/>
    <xf numFmtId="37" fontId="4" fillId="0" borderId="15" xfId="0" applyNumberFormat="1" applyFont="1" applyBorder="1" applyProtection="1"/>
    <xf numFmtId="37" fontId="4" fillId="0" borderId="18" xfId="0" applyNumberFormat="1" applyFont="1" applyBorder="1" applyProtection="1"/>
    <xf numFmtId="37" fontId="4" fillId="0" borderId="19" xfId="0" applyNumberFormat="1" applyFont="1" applyBorder="1" applyProtection="1"/>
    <xf numFmtId="37" fontId="4" fillId="0" borderId="20" xfId="0" applyNumberFormat="1" applyFont="1" applyBorder="1" applyProtection="1"/>
    <xf numFmtId="37" fontId="4" fillId="0" borderId="21" xfId="0" applyNumberFormat="1" applyFont="1" applyBorder="1" applyProtection="1"/>
    <xf numFmtId="37" fontId="3" fillId="0" borderId="14" xfId="0" applyNumberFormat="1" applyFont="1" applyBorder="1" applyProtection="1"/>
    <xf numFmtId="37" fontId="3" fillId="0" borderId="15" xfId="0" applyNumberFormat="1" applyFont="1" applyBorder="1" applyProtection="1"/>
    <xf numFmtId="37" fontId="3" fillId="0" borderId="18" xfId="0" applyNumberFormat="1" applyFont="1" applyBorder="1" applyProtection="1"/>
    <xf numFmtId="37" fontId="6" fillId="0" borderId="15" xfId="0" applyNumberFormat="1" applyFont="1" applyBorder="1" applyProtection="1"/>
    <xf numFmtId="37" fontId="3" fillId="8" borderId="22" xfId="0" applyNumberFormat="1" applyFont="1" applyFill="1" applyBorder="1" applyProtection="1"/>
    <xf numFmtId="37" fontId="3" fillId="8" borderId="23" xfId="0" applyNumberFormat="1" applyFont="1" applyFill="1" applyBorder="1" applyProtection="1"/>
    <xf numFmtId="37" fontId="3" fillId="8" borderId="24" xfId="0" applyNumberFormat="1" applyFont="1" applyFill="1" applyBorder="1" applyProtection="1"/>
    <xf numFmtId="37" fontId="3" fillId="0" borderId="14" xfId="0" applyNumberFormat="1" applyFont="1" applyFill="1" applyBorder="1" applyProtection="1"/>
    <xf numFmtId="37" fontId="3" fillId="0" borderId="15" xfId="0" applyNumberFormat="1" applyFont="1" applyFill="1" applyBorder="1" applyProtection="1"/>
    <xf numFmtId="37" fontId="3" fillId="0" borderId="18" xfId="0" applyNumberFormat="1" applyFont="1" applyFill="1" applyBorder="1" applyProtection="1"/>
    <xf numFmtId="37" fontId="4" fillId="0" borderId="15" xfId="0" applyNumberFormat="1" applyFont="1" applyFill="1" applyBorder="1" applyProtection="1"/>
    <xf numFmtId="37" fontId="3" fillId="8" borderId="25" xfId="0" applyNumberFormat="1" applyFont="1" applyFill="1" applyBorder="1" applyProtection="1"/>
    <xf numFmtId="37" fontId="3" fillId="8" borderId="26" xfId="0" applyNumberFormat="1" applyFont="1" applyFill="1" applyBorder="1" applyProtection="1"/>
    <xf numFmtId="37" fontId="3" fillId="8" borderId="27" xfId="0" applyNumberFormat="1" applyFont="1" applyFill="1" applyBorder="1" applyProtection="1"/>
    <xf numFmtId="37" fontId="3" fillId="9" borderId="28" xfId="0" applyNumberFormat="1" applyFont="1" applyFill="1" applyBorder="1" applyProtection="1"/>
    <xf numFmtId="37" fontId="3" fillId="9" borderId="29" xfId="0" applyNumberFormat="1" applyFont="1" applyFill="1" applyBorder="1" applyProtection="1"/>
    <xf numFmtId="37" fontId="3" fillId="9" borderId="30" xfId="0" applyNumberFormat="1" applyFont="1" applyFill="1" applyBorder="1" applyProtection="1"/>
    <xf numFmtId="0" fontId="4" fillId="0" borderId="14" xfId="0" applyFont="1" applyBorder="1"/>
    <xf numFmtId="37" fontId="4" fillId="0" borderId="20" xfId="0" applyNumberFormat="1" applyFont="1" applyFill="1" applyBorder="1" applyProtection="1"/>
    <xf numFmtId="37" fontId="3" fillId="9" borderId="14" xfId="0" applyNumberFormat="1" applyFont="1" applyFill="1" applyBorder="1" applyProtection="1"/>
    <xf numFmtId="37" fontId="3" fillId="9" borderId="15" xfId="0" applyNumberFormat="1" applyFont="1" applyFill="1" applyBorder="1" applyProtection="1"/>
    <xf numFmtId="37" fontId="3" fillId="9" borderId="18" xfId="0" applyNumberFormat="1" applyFont="1" applyFill="1" applyBorder="1" applyProtection="1"/>
    <xf numFmtId="37" fontId="3" fillId="10" borderId="28" xfId="0" applyNumberFormat="1" applyFont="1" applyFill="1" applyBorder="1" applyProtection="1"/>
    <xf numFmtId="37" fontId="3" fillId="10" borderId="29" xfId="0" applyNumberFormat="1" applyFont="1" applyFill="1" applyBorder="1" applyProtection="1"/>
    <xf numFmtId="37" fontId="3" fillId="10" borderId="30" xfId="0" applyNumberFormat="1" applyFont="1" applyFill="1" applyBorder="1" applyProtection="1"/>
    <xf numFmtId="167" fontId="4" fillId="0" borderId="0" xfId="1" applyNumberFormat="1" applyFont="1" applyBorder="1"/>
    <xf numFmtId="10" fontId="3" fillId="0" borderId="0" xfId="3" applyNumberFormat="1" applyFont="1"/>
    <xf numFmtId="10" fontId="3" fillId="0" borderId="1" xfId="3" applyNumberFormat="1" applyFont="1" applyBorder="1"/>
    <xf numFmtId="10" fontId="3" fillId="0" borderId="4" xfId="3" applyNumberFormat="1" applyFont="1" applyBorder="1"/>
    <xf numFmtId="10" fontId="3" fillId="8" borderId="4" xfId="3" applyNumberFormat="1" applyFont="1" applyFill="1" applyBorder="1"/>
    <xf numFmtId="167" fontId="3" fillId="0" borderId="0" xfId="1" applyNumberFormat="1" applyFont="1" applyBorder="1"/>
    <xf numFmtId="167" fontId="3" fillId="0" borderId="0" xfId="1" applyNumberFormat="1" applyFont="1"/>
    <xf numFmtId="10" fontId="3" fillId="8" borderId="1" xfId="3" applyNumberFormat="1" applyFont="1" applyFill="1" applyBorder="1"/>
    <xf numFmtId="10" fontId="3" fillId="9" borderId="30" xfId="3" applyNumberFormat="1" applyFont="1" applyFill="1" applyBorder="1" applyProtection="1"/>
    <xf numFmtId="10" fontId="3" fillId="9" borderId="21" xfId="3" applyNumberFormat="1" applyFont="1" applyFill="1" applyBorder="1" applyProtection="1"/>
    <xf numFmtId="10" fontId="3" fillId="10" borderId="30" xfId="3" applyNumberFormat="1" applyFont="1" applyFill="1" applyBorder="1" applyProtection="1"/>
    <xf numFmtId="43" fontId="3" fillId="0" borderId="0" xfId="1" applyFont="1"/>
    <xf numFmtId="0" fontId="3" fillId="8" borderId="31" xfId="0" applyFont="1" applyFill="1" applyBorder="1" applyAlignment="1" applyProtection="1">
      <alignment horizontal="right"/>
    </xf>
    <xf numFmtId="0" fontId="3" fillId="8" borderId="6" xfId="0" applyFont="1" applyFill="1" applyBorder="1" applyAlignment="1">
      <alignment horizontal="right"/>
    </xf>
    <xf numFmtId="37" fontId="3" fillId="13" borderId="29" xfId="0" applyNumberFormat="1" applyFont="1" applyFill="1" applyBorder="1" applyProtection="1"/>
    <xf numFmtId="37" fontId="3" fillId="12" borderId="29" xfId="0" applyNumberFormat="1" applyFont="1" applyFill="1" applyBorder="1" applyProtection="1"/>
    <xf numFmtId="0" fontId="14" fillId="0" borderId="15" xfId="0" applyFont="1" applyBorder="1" applyAlignment="1" applyProtection="1">
      <alignment horizontal="center"/>
    </xf>
    <xf numFmtId="0" fontId="14" fillId="0" borderId="17" xfId="0" applyFont="1" applyBorder="1" applyAlignment="1" applyProtection="1">
      <alignment horizontal="center"/>
    </xf>
    <xf numFmtId="0" fontId="7" fillId="15" borderId="15" xfId="0" applyFont="1" applyFill="1" applyBorder="1" applyAlignment="1" applyProtection="1">
      <alignment horizontal="center"/>
    </xf>
    <xf numFmtId="0" fontId="7" fillId="15" borderId="17" xfId="0" applyFont="1" applyFill="1" applyBorder="1" applyAlignment="1" applyProtection="1">
      <alignment horizontal="center"/>
    </xf>
    <xf numFmtId="0" fontId="4" fillId="15" borderId="15" xfId="0" applyFont="1" applyFill="1" applyBorder="1" applyAlignment="1" applyProtection="1">
      <alignment horizontal="center"/>
    </xf>
    <xf numFmtId="37" fontId="4" fillId="15" borderId="15" xfId="0" applyNumberFormat="1" applyFont="1" applyFill="1" applyBorder="1" applyProtection="1"/>
    <xf numFmtId="37" fontId="4" fillId="15" borderId="20" xfId="0" applyNumberFormat="1" applyFont="1" applyFill="1" applyBorder="1" applyProtection="1"/>
    <xf numFmtId="37" fontId="3" fillId="15" borderId="15" xfId="0" applyNumberFormat="1" applyFont="1" applyFill="1" applyBorder="1" applyProtection="1"/>
    <xf numFmtId="37" fontId="3" fillId="15" borderId="23" xfId="0" applyNumberFormat="1" applyFont="1" applyFill="1" applyBorder="1" applyProtection="1"/>
    <xf numFmtId="167" fontId="10" fillId="12" borderId="0" xfId="1" applyNumberFormat="1" applyFont="1" applyFill="1" applyBorder="1"/>
    <xf numFmtId="167" fontId="8" fillId="0" borderId="0" xfId="1" applyNumberFormat="1" applyFont="1" applyBorder="1"/>
    <xf numFmtId="168" fontId="8" fillId="0" borderId="1" xfId="0" applyNumberFormat="1" applyFont="1" applyBorder="1"/>
    <xf numFmtId="168" fontId="8" fillId="0" borderId="0" xfId="0" applyNumberFormat="1" applyFont="1" applyBorder="1"/>
    <xf numFmtId="168" fontId="10" fillId="11" borderId="0" xfId="0" applyNumberFormat="1" applyFont="1" applyFill="1" applyBorder="1"/>
    <xf numFmtId="10" fontId="8" fillId="0" borderId="0" xfId="3" applyNumberFormat="1" applyFont="1" applyBorder="1"/>
    <xf numFmtId="0" fontId="8" fillId="0" borderId="6" xfId="0" applyFont="1" applyBorder="1"/>
    <xf numFmtId="165" fontId="11" fillId="0" borderId="15" xfId="0" applyNumberFormat="1" applyFont="1" applyBorder="1" applyProtection="1"/>
    <xf numFmtId="10" fontId="13" fillId="0" borderId="15" xfId="3" applyNumberFormat="1" applyFont="1" applyBorder="1" applyProtection="1"/>
    <xf numFmtId="0" fontId="4" fillId="0" borderId="18" xfId="0" applyFont="1" applyBorder="1"/>
    <xf numFmtId="0" fontId="3" fillId="0" borderId="11" xfId="0" applyFont="1" applyBorder="1"/>
    <xf numFmtId="0" fontId="3" fillId="0" borderId="2" xfId="0" applyFont="1" applyBorder="1"/>
    <xf numFmtId="167" fontId="3" fillId="0" borderId="2" xfId="1" applyNumberFormat="1" applyFont="1" applyBorder="1"/>
    <xf numFmtId="0" fontId="10" fillId="0" borderId="0" xfId="0" applyFont="1"/>
    <xf numFmtId="0" fontId="10" fillId="0" borderId="0" xfId="0" applyFont="1" applyAlignment="1" applyProtection="1">
      <alignment horizontal="left"/>
    </xf>
    <xf numFmtId="0" fontId="10" fillId="0" borderId="6" xfId="0" applyFont="1" applyFill="1" applyBorder="1" applyAlignment="1" applyProtection="1">
      <alignment horizontal="left"/>
    </xf>
    <xf numFmtId="0" fontId="10" fillId="14" borderId="0" xfId="0" applyFont="1" applyFill="1" applyBorder="1" applyAlignment="1" applyProtection="1">
      <alignment horizontal="left"/>
    </xf>
    <xf numFmtId="167" fontId="10" fillId="14" borderId="0" xfId="1" applyNumberFormat="1" applyFont="1" applyFill="1" applyBorder="1"/>
    <xf numFmtId="37" fontId="12" fillId="0" borderId="36" xfId="0" applyNumberFormat="1" applyFont="1" applyBorder="1" applyProtection="1"/>
    <xf numFmtId="0" fontId="12" fillId="0" borderId="7" xfId="0" applyFont="1" applyBorder="1"/>
    <xf numFmtId="167" fontId="12" fillId="0" borderId="37" xfId="1" applyNumberFormat="1" applyFont="1" applyBorder="1"/>
    <xf numFmtId="37" fontId="12" fillId="0" borderId="33" xfId="0" applyNumberFormat="1" applyFont="1" applyBorder="1" applyProtection="1"/>
    <xf numFmtId="0" fontId="12" fillId="0" borderId="0" xfId="0" applyFont="1" applyBorder="1"/>
    <xf numFmtId="168" fontId="12" fillId="0" borderId="34" xfId="0" applyNumberFormat="1" applyFont="1" applyBorder="1"/>
    <xf numFmtId="0" fontId="12" fillId="0" borderId="33" xfId="0" applyFont="1" applyBorder="1"/>
    <xf numFmtId="167" fontId="12" fillId="0" borderId="34" xfId="0" applyNumberFormat="1" applyFont="1" applyBorder="1"/>
    <xf numFmtId="10" fontId="12" fillId="0" borderId="32" xfId="0" applyNumberFormat="1" applyFont="1" applyBorder="1"/>
    <xf numFmtId="0" fontId="12" fillId="0" borderId="1" xfId="0" applyFont="1" applyBorder="1"/>
    <xf numFmtId="167" fontId="15" fillId="13" borderId="35" xfId="1" applyNumberFormat="1" applyFont="1" applyFill="1" applyBorder="1"/>
    <xf numFmtId="167" fontId="4" fillId="0" borderId="2" xfId="0" applyNumberFormat="1" applyFont="1" applyBorder="1"/>
    <xf numFmtId="167" fontId="16" fillId="0" borderId="0" xfId="0" applyNumberFormat="1" applyFont="1" applyBorder="1"/>
    <xf numFmtId="169" fontId="3" fillId="16" borderId="0" xfId="0" applyNumberFormat="1" applyFont="1" applyFill="1"/>
    <xf numFmtId="0" fontId="12" fillId="0" borderId="0" xfId="0" applyFont="1" applyBorder="1" applyAlignment="1" applyProtection="1">
      <alignment horizontal="left"/>
    </xf>
    <xf numFmtId="167" fontId="12" fillId="0" borderId="0" xfId="1" applyNumberFormat="1" applyFont="1" applyBorder="1"/>
    <xf numFmtId="0" fontId="15" fillId="14" borderId="6" xfId="0" applyFont="1" applyFill="1" applyBorder="1" applyAlignment="1" applyProtection="1">
      <alignment horizontal="left"/>
    </xf>
    <xf numFmtId="166" fontId="15" fillId="0" borderId="6" xfId="0" applyNumberFormat="1" applyFont="1" applyFill="1" applyBorder="1"/>
    <xf numFmtId="167" fontId="15" fillId="14" borderId="6" xfId="1" applyNumberFormat="1" applyFont="1" applyFill="1" applyBorder="1"/>
    <xf numFmtId="44" fontId="4" fillId="0" borderId="2" xfId="0" applyNumberFormat="1" applyFont="1" applyBorder="1"/>
    <xf numFmtId="167" fontId="17" fillId="0" borderId="0" xfId="1" applyNumberFormat="1" applyFont="1" applyBorder="1"/>
    <xf numFmtId="37" fontId="3" fillId="16" borderId="28" xfId="0" applyNumberFormat="1" applyFont="1" applyFill="1" applyBorder="1" applyProtection="1"/>
    <xf numFmtId="37" fontId="3" fillId="0" borderId="0" xfId="0" applyNumberFormat="1" applyFont="1"/>
    <xf numFmtId="166" fontId="15" fillId="0" borderId="0" xfId="0" applyNumberFormat="1" applyFont="1" applyFill="1" applyBorder="1"/>
    <xf numFmtId="10" fontId="12" fillId="0" borderId="0" xfId="3" applyNumberFormat="1" applyFont="1" applyBorder="1"/>
    <xf numFmtId="168" fontId="12" fillId="0" borderId="6" xfId="0" applyNumberFormat="1" applyFont="1" applyBorder="1"/>
    <xf numFmtId="167" fontId="10" fillId="16" borderId="1" xfId="1" applyNumberFormat="1" applyFont="1" applyFill="1" applyBorder="1"/>
    <xf numFmtId="166" fontId="12" fillId="0" borderId="0" xfId="0" applyNumberFormat="1" applyFont="1" applyFill="1" applyBorder="1" applyAlignment="1">
      <alignment horizontal="left"/>
    </xf>
    <xf numFmtId="167" fontId="12" fillId="0" borderId="0" xfId="1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7" fontId="17" fillId="0" borderId="1" xfId="1" applyNumberFormat="1" applyFont="1" applyBorder="1"/>
    <xf numFmtId="167" fontId="18" fillId="0" borderId="0" xfId="0" applyNumberFormat="1" applyFont="1" applyBorder="1"/>
    <xf numFmtId="37" fontId="4" fillId="13" borderId="15" xfId="0" applyNumberFormat="1" applyFont="1" applyFill="1" applyBorder="1" applyProtection="1"/>
    <xf numFmtId="167" fontId="19" fillId="0" borderId="0" xfId="1" applyNumberFormat="1" applyFont="1" applyBorder="1" applyAlignment="1">
      <alignment horizontal="left"/>
    </xf>
    <xf numFmtId="167" fontId="8" fillId="0" borderId="0" xfId="1" quotePrefix="1" applyNumberFormat="1" applyFont="1" applyBorder="1"/>
    <xf numFmtId="166" fontId="20" fillId="0" borderId="0" xfId="0" applyNumberFormat="1" applyFont="1" applyBorder="1"/>
    <xf numFmtId="167" fontId="17" fillId="13" borderId="0" xfId="1" applyNumberFormat="1" applyFont="1" applyFill="1" applyBorder="1"/>
    <xf numFmtId="0" fontId="10" fillId="0" borderId="14" xfId="0" applyFont="1" applyBorder="1" applyAlignment="1" applyProtection="1">
      <alignment horizontal="center"/>
    </xf>
    <xf numFmtId="0" fontId="10" fillId="0" borderId="16" xfId="0" applyFont="1" applyBorder="1" applyAlignment="1" applyProtection="1">
      <alignment horizontal="center"/>
    </xf>
    <xf numFmtId="0" fontId="8" fillId="0" borderId="14" xfId="0" applyFont="1" applyBorder="1" applyAlignment="1" applyProtection="1">
      <alignment horizontal="center"/>
    </xf>
    <xf numFmtId="0" fontId="8" fillId="17" borderId="15" xfId="0" applyFont="1" applyFill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/>
    </xf>
    <xf numFmtId="37" fontId="8" fillId="0" borderId="14" xfId="0" applyNumberFormat="1" applyFont="1" applyBorder="1" applyProtection="1"/>
    <xf numFmtId="37" fontId="8" fillId="17" borderId="15" xfId="0" applyNumberFormat="1" applyFont="1" applyFill="1" applyBorder="1" applyProtection="1"/>
    <xf numFmtId="37" fontId="8" fillId="0" borderId="15" xfId="0" applyNumberFormat="1" applyFont="1" applyBorder="1" applyProtection="1"/>
    <xf numFmtId="37" fontId="8" fillId="0" borderId="18" xfId="0" applyNumberFormat="1" applyFont="1" applyBorder="1" applyProtection="1"/>
    <xf numFmtId="37" fontId="8" fillId="0" borderId="19" xfId="0" applyNumberFormat="1" applyFont="1" applyBorder="1" applyProtection="1"/>
    <xf numFmtId="37" fontId="8" fillId="17" borderId="20" xfId="0" applyNumberFormat="1" applyFont="1" applyFill="1" applyBorder="1" applyProtection="1"/>
    <xf numFmtId="37" fontId="8" fillId="0" borderId="20" xfId="0" applyNumberFormat="1" applyFont="1" applyBorder="1" applyProtection="1"/>
    <xf numFmtId="37" fontId="8" fillId="0" borderId="21" xfId="0" applyNumberFormat="1" applyFont="1" applyBorder="1" applyProtection="1"/>
    <xf numFmtId="0" fontId="10" fillId="18" borderId="0" xfId="0" applyFont="1" applyFill="1" applyAlignment="1" applyProtection="1">
      <alignment horizontal="left"/>
    </xf>
    <xf numFmtId="37" fontId="10" fillId="18" borderId="14" xfId="0" applyNumberFormat="1" applyFont="1" applyFill="1" applyBorder="1" applyProtection="1"/>
    <xf numFmtId="37" fontId="10" fillId="18" borderId="15" xfId="0" applyNumberFormat="1" applyFont="1" applyFill="1" applyBorder="1" applyProtection="1"/>
    <xf numFmtId="37" fontId="10" fillId="18" borderId="18" xfId="0" applyNumberFormat="1" applyFont="1" applyFill="1" applyBorder="1" applyProtection="1"/>
    <xf numFmtId="167" fontId="8" fillId="0" borderId="0" xfId="1" applyNumberFormat="1" applyFont="1"/>
    <xf numFmtId="0" fontId="10" fillId="0" borderId="0" xfId="0" applyFont="1" applyBorder="1"/>
    <xf numFmtId="37" fontId="8" fillId="0" borderId="15" xfId="0" applyNumberFormat="1" applyFont="1" applyFill="1" applyBorder="1" applyProtection="1"/>
    <xf numFmtId="0" fontId="10" fillId="0" borderId="0" xfId="0" applyFont="1" applyFill="1" applyAlignment="1" applyProtection="1">
      <alignment horizontal="left"/>
    </xf>
    <xf numFmtId="37" fontId="10" fillId="0" borderId="14" xfId="0" applyNumberFormat="1" applyFont="1" applyFill="1" applyBorder="1" applyProtection="1"/>
    <xf numFmtId="37" fontId="10" fillId="17" borderId="15" xfId="0" applyNumberFormat="1" applyFont="1" applyFill="1" applyBorder="1" applyProtection="1"/>
    <xf numFmtId="37" fontId="10" fillId="0" borderId="15" xfId="0" applyNumberFormat="1" applyFont="1" applyFill="1" applyBorder="1" applyProtection="1"/>
    <xf numFmtId="37" fontId="10" fillId="0" borderId="18" xfId="0" applyNumberFormat="1" applyFont="1" applyFill="1" applyBorder="1" applyProtection="1"/>
    <xf numFmtId="0" fontId="10" fillId="18" borderId="7" xfId="0" applyFont="1" applyFill="1" applyBorder="1" applyAlignment="1" applyProtection="1">
      <alignment horizontal="left"/>
    </xf>
    <xf numFmtId="37" fontId="10" fillId="18" borderId="25" xfId="0" applyNumberFormat="1" applyFont="1" applyFill="1" applyBorder="1" applyProtection="1"/>
    <xf numFmtId="37" fontId="10" fillId="18" borderId="26" xfId="0" applyNumberFormat="1" applyFont="1" applyFill="1" applyBorder="1" applyProtection="1"/>
    <xf numFmtId="0" fontId="8" fillId="0" borderId="0" xfId="0" applyFont="1" applyProtection="1"/>
    <xf numFmtId="37" fontId="8" fillId="0" borderId="14" xfId="0" applyNumberFormat="1" applyFont="1" applyBorder="1"/>
    <xf numFmtId="37" fontId="8" fillId="0" borderId="20" xfId="0" applyNumberFormat="1" applyFont="1" applyFill="1" applyBorder="1" applyProtection="1"/>
    <xf numFmtId="0" fontId="10" fillId="9" borderId="0" xfId="0" applyFont="1" applyFill="1" applyAlignment="1" applyProtection="1">
      <alignment horizontal="left"/>
    </xf>
    <xf numFmtId="37" fontId="10" fillId="9" borderId="14" xfId="0" applyNumberFormat="1" applyFont="1" applyFill="1" applyBorder="1" applyProtection="1"/>
    <xf numFmtId="37" fontId="10" fillId="9" borderId="15" xfId="0" applyNumberFormat="1" applyFont="1" applyFill="1" applyBorder="1" applyProtection="1"/>
    <xf numFmtId="37" fontId="10" fillId="9" borderId="18" xfId="0" applyNumberFormat="1" applyFont="1" applyFill="1" applyBorder="1" applyProtection="1"/>
    <xf numFmtId="167" fontId="10" fillId="0" borderId="0" xfId="1" applyNumberFormat="1" applyFont="1" applyBorder="1"/>
    <xf numFmtId="3" fontId="8" fillId="0" borderId="0" xfId="0" applyNumberFormat="1" applyFont="1"/>
    <xf numFmtId="0" fontId="10" fillId="19" borderId="5" xfId="0" applyFont="1" applyFill="1" applyBorder="1" applyAlignment="1" applyProtection="1">
      <alignment horizontal="left"/>
    </xf>
    <xf numFmtId="37" fontId="10" fillId="19" borderId="28" xfId="0" applyNumberFormat="1" applyFont="1" applyFill="1" applyBorder="1" applyProtection="1"/>
    <xf numFmtId="37" fontId="10" fillId="19" borderId="30" xfId="0" applyNumberFormat="1" applyFont="1" applyFill="1" applyBorder="1" applyProtection="1"/>
    <xf numFmtId="0" fontId="8" fillId="0" borderId="1" xfId="0" applyFont="1" applyBorder="1"/>
    <xf numFmtId="0" fontId="10" fillId="8" borderId="18" xfId="0" applyFont="1" applyFill="1" applyBorder="1" applyAlignment="1" applyProtection="1">
      <alignment horizontal="right"/>
    </xf>
    <xf numFmtId="0" fontId="10" fillId="17" borderId="15" xfId="0" applyFont="1" applyFill="1" applyBorder="1" applyAlignment="1" applyProtection="1">
      <alignment horizontal="center"/>
    </xf>
    <xf numFmtId="0" fontId="10" fillId="0" borderId="15" xfId="0" applyFont="1" applyBorder="1" applyAlignment="1" applyProtection="1">
      <alignment horizontal="center"/>
    </xf>
    <xf numFmtId="0" fontId="10" fillId="17" borderId="17" xfId="0" applyFont="1" applyFill="1" applyBorder="1" applyAlignment="1" applyProtection="1">
      <alignment horizontal="center"/>
    </xf>
    <xf numFmtId="0" fontId="10" fillId="0" borderId="17" xfId="0" applyFont="1" applyBorder="1" applyAlignment="1" applyProtection="1">
      <alignment horizontal="center"/>
    </xf>
    <xf numFmtId="10" fontId="8" fillId="17" borderId="15" xfId="3" applyNumberFormat="1" applyFont="1" applyFill="1" applyBorder="1" applyProtection="1"/>
    <xf numFmtId="10" fontId="8" fillId="0" borderId="0" xfId="3" applyNumberFormat="1" applyFont="1" applyBorder="1" applyProtection="1"/>
    <xf numFmtId="0" fontId="10" fillId="9" borderId="4" xfId="0" applyFont="1" applyFill="1" applyBorder="1"/>
    <xf numFmtId="0" fontId="10" fillId="9" borderId="4" xfId="0" applyFont="1" applyFill="1" applyBorder="1" applyAlignment="1" applyProtection="1">
      <alignment horizontal="left"/>
    </xf>
    <xf numFmtId="37" fontId="10" fillId="9" borderId="22" xfId="0" applyNumberFormat="1" applyFont="1" applyFill="1" applyBorder="1" applyProtection="1"/>
    <xf numFmtId="0" fontId="10" fillId="0" borderId="1" xfId="0" applyFont="1" applyBorder="1"/>
    <xf numFmtId="37" fontId="22" fillId="19" borderId="29" xfId="0" applyNumberFormat="1" applyFont="1" applyFill="1" applyBorder="1" applyProtection="1"/>
    <xf numFmtId="170" fontId="8" fillId="0" borderId="0" xfId="3" applyNumberFormat="1" applyFont="1" applyBorder="1"/>
    <xf numFmtId="10" fontId="21" fillId="0" borderId="0" xfId="3" applyNumberFormat="1" applyFont="1" applyBorder="1"/>
    <xf numFmtId="0" fontId="15" fillId="0" borderId="0" xfId="0" applyFont="1"/>
    <xf numFmtId="0" fontId="9" fillId="20" borderId="0" xfId="0" applyFont="1" applyFill="1" applyBorder="1" applyAlignment="1" applyProtection="1">
      <alignment horizontal="left"/>
    </xf>
    <xf numFmtId="0" fontId="10" fillId="20" borderId="0" xfId="0" applyFont="1" applyFill="1" applyAlignment="1" applyProtection="1">
      <alignment horizontal="left"/>
    </xf>
    <xf numFmtId="0" fontId="8" fillId="20" borderId="0" xfId="0" applyFont="1" applyFill="1" applyBorder="1"/>
    <xf numFmtId="167" fontId="8" fillId="20" borderId="0" xfId="1" applyNumberFormat="1" applyFont="1" applyFill="1" applyBorder="1" applyProtection="1"/>
    <xf numFmtId="0" fontId="8" fillId="20" borderId="0" xfId="0" applyFont="1" applyFill="1"/>
    <xf numFmtId="167" fontId="10" fillId="20" borderId="0" xfId="1" applyNumberFormat="1" applyFont="1" applyFill="1" applyBorder="1"/>
    <xf numFmtId="167" fontId="8" fillId="20" borderId="1" xfId="1" applyNumberFormat="1" applyFont="1" applyFill="1" applyBorder="1"/>
    <xf numFmtId="0" fontId="10" fillId="20" borderId="0" xfId="0" applyFont="1" applyFill="1"/>
    <xf numFmtId="167" fontId="10" fillId="13" borderId="0" xfId="1" applyNumberFormat="1" applyFont="1" applyFill="1" applyBorder="1"/>
    <xf numFmtId="0" fontId="10" fillId="20" borderId="0" xfId="0" applyFont="1" applyFill="1" applyAlignment="1">
      <alignment horizontal="left"/>
    </xf>
    <xf numFmtId="9" fontId="10" fillId="18" borderId="0" xfId="3" applyFont="1" applyFill="1"/>
    <xf numFmtId="9" fontId="10" fillId="9" borderId="4" xfId="3" applyFont="1" applyFill="1" applyBorder="1" applyProtection="1"/>
    <xf numFmtId="170" fontId="10" fillId="0" borderId="0" xfId="3" applyNumberFormat="1" applyFont="1"/>
    <xf numFmtId="170" fontId="10" fillId="0" borderId="31" xfId="3" applyNumberFormat="1" applyFont="1" applyBorder="1" applyAlignment="1" applyProtection="1">
      <alignment horizontal="center"/>
    </xf>
    <xf numFmtId="170" fontId="10" fillId="8" borderId="0" xfId="3" applyNumberFormat="1" applyFont="1" applyFill="1" applyBorder="1" applyAlignment="1">
      <alignment horizontal="right"/>
    </xf>
    <xf numFmtId="170" fontId="10" fillId="0" borderId="1" xfId="3" applyNumberFormat="1" applyFont="1" applyBorder="1"/>
    <xf numFmtId="170" fontId="10" fillId="18" borderId="0" xfId="3" applyNumberFormat="1" applyFont="1" applyFill="1"/>
    <xf numFmtId="170" fontId="10" fillId="0" borderId="0" xfId="3" applyNumberFormat="1" applyFont="1" applyBorder="1"/>
    <xf numFmtId="170" fontId="10" fillId="9" borderId="21" xfId="3" applyNumberFormat="1" applyFont="1" applyFill="1" applyBorder="1" applyProtection="1"/>
    <xf numFmtId="170" fontId="10" fillId="19" borderId="30" xfId="3" applyNumberFormat="1" applyFont="1" applyFill="1" applyBorder="1" applyProtection="1"/>
    <xf numFmtId="0" fontId="24" fillId="0" borderId="0" xfId="0" applyFont="1" applyAlignment="1" applyProtection="1">
      <alignment horizontal="center"/>
    </xf>
    <xf numFmtId="169" fontId="10" fillId="16" borderId="0" xfId="3" applyNumberFormat="1" applyFont="1" applyFill="1"/>
    <xf numFmtId="167" fontId="10" fillId="20" borderId="0" xfId="1" applyNumberFormat="1" applyFont="1" applyFill="1" applyBorder="1" applyAlignment="1" applyProtection="1">
      <alignment horizontal="center"/>
    </xf>
    <xf numFmtId="10" fontId="10" fillId="0" borderId="0" xfId="3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center"/>
    </xf>
    <xf numFmtId="0" fontId="8" fillId="20" borderId="0" xfId="0" applyFont="1" applyFill="1" applyAlignment="1">
      <alignment horizontal="left"/>
    </xf>
    <xf numFmtId="0" fontId="8" fillId="20" borderId="0" xfId="0" applyFont="1" applyFill="1" applyBorder="1" applyAlignment="1">
      <alignment horizontal="left"/>
    </xf>
    <xf numFmtId="0" fontId="8" fillId="20" borderId="0" xfId="0" applyFont="1" applyFill="1" applyBorder="1" applyAlignment="1" applyProtection="1">
      <alignment horizontal="left"/>
    </xf>
    <xf numFmtId="167" fontId="10" fillId="20" borderId="0" xfId="1" applyNumberFormat="1" applyFont="1" applyFill="1" applyBorder="1" applyAlignment="1">
      <alignment horizontal="left"/>
    </xf>
    <xf numFmtId="167" fontId="22" fillId="20" borderId="0" xfId="1" applyNumberFormat="1" applyFont="1" applyFill="1" applyBorder="1"/>
    <xf numFmtId="37" fontId="8" fillId="0" borderId="0" xfId="0" applyNumberFormat="1" applyFont="1"/>
    <xf numFmtId="0" fontId="10" fillId="20" borderId="1" xfId="0" applyFont="1" applyFill="1" applyBorder="1" applyAlignment="1">
      <alignment horizontal="left"/>
    </xf>
    <xf numFmtId="0" fontId="10" fillId="10" borderId="4" xfId="0" applyFont="1" applyFill="1" applyBorder="1"/>
    <xf numFmtId="0" fontId="10" fillId="10" borderId="4" xfId="0" applyFont="1" applyFill="1" applyBorder="1" applyAlignment="1" applyProtection="1">
      <alignment horizontal="left"/>
    </xf>
    <xf numFmtId="37" fontId="10" fillId="10" borderId="22" xfId="0" applyNumberFormat="1" applyFont="1" applyFill="1" applyBorder="1" applyProtection="1"/>
    <xf numFmtId="9" fontId="10" fillId="10" borderId="4" xfId="3" applyFont="1" applyFill="1" applyBorder="1" applyProtection="1"/>
    <xf numFmtId="0" fontId="10" fillId="10" borderId="0" xfId="0" applyFont="1" applyFill="1" applyAlignment="1" applyProtection="1">
      <alignment horizontal="left"/>
    </xf>
    <xf numFmtId="37" fontId="10" fillId="10" borderId="14" xfId="0" applyNumberFormat="1" applyFont="1" applyFill="1" applyBorder="1" applyProtection="1"/>
    <xf numFmtId="37" fontId="10" fillId="10" borderId="15" xfId="0" applyNumberFormat="1" applyFont="1" applyFill="1" applyBorder="1" applyProtection="1"/>
    <xf numFmtId="37" fontId="10" fillId="10" borderId="18" xfId="0" applyNumberFormat="1" applyFont="1" applyFill="1" applyBorder="1" applyProtection="1"/>
    <xf numFmtId="170" fontId="10" fillId="10" borderId="21" xfId="3" applyNumberFormat="1" applyFont="1" applyFill="1" applyBorder="1" applyProtection="1"/>
    <xf numFmtId="0" fontId="10" fillId="9" borderId="5" xfId="0" applyFont="1" applyFill="1" applyBorder="1" applyAlignment="1" applyProtection="1">
      <alignment horizontal="left"/>
    </xf>
    <xf numFmtId="37" fontId="10" fillId="9" borderId="28" xfId="0" applyNumberFormat="1" applyFont="1" applyFill="1" applyBorder="1" applyProtection="1"/>
    <xf numFmtId="37" fontId="22" fillId="9" borderId="29" xfId="0" applyNumberFormat="1" applyFont="1" applyFill="1" applyBorder="1" applyProtection="1"/>
    <xf numFmtId="37" fontId="10" fillId="9" borderId="30" xfId="0" applyNumberFormat="1" applyFont="1" applyFill="1" applyBorder="1" applyProtection="1"/>
    <xf numFmtId="170" fontId="10" fillId="9" borderId="30" xfId="3" applyNumberFormat="1" applyFont="1" applyFill="1" applyBorder="1" applyProtection="1"/>
    <xf numFmtId="0" fontId="25" fillId="0" borderId="0" xfId="0" applyFont="1"/>
    <xf numFmtId="0" fontId="10" fillId="20" borderId="0" xfId="0" applyFont="1" applyFill="1" applyBorder="1" applyAlignment="1">
      <alignment horizontal="left"/>
    </xf>
    <xf numFmtId="0" fontId="10" fillId="20" borderId="1" xfId="0" applyFont="1" applyFill="1" applyBorder="1"/>
    <xf numFmtId="167" fontId="10" fillId="20" borderId="1" xfId="1" applyNumberFormat="1" applyFont="1" applyFill="1" applyBorder="1" applyAlignment="1">
      <alignment horizontal="left"/>
    </xf>
    <xf numFmtId="0" fontId="9" fillId="20" borderId="36" xfId="0" applyFont="1" applyFill="1" applyBorder="1" applyAlignment="1" applyProtection="1">
      <alignment horizontal="left"/>
    </xf>
    <xf numFmtId="167" fontId="8" fillId="20" borderId="7" xfId="1" applyNumberFormat="1" applyFont="1" applyFill="1" applyBorder="1" applyProtection="1"/>
    <xf numFmtId="10" fontId="8" fillId="0" borderId="37" xfId="3" applyNumberFormat="1" applyFont="1" applyBorder="1" applyProtection="1"/>
    <xf numFmtId="0" fontId="10" fillId="20" borderId="33" xfId="0" applyFont="1" applyFill="1" applyBorder="1" applyAlignment="1" applyProtection="1">
      <alignment horizontal="left"/>
    </xf>
    <xf numFmtId="167" fontId="10" fillId="20" borderId="34" xfId="1" quotePrefix="1" applyNumberFormat="1" applyFont="1" applyFill="1" applyBorder="1" applyAlignment="1" applyProtection="1">
      <alignment horizontal="center"/>
    </xf>
    <xf numFmtId="167" fontId="10" fillId="20" borderId="34" xfId="1" applyNumberFormat="1" applyFont="1" applyFill="1" applyBorder="1"/>
    <xf numFmtId="0" fontId="10" fillId="20" borderId="32" xfId="0" applyFont="1" applyFill="1" applyBorder="1" applyAlignment="1" applyProtection="1">
      <alignment horizontal="left"/>
    </xf>
    <xf numFmtId="167" fontId="8" fillId="20" borderId="35" xfId="1" applyNumberFormat="1" applyFont="1" applyFill="1" applyBorder="1"/>
    <xf numFmtId="0" fontId="10" fillId="20" borderId="33" xfId="0" applyFont="1" applyFill="1" applyBorder="1" applyAlignment="1">
      <alignment horizontal="left"/>
    </xf>
    <xf numFmtId="0" fontId="8" fillId="20" borderId="33" xfId="0" applyFont="1" applyFill="1" applyBorder="1" applyAlignment="1">
      <alignment horizontal="left"/>
    </xf>
    <xf numFmtId="167" fontId="22" fillId="20" borderId="34" xfId="1" applyNumberFormat="1" applyFont="1" applyFill="1" applyBorder="1"/>
    <xf numFmtId="0" fontId="8" fillId="20" borderId="33" xfId="0" applyFont="1" applyFill="1" applyBorder="1" applyAlignment="1" applyProtection="1">
      <alignment horizontal="left"/>
    </xf>
    <xf numFmtId="167" fontId="10" fillId="13" borderId="35" xfId="1" applyNumberFormat="1" applyFont="1" applyFill="1" applyBorder="1"/>
    <xf numFmtId="0" fontId="10" fillId="20" borderId="0" xfId="0" applyFont="1" applyFill="1" applyBorder="1" applyAlignment="1" applyProtection="1">
      <alignment horizontal="left"/>
    </xf>
    <xf numFmtId="0" fontId="10" fillId="20" borderId="1" xfId="0" applyFont="1" applyFill="1" applyBorder="1" applyAlignment="1" applyProtection="1">
      <alignment horizontal="left"/>
    </xf>
    <xf numFmtId="0" fontId="24" fillId="0" borderId="0" xfId="0" applyFont="1" applyAlignment="1" applyProtection="1">
      <alignment horizontal="center"/>
    </xf>
    <xf numFmtId="0" fontId="10" fillId="20" borderId="0" xfId="0" applyFont="1" applyFill="1" applyBorder="1" applyAlignment="1" applyProtection="1">
      <alignment horizontal="left"/>
    </xf>
    <xf numFmtId="0" fontId="10" fillId="20" borderId="1" xfId="0" applyFont="1" applyFill="1" applyBorder="1" applyAlignment="1" applyProtection="1">
      <alignment horizontal="left"/>
    </xf>
    <xf numFmtId="0" fontId="24" fillId="0" borderId="0" xfId="0" applyFont="1" applyAlignment="1" applyProtection="1">
      <alignment horizontal="center"/>
    </xf>
    <xf numFmtId="0" fontId="10" fillId="20" borderId="0" xfId="0" applyFont="1" applyFill="1" applyBorder="1" applyAlignment="1" applyProtection="1">
      <alignment horizontal="left"/>
    </xf>
    <xf numFmtId="37" fontId="8" fillId="17" borderId="0" xfId="0" applyNumberFormat="1" applyFont="1" applyFill="1" applyBorder="1" applyProtection="1"/>
    <xf numFmtId="37" fontId="8" fillId="0" borderId="1" xfId="0" applyNumberFormat="1" applyFont="1" applyBorder="1" applyProtection="1"/>
    <xf numFmtId="37" fontId="8" fillId="17" borderId="1" xfId="0" applyNumberFormat="1" applyFont="1" applyFill="1" applyBorder="1" applyProtection="1"/>
    <xf numFmtId="0" fontId="10" fillId="20" borderId="0" xfId="0" applyFont="1" applyFill="1" applyBorder="1"/>
    <xf numFmtId="0" fontId="26" fillId="20" borderId="0" xfId="0" applyFont="1" applyFill="1" applyBorder="1"/>
    <xf numFmtId="37" fontId="8" fillId="0" borderId="0" xfId="0" applyNumberFormat="1" applyFont="1" applyAlignment="1">
      <alignment horizontal="right"/>
    </xf>
    <xf numFmtId="0" fontId="3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10" fillId="20" borderId="0" xfId="0" applyFont="1" applyFill="1" applyBorder="1" applyAlignment="1" applyProtection="1">
      <alignment horizontal="left"/>
    </xf>
    <xf numFmtId="0" fontId="10" fillId="20" borderId="1" xfId="0" applyFont="1" applyFill="1" applyBorder="1" applyAlignment="1" applyProtection="1">
      <alignment horizontal="left"/>
    </xf>
    <xf numFmtId="0" fontId="10" fillId="20" borderId="0" xfId="0" applyFont="1" applyFill="1" applyAlignment="1">
      <alignment horizontal="left"/>
    </xf>
    <xf numFmtId="0" fontId="23" fillId="0" borderId="0" xfId="0" applyFont="1" applyAlignment="1" applyProtection="1">
      <alignment horizontal="center"/>
    </xf>
    <xf numFmtId="0" fontId="24" fillId="0" borderId="0" xfId="0" applyFont="1" applyAlignment="1" applyProtection="1">
      <alignment horizontal="center"/>
    </xf>
    <xf numFmtId="0" fontId="10" fillId="0" borderId="18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60</xdr:row>
      <xdr:rowOff>57150</xdr:rowOff>
    </xdr:from>
    <xdr:to>
      <xdr:col>5</xdr:col>
      <xdr:colOff>219075</xdr:colOff>
      <xdr:row>63</xdr:row>
      <xdr:rowOff>123825</xdr:rowOff>
    </xdr:to>
    <xdr:sp macro="" textlink="">
      <xdr:nvSpPr>
        <xdr:cNvPr id="2" name="Right Brace 1"/>
        <xdr:cNvSpPr/>
      </xdr:nvSpPr>
      <xdr:spPr>
        <a:xfrm>
          <a:off x="5114925" y="9829800"/>
          <a:ext cx="161925" cy="5524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63</xdr:row>
      <xdr:rowOff>104775</xdr:rowOff>
    </xdr:from>
    <xdr:to>
      <xdr:col>5</xdr:col>
      <xdr:colOff>104775</xdr:colOff>
      <xdr:row>65</xdr:row>
      <xdr:rowOff>95250</xdr:rowOff>
    </xdr:to>
    <xdr:sp macro="" textlink="">
      <xdr:nvSpPr>
        <xdr:cNvPr id="2" name="Right Brace 1"/>
        <xdr:cNvSpPr/>
      </xdr:nvSpPr>
      <xdr:spPr>
        <a:xfrm>
          <a:off x="4695825" y="10363200"/>
          <a:ext cx="104775" cy="3143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I86"/>
  <sheetViews>
    <sheetView workbookViewId="0">
      <selection activeCell="D84" sqref="D84"/>
    </sheetView>
  </sheetViews>
  <sheetFormatPr defaultRowHeight="12.75" x14ac:dyDescent="0.2"/>
  <cols>
    <col min="1" max="1" width="9.140625" style="2"/>
    <col min="2" max="2" width="29.42578125" style="2" customWidth="1"/>
    <col min="3" max="3" width="17.28515625" style="2" customWidth="1"/>
    <col min="4" max="4" width="16.28515625" style="2" customWidth="1"/>
    <col min="5" max="5" width="15.5703125" style="2" customWidth="1"/>
    <col min="6" max="6" width="15.42578125" style="2" customWidth="1"/>
    <col min="7" max="7" width="11.28515625" style="2" customWidth="1"/>
    <col min="8" max="8" width="11.42578125" style="2" bestFit="1" customWidth="1"/>
    <col min="9" max="9" width="10.85546875" style="2" customWidth="1"/>
    <col min="10" max="10" width="12.42578125" style="2" customWidth="1"/>
    <col min="11" max="16384" width="9.140625" style="2"/>
  </cols>
  <sheetData>
    <row r="1" spans="1:6" x14ac:dyDescent="0.2">
      <c r="B1" s="363" t="s">
        <v>0</v>
      </c>
      <c r="C1" s="363"/>
      <c r="D1" s="363"/>
      <c r="E1" s="363"/>
      <c r="F1" s="363"/>
    </row>
    <row r="2" spans="1:6" x14ac:dyDescent="0.2">
      <c r="B2" s="363" t="s">
        <v>1</v>
      </c>
      <c r="C2" s="363"/>
      <c r="D2" s="363"/>
      <c r="E2" s="363"/>
      <c r="F2" s="363"/>
    </row>
    <row r="3" spans="1:6" x14ac:dyDescent="0.2">
      <c r="B3" s="363" t="s">
        <v>24</v>
      </c>
      <c r="C3" s="363"/>
      <c r="D3" s="363"/>
      <c r="E3" s="363"/>
      <c r="F3" s="363"/>
    </row>
    <row r="4" spans="1:6" ht="13.5" thickBot="1" x14ac:dyDescent="0.25">
      <c r="B4" s="364" t="s">
        <v>79</v>
      </c>
      <c r="C4" s="364"/>
      <c r="D4" s="364"/>
      <c r="E4" s="364"/>
      <c r="F4" s="364"/>
    </row>
    <row r="5" spans="1:6" ht="13.5" thickBot="1" x14ac:dyDescent="0.25">
      <c r="A5" s="81" t="s">
        <v>82</v>
      </c>
      <c r="B5" s="3"/>
      <c r="F5" s="4">
        <f ca="1">NOW()</f>
        <v>40939.673048726851</v>
      </c>
    </row>
    <row r="6" spans="1:6" x14ac:dyDescent="0.2">
      <c r="A6" s="27"/>
      <c r="B6" s="27"/>
      <c r="C6" s="1" t="s">
        <v>23</v>
      </c>
      <c r="D6" s="68" t="s">
        <v>68</v>
      </c>
      <c r="E6" s="68" t="s">
        <v>40</v>
      </c>
      <c r="F6" s="1" t="s">
        <v>31</v>
      </c>
    </row>
    <row r="7" spans="1:6" x14ac:dyDescent="0.2">
      <c r="A7" s="27" t="s">
        <v>55</v>
      </c>
      <c r="B7" s="27" t="s">
        <v>54</v>
      </c>
      <c r="C7" s="1" t="s">
        <v>43</v>
      </c>
      <c r="D7" s="68" t="s">
        <v>69</v>
      </c>
      <c r="E7" s="68" t="s">
        <v>41</v>
      </c>
      <c r="F7" s="1" t="s">
        <v>32</v>
      </c>
    </row>
    <row r="8" spans="1:6" ht="13.5" thickBot="1" x14ac:dyDescent="0.25">
      <c r="A8" s="37"/>
      <c r="B8" s="37"/>
      <c r="C8" s="38" t="s">
        <v>44</v>
      </c>
      <c r="D8" s="69" t="s">
        <v>70</v>
      </c>
      <c r="E8" s="69" t="s">
        <v>42</v>
      </c>
      <c r="F8" s="38" t="s">
        <v>76</v>
      </c>
    </row>
    <row r="9" spans="1:6" x14ac:dyDescent="0.2">
      <c r="A9" s="9" t="s">
        <v>46</v>
      </c>
      <c r="C9" s="5"/>
      <c r="D9" s="5"/>
      <c r="E9" s="5"/>
      <c r="F9" s="5"/>
    </row>
    <row r="10" spans="1:6" x14ac:dyDescent="0.2">
      <c r="A10" s="27"/>
      <c r="B10" s="3" t="s">
        <v>27</v>
      </c>
      <c r="C10" s="6">
        <f>1777029+7374579+6255362+1</f>
        <v>15406971</v>
      </c>
      <c r="D10" s="6">
        <v>16605940.41</v>
      </c>
      <c r="E10" s="6">
        <v>16117380</v>
      </c>
      <c r="F10" s="6">
        <f>+E10-C10</f>
        <v>710409</v>
      </c>
    </row>
    <row r="11" spans="1:6" x14ac:dyDescent="0.2">
      <c r="A11" s="27"/>
      <c r="B11" s="3" t="s">
        <v>28</v>
      </c>
      <c r="C11" s="6">
        <f>4462927+11260176+11236715</f>
        <v>26959818</v>
      </c>
      <c r="D11" s="6">
        <v>26695077.609999999</v>
      </c>
      <c r="E11" s="6">
        <v>25909098</v>
      </c>
      <c r="F11" s="6">
        <f>+E11-C11</f>
        <v>-1050720</v>
      </c>
    </row>
    <row r="12" spans="1:6" x14ac:dyDescent="0.2">
      <c r="A12" s="27"/>
      <c r="B12" s="3" t="s">
        <v>29</v>
      </c>
      <c r="C12" s="6">
        <f>3317108+4840660+4856245</f>
        <v>13014013</v>
      </c>
      <c r="D12" s="6">
        <v>14113616.43</v>
      </c>
      <c r="E12" s="6">
        <v>13640576</v>
      </c>
      <c r="F12" s="6">
        <f>+E12-C12</f>
        <v>626563</v>
      </c>
    </row>
    <row r="13" spans="1:6" x14ac:dyDescent="0.2">
      <c r="A13" s="27"/>
      <c r="B13" s="14" t="s">
        <v>30</v>
      </c>
      <c r="C13" s="15">
        <f>418481+720918+760934</f>
        <v>1900333</v>
      </c>
      <c r="D13" s="15">
        <f>1205624.24+5438</f>
        <v>1211062.24</v>
      </c>
      <c r="E13" s="15">
        <v>1165953</v>
      </c>
      <c r="F13" s="15">
        <f>+E13-C13</f>
        <v>-734380</v>
      </c>
    </row>
    <row r="14" spans="1:6" x14ac:dyDescent="0.2">
      <c r="A14" s="27"/>
      <c r="B14" s="9" t="s">
        <v>25</v>
      </c>
      <c r="C14" s="10">
        <f>SUM(C10:C13)</f>
        <v>57281135</v>
      </c>
      <c r="D14" s="10">
        <f>SUM(D10:D13)</f>
        <v>58625696.689999998</v>
      </c>
      <c r="E14" s="10">
        <f>SUM(E10:E13)</f>
        <v>56833007</v>
      </c>
      <c r="F14" s="10">
        <f>SUM(F10:F13)</f>
        <v>-448128</v>
      </c>
    </row>
    <row r="15" spans="1:6" x14ac:dyDescent="0.2">
      <c r="A15" s="9" t="s">
        <v>45</v>
      </c>
      <c r="C15" s="8"/>
      <c r="D15" s="8"/>
      <c r="E15" s="25"/>
      <c r="F15" s="8"/>
    </row>
    <row r="16" spans="1:6" x14ac:dyDescent="0.2">
      <c r="A16" s="27"/>
      <c r="B16" s="3" t="s">
        <v>27</v>
      </c>
      <c r="C16" s="8">
        <f>416389+3066928+2421194</f>
        <v>5904511</v>
      </c>
      <c r="D16" s="6">
        <v>5004041.18</v>
      </c>
      <c r="E16" s="6">
        <v>5747924</v>
      </c>
      <c r="F16" s="6">
        <f>+E16-C16</f>
        <v>-156587</v>
      </c>
    </row>
    <row r="17" spans="1:7" x14ac:dyDescent="0.2">
      <c r="A17" s="27"/>
      <c r="B17" s="3" t="s">
        <v>28</v>
      </c>
      <c r="C17" s="8">
        <f>974616+3345212+3484147</f>
        <v>7803975</v>
      </c>
      <c r="D17" s="6">
        <v>6660390.4699999997</v>
      </c>
      <c r="E17" s="6">
        <v>7651133</v>
      </c>
      <c r="F17" s="6">
        <f>+E17-C17</f>
        <v>-152842</v>
      </c>
    </row>
    <row r="18" spans="1:7" x14ac:dyDescent="0.2">
      <c r="A18" s="27"/>
      <c r="B18" s="3" t="s">
        <v>29</v>
      </c>
      <c r="C18" s="8">
        <f>699207+1886007+1797412</f>
        <v>4382626</v>
      </c>
      <c r="D18" s="6">
        <v>3971313.3</v>
      </c>
      <c r="E18" s="6">
        <v>4093009</v>
      </c>
      <c r="F18" s="6">
        <f>+E18-C18</f>
        <v>-289617</v>
      </c>
    </row>
    <row r="19" spans="1:7" x14ac:dyDescent="0.2">
      <c r="A19" s="27"/>
      <c r="B19" s="14" t="s">
        <v>30</v>
      </c>
      <c r="C19" s="15">
        <f>421309+682634+680084</f>
        <v>1784027</v>
      </c>
      <c r="D19" s="15">
        <v>1277580.83</v>
      </c>
      <c r="E19" s="15">
        <v>1316761</v>
      </c>
      <c r="F19" s="15">
        <f>+E19-C19</f>
        <v>-467266</v>
      </c>
    </row>
    <row r="20" spans="1:7" x14ac:dyDescent="0.2">
      <c r="A20" s="27"/>
      <c r="B20" s="9" t="s">
        <v>26</v>
      </c>
      <c r="C20" s="10">
        <f>SUM(C16:C19)</f>
        <v>19875139</v>
      </c>
      <c r="D20" s="10">
        <f>SUM(D16:D19)</f>
        <v>16913325.780000001</v>
      </c>
      <c r="E20" s="10">
        <f>SUM(E16:E19)-1</f>
        <v>18808826</v>
      </c>
      <c r="F20" s="10">
        <f>SUM(F16:F19)</f>
        <v>-1066312</v>
      </c>
    </row>
    <row r="21" spans="1:7" x14ac:dyDescent="0.2">
      <c r="A21" s="42"/>
      <c r="B21" s="32" t="s">
        <v>48</v>
      </c>
      <c r="C21" s="26">
        <f>+C20+C14</f>
        <v>77156274</v>
      </c>
      <c r="D21" s="72">
        <f>+D20+D14</f>
        <v>75539022.469999999</v>
      </c>
      <c r="E21" s="26">
        <f>+E20+E14</f>
        <v>75641833</v>
      </c>
      <c r="F21" s="26">
        <f>+F20+F14</f>
        <v>-1514440</v>
      </c>
      <c r="G21" s="75">
        <f>+F21/C21</f>
        <v>-1.9628215846711313E-2</v>
      </c>
    </row>
    <row r="22" spans="1:7" x14ac:dyDescent="0.2">
      <c r="A22" s="27" t="s">
        <v>38</v>
      </c>
      <c r="B22" s="28"/>
      <c r="C22" s="29"/>
      <c r="D22" s="29"/>
      <c r="E22" s="29"/>
      <c r="F22" s="29"/>
    </row>
    <row r="23" spans="1:7" x14ac:dyDescent="0.2">
      <c r="A23" s="27"/>
      <c r="B23" s="7"/>
      <c r="C23" s="31"/>
      <c r="D23" s="8"/>
      <c r="E23" s="30"/>
      <c r="F23" s="8"/>
    </row>
    <row r="24" spans="1:7" x14ac:dyDescent="0.2">
      <c r="A24" s="27"/>
      <c r="B24" s="7" t="s">
        <v>49</v>
      </c>
      <c r="C24" s="8">
        <v>587560</v>
      </c>
      <c r="D24" s="8">
        <v>655145.89</v>
      </c>
      <c r="E24" s="30">
        <v>587560</v>
      </c>
      <c r="F24" s="6">
        <f t="shared" ref="F24:F31" si="0">+E24-C24</f>
        <v>0</v>
      </c>
    </row>
    <row r="25" spans="1:7" x14ac:dyDescent="0.2">
      <c r="A25" s="27"/>
      <c r="B25" s="7" t="s">
        <v>2</v>
      </c>
      <c r="C25" s="8">
        <v>241477</v>
      </c>
      <c r="D25" s="8">
        <f>705347.69+70134.18</f>
        <v>775481.86999999988</v>
      </c>
      <c r="E25" s="30">
        <v>570000</v>
      </c>
      <c r="F25" s="6">
        <f t="shared" si="0"/>
        <v>328523</v>
      </c>
    </row>
    <row r="26" spans="1:7" x14ac:dyDescent="0.2">
      <c r="A26" s="27"/>
      <c r="B26" s="7" t="s">
        <v>35</v>
      </c>
      <c r="C26" s="8">
        <v>29900</v>
      </c>
      <c r="D26" s="8">
        <v>34255.35</v>
      </c>
      <c r="E26" s="30">
        <v>29900</v>
      </c>
      <c r="F26" s="6">
        <f t="shared" si="0"/>
        <v>0</v>
      </c>
    </row>
    <row r="27" spans="1:7" x14ac:dyDescent="0.2">
      <c r="B27" s="7" t="s">
        <v>37</v>
      </c>
      <c r="C27" s="8">
        <v>2270000</v>
      </c>
      <c r="D27" s="8">
        <f>56469.88-682.94</f>
        <v>55786.939999999995</v>
      </c>
      <c r="E27" s="30">
        <v>50000</v>
      </c>
      <c r="F27" s="6">
        <f t="shared" si="0"/>
        <v>-2220000</v>
      </c>
    </row>
    <row r="28" spans="1:7" x14ac:dyDescent="0.2">
      <c r="B28" s="7" t="s">
        <v>34</v>
      </c>
      <c r="C28" s="8">
        <v>0</v>
      </c>
      <c r="D28" s="8">
        <v>15023</v>
      </c>
      <c r="E28" s="30">
        <v>1000</v>
      </c>
      <c r="F28" s="6">
        <f t="shared" si="0"/>
        <v>1000</v>
      </c>
    </row>
    <row r="29" spans="1:7" x14ac:dyDescent="0.2">
      <c r="B29" s="7" t="s">
        <v>65</v>
      </c>
      <c r="C29" s="8">
        <v>1000000</v>
      </c>
      <c r="D29" s="8"/>
      <c r="E29" s="30">
        <v>0</v>
      </c>
      <c r="F29" s="6">
        <f t="shared" si="0"/>
        <v>-1000000</v>
      </c>
    </row>
    <row r="30" spans="1:7" x14ac:dyDescent="0.2">
      <c r="B30" s="7" t="s">
        <v>78</v>
      </c>
      <c r="C30" s="8">
        <v>0</v>
      </c>
      <c r="D30" s="8"/>
      <c r="E30" s="30">
        <v>0</v>
      </c>
      <c r="F30" s="6">
        <f t="shared" si="0"/>
        <v>0</v>
      </c>
    </row>
    <row r="31" spans="1:7" x14ac:dyDescent="0.2">
      <c r="B31" s="7" t="s">
        <v>36</v>
      </c>
      <c r="C31" s="8">
        <v>37635</v>
      </c>
      <c r="D31" s="8">
        <v>37635</v>
      </c>
      <c r="E31" s="30">
        <v>37635</v>
      </c>
      <c r="F31" s="6">
        <f t="shared" si="0"/>
        <v>0</v>
      </c>
    </row>
    <row r="32" spans="1:7" x14ac:dyDescent="0.2">
      <c r="B32" s="39" t="s">
        <v>39</v>
      </c>
      <c r="C32" s="40">
        <f>SUM(C24:C31)</f>
        <v>4166572</v>
      </c>
      <c r="D32" s="73">
        <f>SUM(D24:D31)</f>
        <v>1573328.0499999998</v>
      </c>
      <c r="E32" s="40">
        <f>SUM(E24:E31)</f>
        <v>1276095</v>
      </c>
      <c r="F32" s="40">
        <f>SUM(F24:F31)</f>
        <v>-2890477</v>
      </c>
    </row>
    <row r="33" spans="1:8" ht="13.5" thickBot="1" x14ac:dyDescent="0.25">
      <c r="A33" s="41" t="s">
        <v>47</v>
      </c>
      <c r="B33" s="33"/>
      <c r="C33" s="34">
        <f>+C32+C21</f>
        <v>81322846</v>
      </c>
      <c r="D33" s="74">
        <f>+D32+D21-1</f>
        <v>77112349.519999996</v>
      </c>
      <c r="E33" s="34">
        <f>+E32+E21</f>
        <v>76917928</v>
      </c>
      <c r="F33" s="34">
        <f>+F32+F21</f>
        <v>-4404917</v>
      </c>
      <c r="G33" s="75">
        <f>+F33/C33</f>
        <v>-5.4165799854077906E-2</v>
      </c>
    </row>
    <row r="34" spans="1:8" ht="13.5" thickTop="1" x14ac:dyDescent="0.2">
      <c r="A34" s="27" t="s">
        <v>71</v>
      </c>
      <c r="B34" s="12"/>
      <c r="D34" s="6"/>
      <c r="E34" s="6"/>
      <c r="F34" s="6"/>
    </row>
    <row r="35" spans="1:8" x14ac:dyDescent="0.2">
      <c r="A35" s="27"/>
      <c r="B35" s="9" t="s">
        <v>17</v>
      </c>
      <c r="C35" s="43">
        <v>-5228819</v>
      </c>
      <c r="D35" s="43">
        <f>+C35</f>
        <v>-5228819</v>
      </c>
      <c r="E35" s="29">
        <f>+C35</f>
        <v>-5228819</v>
      </c>
      <c r="F35" s="8">
        <f t="shared" ref="F35:F51" si="1">+E35-C35</f>
        <v>0</v>
      </c>
    </row>
    <row r="36" spans="1:8" x14ac:dyDescent="0.2">
      <c r="A36" s="27"/>
      <c r="B36" s="2" t="s">
        <v>8</v>
      </c>
      <c r="C36" s="6"/>
      <c r="D36" s="6">
        <v>-62472.93</v>
      </c>
      <c r="E36" s="17">
        <v>-70000</v>
      </c>
      <c r="F36" s="8">
        <f t="shared" si="1"/>
        <v>-70000</v>
      </c>
      <c r="H36" s="13"/>
    </row>
    <row r="37" spans="1:8" x14ac:dyDescent="0.2">
      <c r="A37" s="27"/>
      <c r="B37" s="2" t="s">
        <v>14</v>
      </c>
      <c r="C37" s="6"/>
      <c r="D37" s="6">
        <v>-18186.939999999999</v>
      </c>
      <c r="E37" s="17">
        <v>-19000</v>
      </c>
      <c r="F37" s="8">
        <f t="shared" si="1"/>
        <v>-19000</v>
      </c>
      <c r="H37" s="13"/>
    </row>
    <row r="38" spans="1:8" x14ac:dyDescent="0.2">
      <c r="A38" s="27"/>
      <c r="B38" s="2" t="s">
        <v>15</v>
      </c>
      <c r="C38" s="6"/>
      <c r="D38" s="6">
        <f>-252-14755-2952.5</f>
        <v>-17959.5</v>
      </c>
      <c r="E38" s="17">
        <v>-200</v>
      </c>
      <c r="F38" s="8">
        <f t="shared" si="1"/>
        <v>-200</v>
      </c>
      <c r="H38" s="13"/>
    </row>
    <row r="39" spans="1:8" x14ac:dyDescent="0.2">
      <c r="A39" s="27"/>
      <c r="B39" s="2" t="s">
        <v>13</v>
      </c>
      <c r="C39" s="6"/>
      <c r="D39" s="6">
        <f>-17142.36-285707.89</f>
        <v>-302850.25</v>
      </c>
      <c r="E39" s="17">
        <v>-316000</v>
      </c>
      <c r="F39" s="8">
        <f t="shared" si="1"/>
        <v>-316000</v>
      </c>
      <c r="H39" s="13"/>
    </row>
    <row r="40" spans="1:8" x14ac:dyDescent="0.2">
      <c r="A40" s="27"/>
      <c r="B40" s="2" t="s">
        <v>16</v>
      </c>
      <c r="C40" s="6"/>
      <c r="D40" s="6">
        <v>-811.2</v>
      </c>
      <c r="E40" s="17">
        <v>-500</v>
      </c>
      <c r="F40" s="8">
        <f t="shared" si="1"/>
        <v>-500</v>
      </c>
      <c r="H40" s="13"/>
    </row>
    <row r="41" spans="1:8" x14ac:dyDescent="0.2">
      <c r="B41" s="2" t="s">
        <v>18</v>
      </c>
      <c r="C41" s="6"/>
      <c r="D41" s="6"/>
      <c r="E41" s="17">
        <v>-283000</v>
      </c>
      <c r="F41" s="8">
        <f t="shared" si="1"/>
        <v>-283000</v>
      </c>
      <c r="H41" s="13"/>
    </row>
    <row r="42" spans="1:8" x14ac:dyDescent="0.2">
      <c r="B42" s="2" t="s">
        <v>12</v>
      </c>
      <c r="C42" s="6"/>
      <c r="D42" s="6">
        <v>-220826.9</v>
      </c>
      <c r="E42" s="17">
        <v>-293000</v>
      </c>
      <c r="F42" s="8">
        <f t="shared" si="1"/>
        <v>-293000</v>
      </c>
      <c r="H42" s="13"/>
    </row>
    <row r="43" spans="1:8" x14ac:dyDescent="0.2">
      <c r="B43" s="2" t="s">
        <v>19</v>
      </c>
      <c r="C43" s="6"/>
      <c r="D43" s="6">
        <f>-115924.46+25</f>
        <v>-115899.46</v>
      </c>
      <c r="E43" s="17">
        <v>-24000</v>
      </c>
      <c r="F43" s="8">
        <f t="shared" si="1"/>
        <v>-24000</v>
      </c>
      <c r="H43" s="13"/>
    </row>
    <row r="44" spans="1:8" x14ac:dyDescent="0.2">
      <c r="B44" s="2" t="s">
        <v>20</v>
      </c>
      <c r="C44" s="6"/>
      <c r="D44" s="6">
        <v>-26247.51</v>
      </c>
      <c r="E44" s="17">
        <v>-6000</v>
      </c>
      <c r="F44" s="8">
        <f t="shared" si="1"/>
        <v>-6000</v>
      </c>
      <c r="H44" s="13"/>
    </row>
    <row r="45" spans="1:8" x14ac:dyDescent="0.2">
      <c r="B45" s="2" t="s">
        <v>21</v>
      </c>
      <c r="C45" s="6"/>
      <c r="D45" s="6">
        <v>-7017.42</v>
      </c>
      <c r="E45" s="17">
        <v>-2000</v>
      </c>
      <c r="F45" s="8">
        <f t="shared" si="1"/>
        <v>-2000</v>
      </c>
      <c r="H45" s="13"/>
    </row>
    <row r="46" spans="1:8" x14ac:dyDescent="0.2">
      <c r="B46" s="3" t="s">
        <v>81</v>
      </c>
      <c r="C46" s="6"/>
      <c r="D46" s="6">
        <v>-68479.92</v>
      </c>
      <c r="E46" s="17">
        <v>0</v>
      </c>
      <c r="F46" s="8">
        <f t="shared" si="1"/>
        <v>0</v>
      </c>
      <c r="H46" s="13"/>
    </row>
    <row r="47" spans="1:8" x14ac:dyDescent="0.2">
      <c r="B47" s="2" t="s">
        <v>9</v>
      </c>
      <c r="C47" s="6"/>
      <c r="D47" s="6">
        <v>-118683.15</v>
      </c>
      <c r="E47" s="17">
        <v>-80000</v>
      </c>
      <c r="F47" s="8">
        <f t="shared" si="1"/>
        <v>-80000</v>
      </c>
      <c r="H47" s="13"/>
    </row>
    <row r="48" spans="1:8" x14ac:dyDescent="0.2">
      <c r="B48" s="2" t="s">
        <v>64</v>
      </c>
      <c r="C48" s="6"/>
      <c r="D48" s="6">
        <v>-1188.75</v>
      </c>
      <c r="E48" s="17">
        <v>0</v>
      </c>
      <c r="F48" s="8">
        <f t="shared" si="1"/>
        <v>0</v>
      </c>
      <c r="H48" s="13"/>
    </row>
    <row r="49" spans="1:9" x14ac:dyDescent="0.2">
      <c r="B49" s="2" t="s">
        <v>10</v>
      </c>
      <c r="C49" s="6"/>
      <c r="D49" s="6">
        <v>-54612.66</v>
      </c>
      <c r="E49" s="17">
        <v>-67000</v>
      </c>
      <c r="F49" s="8">
        <f t="shared" si="1"/>
        <v>-67000</v>
      </c>
      <c r="H49" s="13"/>
    </row>
    <row r="50" spans="1:9" x14ac:dyDescent="0.2">
      <c r="B50" s="2" t="s">
        <v>11</v>
      </c>
      <c r="C50" s="6"/>
      <c r="D50" s="6"/>
      <c r="E50" s="17">
        <v>-5400</v>
      </c>
      <c r="F50" s="8">
        <f t="shared" si="1"/>
        <v>-5400</v>
      </c>
      <c r="H50" s="13"/>
    </row>
    <row r="51" spans="1:9" x14ac:dyDescent="0.2">
      <c r="B51" s="14" t="s">
        <v>22</v>
      </c>
      <c r="C51" s="15"/>
      <c r="D51" s="15">
        <f>-3231.65-1237.5</f>
        <v>-4469.1499999999996</v>
      </c>
      <c r="E51" s="16">
        <v>-6500</v>
      </c>
      <c r="F51" s="15">
        <f t="shared" si="1"/>
        <v>-6500</v>
      </c>
      <c r="H51" s="13"/>
    </row>
    <row r="52" spans="1:9" x14ac:dyDescent="0.2">
      <c r="B52" s="11" t="s">
        <v>33</v>
      </c>
      <c r="C52" s="76">
        <f>SUM(C35:C51)</f>
        <v>-5228819</v>
      </c>
      <c r="D52" s="76">
        <f>SUM(D35:D51)</f>
        <v>-6248524.7400000012</v>
      </c>
      <c r="E52" s="76">
        <f>SUM(E35:E51)</f>
        <v>-6401419</v>
      </c>
      <c r="F52" s="76">
        <f>SUM(F35:F51)</f>
        <v>-1172600</v>
      </c>
      <c r="G52" s="13"/>
      <c r="H52" s="13"/>
    </row>
    <row r="53" spans="1:9" ht="13.5" thickBot="1" x14ac:dyDescent="0.25">
      <c r="A53" s="66" t="s">
        <v>66</v>
      </c>
      <c r="B53" s="66"/>
      <c r="C53" s="67">
        <f>+C52+C33</f>
        <v>76094027</v>
      </c>
      <c r="D53" s="77">
        <f>+D52+D33</f>
        <v>70863824.780000001</v>
      </c>
      <c r="E53" s="67">
        <f>+E52+E33</f>
        <v>70516509</v>
      </c>
      <c r="F53" s="67">
        <f>+F52+F33</f>
        <v>-5577517</v>
      </c>
      <c r="G53" s="13">
        <f>+E53-C53</f>
        <v>-5577518</v>
      </c>
      <c r="H53" s="13"/>
    </row>
    <row r="54" spans="1:9" ht="14.25" thickTop="1" thickBot="1" x14ac:dyDescent="0.25">
      <c r="B54" s="36" t="s">
        <v>67</v>
      </c>
      <c r="D54" s="35">
        <f>+D53/E53</f>
        <v>1.004925311603273</v>
      </c>
      <c r="E54" s="18"/>
    </row>
    <row r="55" spans="1:9" ht="17.25" customHeight="1" x14ac:dyDescent="0.2">
      <c r="A55" s="45" t="s">
        <v>80</v>
      </c>
      <c r="B55" s="46"/>
      <c r="C55" s="46"/>
      <c r="D55" s="46"/>
      <c r="E55" s="46"/>
      <c r="F55" s="47"/>
      <c r="G55" s="19"/>
      <c r="H55" s="19"/>
      <c r="I55" s="19"/>
    </row>
    <row r="56" spans="1:9" x14ac:dyDescent="0.2">
      <c r="A56" s="48" t="s">
        <v>56</v>
      </c>
      <c r="B56" s="19"/>
      <c r="C56" s="19"/>
      <c r="D56" s="19"/>
      <c r="E56" s="19"/>
      <c r="F56" s="20"/>
      <c r="G56" s="19"/>
      <c r="H56" s="19"/>
      <c r="I56" s="19"/>
    </row>
    <row r="57" spans="1:9" x14ac:dyDescent="0.2">
      <c r="A57" s="48" t="s">
        <v>50</v>
      </c>
      <c r="B57" s="19"/>
      <c r="C57" s="19"/>
      <c r="D57" s="19"/>
      <c r="E57" s="19"/>
      <c r="F57" s="20"/>
      <c r="G57" s="19"/>
      <c r="H57" s="19"/>
      <c r="I57" s="19"/>
    </row>
    <row r="58" spans="1:9" x14ac:dyDescent="0.2">
      <c r="A58" s="44"/>
      <c r="B58" s="7" t="s">
        <v>51</v>
      </c>
      <c r="C58" s="19"/>
      <c r="D58" s="19"/>
      <c r="E58" s="19"/>
      <c r="F58" s="20"/>
      <c r="G58" s="19"/>
      <c r="H58" s="19"/>
      <c r="I58" s="19"/>
    </row>
    <row r="59" spans="1:9" x14ac:dyDescent="0.2">
      <c r="A59" s="44" t="s">
        <v>6</v>
      </c>
      <c r="B59" s="19"/>
      <c r="C59" s="19"/>
      <c r="D59" s="19"/>
      <c r="E59" s="19"/>
      <c r="F59" s="20"/>
      <c r="G59" s="19"/>
      <c r="H59" s="19"/>
      <c r="I59" s="19"/>
    </row>
    <row r="60" spans="1:9" x14ac:dyDescent="0.2">
      <c r="A60" s="44"/>
      <c r="B60" s="19" t="s">
        <v>52</v>
      </c>
      <c r="C60" s="19"/>
      <c r="D60" s="19"/>
      <c r="E60" s="19"/>
      <c r="F60" s="20"/>
      <c r="G60" s="19"/>
      <c r="H60" s="19"/>
      <c r="I60" s="19"/>
    </row>
    <row r="61" spans="1:9" x14ac:dyDescent="0.2">
      <c r="A61" s="48" t="s">
        <v>53</v>
      </c>
      <c r="B61" s="19"/>
      <c r="C61" s="49"/>
      <c r="D61" s="19"/>
      <c r="E61" s="19"/>
      <c r="F61" s="20"/>
      <c r="G61" s="19"/>
    </row>
    <row r="62" spans="1:9" x14ac:dyDescent="0.2">
      <c r="A62" s="48"/>
      <c r="B62" s="7"/>
      <c r="C62" s="50" t="s">
        <v>3</v>
      </c>
      <c r="D62" s="19"/>
      <c r="E62" s="19"/>
      <c r="F62" s="20"/>
      <c r="G62" s="19"/>
    </row>
    <row r="63" spans="1:9" x14ac:dyDescent="0.2">
      <c r="A63" s="51"/>
      <c r="B63" s="52" t="s">
        <v>4</v>
      </c>
      <c r="C63" s="8"/>
      <c r="D63" s="53"/>
      <c r="E63" s="63">
        <f>+C53</f>
        <v>76094027</v>
      </c>
      <c r="F63" s="20"/>
      <c r="G63" s="19"/>
    </row>
    <row r="64" spans="1:9" x14ac:dyDescent="0.2">
      <c r="A64" s="44"/>
      <c r="B64" s="19" t="s">
        <v>57</v>
      </c>
      <c r="C64" s="8"/>
      <c r="D64" s="54"/>
      <c r="E64" s="62"/>
      <c r="F64" s="20"/>
      <c r="G64" s="19"/>
    </row>
    <row r="65" spans="1:7" x14ac:dyDescent="0.2">
      <c r="A65" s="48"/>
      <c r="B65" s="7"/>
      <c r="C65" s="7" t="s">
        <v>58</v>
      </c>
      <c r="D65" s="54"/>
      <c r="E65" s="62">
        <v>-1196907</v>
      </c>
      <c r="F65" s="20"/>
      <c r="G65" s="19"/>
    </row>
    <row r="66" spans="1:7" x14ac:dyDescent="0.2">
      <c r="A66" s="48"/>
      <c r="B66" s="7"/>
      <c r="C66" s="7" t="s">
        <v>59</v>
      </c>
      <c r="D66" s="54"/>
      <c r="E66" s="62">
        <v>-1000000</v>
      </c>
      <c r="F66" s="20"/>
      <c r="G66" s="19"/>
    </row>
    <row r="67" spans="1:7" x14ac:dyDescent="0.2">
      <c r="A67" s="48"/>
      <c r="B67" s="7"/>
      <c r="C67" s="7" t="s">
        <v>60</v>
      </c>
      <c r="D67" s="54"/>
      <c r="E67" s="62">
        <v>-638291</v>
      </c>
      <c r="F67" s="20"/>
      <c r="G67" s="19"/>
    </row>
    <row r="68" spans="1:7" x14ac:dyDescent="0.2">
      <c r="A68" s="48"/>
      <c r="B68" s="7"/>
      <c r="C68" s="7" t="s">
        <v>61</v>
      </c>
      <c r="D68" s="54"/>
      <c r="E68" s="62">
        <v>-1023834</v>
      </c>
      <c r="F68" s="20"/>
      <c r="G68" s="19"/>
    </row>
    <row r="69" spans="1:7" x14ac:dyDescent="0.2">
      <c r="A69" s="48"/>
      <c r="B69" s="7"/>
      <c r="C69" s="7" t="s">
        <v>62</v>
      </c>
      <c r="D69" s="54"/>
      <c r="E69" s="62">
        <v>-1203198</v>
      </c>
      <c r="F69" s="20"/>
      <c r="G69" s="19"/>
    </row>
    <row r="70" spans="1:7" x14ac:dyDescent="0.2">
      <c r="A70" s="48"/>
      <c r="B70" s="7"/>
      <c r="C70" s="7" t="s">
        <v>63</v>
      </c>
      <c r="D70" s="54"/>
      <c r="E70" s="62">
        <v>-339754</v>
      </c>
      <c r="F70" s="79">
        <f>SUM(E65:E70)</f>
        <v>-5401984</v>
      </c>
      <c r="G70" s="19"/>
    </row>
    <row r="71" spans="1:7" x14ac:dyDescent="0.2">
      <c r="A71" s="48"/>
      <c r="B71" s="14"/>
      <c r="C71" s="14"/>
      <c r="D71" s="55"/>
      <c r="E71" s="80"/>
      <c r="F71" s="20"/>
      <c r="G71" s="19"/>
    </row>
    <row r="72" spans="1:7" x14ac:dyDescent="0.2">
      <c r="A72" s="51"/>
      <c r="B72" s="52" t="s">
        <v>7</v>
      </c>
      <c r="C72" s="8"/>
      <c r="D72" s="53"/>
      <c r="E72" s="64">
        <f>SUM(E63:E71)</f>
        <v>70692043</v>
      </c>
      <c r="F72" s="20"/>
      <c r="G72" s="19"/>
    </row>
    <row r="73" spans="1:7" x14ac:dyDescent="0.2">
      <c r="A73" s="57"/>
      <c r="B73" s="56" t="s">
        <v>77</v>
      </c>
      <c r="C73" s="8"/>
      <c r="D73" s="53"/>
      <c r="E73" s="78">
        <f>+D53</f>
        <v>70863824.780000001</v>
      </c>
      <c r="F73" s="20"/>
      <c r="G73" s="19"/>
    </row>
    <row r="74" spans="1:7" x14ac:dyDescent="0.2">
      <c r="A74" s="48"/>
      <c r="B74" s="7"/>
      <c r="C74" s="8"/>
      <c r="D74" s="54"/>
      <c r="E74" s="62"/>
      <c r="F74" s="20"/>
      <c r="G74" s="19"/>
    </row>
    <row r="75" spans="1:7" ht="13.5" thickBot="1" x14ac:dyDescent="0.25">
      <c r="A75" s="58"/>
      <c r="B75" s="59" t="s">
        <v>5</v>
      </c>
      <c r="C75" s="60"/>
      <c r="D75" s="61"/>
      <c r="E75" s="65">
        <f>+E73-E72</f>
        <v>171781.78000000119</v>
      </c>
      <c r="F75" s="21"/>
      <c r="G75" s="19"/>
    </row>
    <row r="76" spans="1:7" ht="12" customHeight="1" x14ac:dyDescent="0.2">
      <c r="A76" s="70" t="s">
        <v>72</v>
      </c>
      <c r="B76" s="71"/>
      <c r="C76" s="6"/>
      <c r="D76" s="22"/>
      <c r="E76" s="22"/>
    </row>
    <row r="77" spans="1:7" ht="12" customHeight="1" x14ac:dyDescent="0.2">
      <c r="A77" s="70"/>
      <c r="B77" s="71" t="s">
        <v>73</v>
      </c>
      <c r="C77" s="6"/>
    </row>
    <row r="78" spans="1:7" ht="12" customHeight="1" x14ac:dyDescent="0.2">
      <c r="A78" s="70"/>
      <c r="B78" s="71" t="s">
        <v>74</v>
      </c>
    </row>
    <row r="79" spans="1:7" ht="12" customHeight="1" x14ac:dyDescent="0.2">
      <c r="A79" s="70"/>
      <c r="B79" s="71" t="s">
        <v>75</v>
      </c>
      <c r="C79" s="23"/>
    </row>
    <row r="80" spans="1:7" x14ac:dyDescent="0.2">
      <c r="B80" s="3"/>
      <c r="C80" s="23"/>
    </row>
    <row r="81" spans="2:3" x14ac:dyDescent="0.2">
      <c r="B81" s="3"/>
      <c r="C81" s="23"/>
    </row>
    <row r="82" spans="2:3" x14ac:dyDescent="0.2">
      <c r="B82" s="3"/>
      <c r="C82" s="23"/>
    </row>
    <row r="83" spans="2:3" x14ac:dyDescent="0.2">
      <c r="B83" s="3"/>
      <c r="C83" s="24"/>
    </row>
    <row r="84" spans="2:3" x14ac:dyDescent="0.2">
      <c r="B84" s="3"/>
      <c r="C84" s="24"/>
    </row>
    <row r="86" spans="2:3" x14ac:dyDescent="0.2">
      <c r="B86" s="3"/>
      <c r="C86" s="24"/>
    </row>
  </sheetData>
  <mergeCells count="4">
    <mergeCell ref="B1:F1"/>
    <mergeCell ref="B2:F2"/>
    <mergeCell ref="B3:F3"/>
    <mergeCell ref="B4:F4"/>
  </mergeCells>
  <phoneticPr fontId="2" type="noConversion"/>
  <pageMargins left="0.75" right="0.75" top="0" bottom="0" header="0.5" footer="0.5"/>
  <pageSetup scale="78" orientation="portrait" horizontalDpi="1200" verticalDpi="1200" r:id="rId1"/>
  <headerFooter alignWithMargins="0">
    <oddFooter>&amp;R
P:\01_Dorothy\STF Report\2008-09\Summary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K74"/>
  <sheetViews>
    <sheetView workbookViewId="0">
      <selection activeCell="C66" sqref="C66"/>
    </sheetView>
  </sheetViews>
  <sheetFormatPr defaultRowHeight="12.75" x14ac:dyDescent="0.2"/>
  <cols>
    <col min="1" max="1" width="6.28515625" style="2" customWidth="1"/>
    <col min="2" max="2" width="29" style="2" customWidth="1"/>
    <col min="3" max="3" width="13.85546875" style="2" customWidth="1"/>
    <col min="4" max="4" width="12.5703125" style="2" customWidth="1"/>
    <col min="5" max="5" width="14.140625" style="2" customWidth="1"/>
    <col min="6" max="6" width="12.85546875" style="2" customWidth="1"/>
    <col min="7" max="7" width="12.5703125" style="27" customWidth="1"/>
    <col min="8" max="8" width="6.140625" style="22" customWidth="1"/>
    <col min="9" max="9" width="6" style="2" customWidth="1"/>
    <col min="10" max="10" width="7.7109375" style="2" customWidth="1"/>
    <col min="11" max="11" width="7.85546875" style="2" customWidth="1"/>
    <col min="12" max="12" width="8.140625" style="2" customWidth="1"/>
    <col min="13" max="13" width="7.28515625" style="2" customWidth="1"/>
    <col min="14" max="14" width="7.5703125" style="2" customWidth="1"/>
    <col min="15" max="16384" width="9.140625" style="2"/>
  </cols>
  <sheetData>
    <row r="1" spans="1:7" x14ac:dyDescent="0.2">
      <c r="B1" s="363" t="s">
        <v>0</v>
      </c>
      <c r="C1" s="363"/>
      <c r="D1" s="363"/>
      <c r="E1" s="363"/>
      <c r="F1" s="363"/>
    </row>
    <row r="2" spans="1:7" x14ac:dyDescent="0.2">
      <c r="B2" s="363" t="s">
        <v>1</v>
      </c>
      <c r="C2" s="363"/>
      <c r="D2" s="363"/>
      <c r="E2" s="363"/>
      <c r="F2" s="363"/>
    </row>
    <row r="3" spans="1:7" x14ac:dyDescent="0.2">
      <c r="B3" s="363" t="s">
        <v>83</v>
      </c>
      <c r="C3" s="363"/>
      <c r="D3" s="363"/>
      <c r="E3" s="363"/>
      <c r="F3" s="363"/>
    </row>
    <row r="4" spans="1:7" x14ac:dyDescent="0.2">
      <c r="B4" s="364" t="s">
        <v>106</v>
      </c>
      <c r="C4" s="364"/>
      <c r="D4" s="364"/>
      <c r="E4" s="364"/>
      <c r="F4" s="364"/>
    </row>
    <row r="5" spans="1:7" x14ac:dyDescent="0.2">
      <c r="B5" s="3"/>
      <c r="F5" s="27"/>
    </row>
    <row r="6" spans="1:7" x14ac:dyDescent="0.2">
      <c r="A6" s="27"/>
      <c r="B6" s="27"/>
      <c r="C6" s="114" t="s">
        <v>23</v>
      </c>
      <c r="D6" s="168" t="s">
        <v>68</v>
      </c>
      <c r="E6" s="166" t="s">
        <v>40</v>
      </c>
      <c r="F6" s="365" t="s">
        <v>91</v>
      </c>
      <c r="G6" s="366"/>
    </row>
    <row r="7" spans="1:7" x14ac:dyDescent="0.2">
      <c r="A7" s="27" t="s">
        <v>55</v>
      </c>
      <c r="B7" s="27" t="s">
        <v>54</v>
      </c>
      <c r="C7" s="114" t="s">
        <v>43</v>
      </c>
      <c r="D7" s="168" t="s">
        <v>69</v>
      </c>
      <c r="E7" s="166" t="s">
        <v>94</v>
      </c>
      <c r="F7" s="365" t="s">
        <v>100</v>
      </c>
      <c r="G7" s="366"/>
    </row>
    <row r="8" spans="1:7" ht="13.5" thickBot="1" x14ac:dyDescent="0.25">
      <c r="A8" s="37"/>
      <c r="B8" s="37"/>
      <c r="C8" s="115" t="s">
        <v>44</v>
      </c>
      <c r="D8" s="169" t="s">
        <v>70</v>
      </c>
      <c r="E8" s="167" t="s">
        <v>95</v>
      </c>
      <c r="F8" s="162" t="s">
        <v>92</v>
      </c>
      <c r="G8" s="163" t="s">
        <v>93</v>
      </c>
    </row>
    <row r="9" spans="1:7" x14ac:dyDescent="0.2">
      <c r="A9" s="9" t="s">
        <v>46</v>
      </c>
      <c r="C9" s="116"/>
      <c r="D9" s="170"/>
      <c r="E9" s="117"/>
      <c r="F9" s="118"/>
    </row>
    <row r="10" spans="1:7" x14ac:dyDescent="0.2">
      <c r="A10" s="27"/>
      <c r="B10" s="3" t="s">
        <v>27</v>
      </c>
      <c r="C10" s="119">
        <f>1923357+8128664+6548396</f>
        <v>16600417</v>
      </c>
      <c r="D10" s="171"/>
      <c r="E10" s="120">
        <v>18080956</v>
      </c>
      <c r="F10" s="121"/>
      <c r="G10" s="151"/>
    </row>
    <row r="11" spans="1:7" x14ac:dyDescent="0.2">
      <c r="A11" s="27"/>
      <c r="B11" s="3" t="s">
        <v>28</v>
      </c>
      <c r="C11" s="119">
        <f>4877094+12223028+11914646</f>
        <v>29014768</v>
      </c>
      <c r="D11" s="171">
        <v>48443370.82</v>
      </c>
      <c r="E11" s="120">
        <v>29981167</v>
      </c>
      <c r="F11" s="121"/>
      <c r="G11" s="151"/>
    </row>
    <row r="12" spans="1:7" x14ac:dyDescent="0.2">
      <c r="A12" s="27"/>
      <c r="B12" s="3" t="s">
        <v>29</v>
      </c>
      <c r="C12" s="119">
        <f>3274931+5900196+5460447</f>
        <v>14635574</v>
      </c>
      <c r="D12" s="171">
        <v>17600158.07</v>
      </c>
      <c r="E12" s="120">
        <v>15795887</v>
      </c>
      <c r="F12" s="121"/>
      <c r="G12" s="151"/>
    </row>
    <row r="13" spans="1:7" x14ac:dyDescent="0.2">
      <c r="A13" s="27"/>
      <c r="B13" s="14" t="s">
        <v>30</v>
      </c>
      <c r="C13" s="122">
        <f>478179+881425+777756</f>
        <v>2137360</v>
      </c>
      <c r="D13" s="172"/>
      <c r="E13" s="123">
        <v>1582510</v>
      </c>
      <c r="F13" s="124"/>
      <c r="G13" s="152"/>
    </row>
    <row r="14" spans="1:7" x14ac:dyDescent="0.2">
      <c r="A14" s="27"/>
      <c r="B14" s="9" t="s">
        <v>25</v>
      </c>
      <c r="C14" s="125">
        <f>SUM(C10:C13)</f>
        <v>62388119</v>
      </c>
      <c r="D14" s="173">
        <f>SUM(D10:D13)</f>
        <v>66043528.890000001</v>
      </c>
      <c r="E14" s="126">
        <f>SUM(E10:E13)</f>
        <v>65440520</v>
      </c>
      <c r="F14" s="127">
        <f>+D14-C14</f>
        <v>3655409.8900000006</v>
      </c>
      <c r="G14" s="151">
        <f>+F14/C14</f>
        <v>5.859144254693751E-2</v>
      </c>
    </row>
    <row r="15" spans="1:7" x14ac:dyDescent="0.2">
      <c r="A15" s="9" t="s">
        <v>45</v>
      </c>
      <c r="C15" s="119"/>
      <c r="D15" s="171"/>
      <c r="E15" s="128"/>
      <c r="F15" s="121"/>
      <c r="G15" s="151"/>
    </row>
    <row r="16" spans="1:7" x14ac:dyDescent="0.2">
      <c r="A16" s="27"/>
      <c r="B16" s="3" t="s">
        <v>27</v>
      </c>
      <c r="C16" s="119">
        <f>401725+3238394+2504791</f>
        <v>6144910</v>
      </c>
      <c r="D16" s="171"/>
      <c r="E16" s="120">
        <v>2770170</v>
      </c>
      <c r="F16" s="121"/>
      <c r="G16" s="151"/>
    </row>
    <row r="17" spans="1:11" x14ac:dyDescent="0.2">
      <c r="A17" s="27"/>
      <c r="B17" s="3" t="s">
        <v>28</v>
      </c>
      <c r="C17" s="119">
        <f>1008669+3521200+3343329</f>
        <v>7873198</v>
      </c>
      <c r="D17" s="171">
        <v>10934746.91</v>
      </c>
      <c r="E17" s="120">
        <v>8698056</v>
      </c>
      <c r="F17" s="121"/>
      <c r="G17" s="151"/>
    </row>
    <row r="18" spans="1:11" x14ac:dyDescent="0.2">
      <c r="A18" s="27"/>
      <c r="B18" s="3" t="s">
        <v>29</v>
      </c>
      <c r="C18" s="119">
        <f>678048+2048132+1360995</f>
        <v>4087175</v>
      </c>
      <c r="D18" s="171">
        <v>5169300.66</v>
      </c>
      <c r="E18" s="120">
        <v>3882556</v>
      </c>
      <c r="F18" s="121"/>
      <c r="G18" s="151"/>
      <c r="K18" s="22"/>
    </row>
    <row r="19" spans="1:11" x14ac:dyDescent="0.2">
      <c r="A19" s="27"/>
      <c r="B19" s="14" t="s">
        <v>30</v>
      </c>
      <c r="C19" s="122">
        <f>355315+715684+774771</f>
        <v>1845770</v>
      </c>
      <c r="D19" s="172"/>
      <c r="E19" s="123">
        <v>1126236</v>
      </c>
      <c r="F19" s="124"/>
      <c r="G19" s="152"/>
      <c r="K19" s="22"/>
    </row>
    <row r="20" spans="1:11" x14ac:dyDescent="0.2">
      <c r="A20" s="27"/>
      <c r="B20" s="9" t="s">
        <v>26</v>
      </c>
      <c r="C20" s="125">
        <f>SUM(C16:C19)</f>
        <v>19951053</v>
      </c>
      <c r="D20" s="173">
        <f>SUM(D16:D19)</f>
        <v>16104047.57</v>
      </c>
      <c r="E20" s="126">
        <f>SUM(E16:E19)</f>
        <v>16477018</v>
      </c>
      <c r="F20" s="127">
        <f>+D20-C20</f>
        <v>-3847005.4299999997</v>
      </c>
      <c r="G20" s="153">
        <f>+F20/C20</f>
        <v>-0.19282217484961819</v>
      </c>
      <c r="K20" s="22"/>
    </row>
    <row r="21" spans="1:11" x14ac:dyDescent="0.2">
      <c r="A21" s="42"/>
      <c r="B21" s="104" t="s">
        <v>48</v>
      </c>
      <c r="C21" s="129">
        <f>+C20+C14</f>
        <v>82339172</v>
      </c>
      <c r="D21" s="174">
        <f>+D20+D14</f>
        <v>82147576.460000008</v>
      </c>
      <c r="E21" s="130">
        <f>+E20+E14-1</f>
        <v>81917537</v>
      </c>
      <c r="F21" s="131">
        <f>+F20+F14</f>
        <v>-191595.53999999911</v>
      </c>
      <c r="G21" s="154">
        <f>+F21/C21</f>
        <v>-2.3269063235175488E-3</v>
      </c>
      <c r="K21" s="22"/>
    </row>
    <row r="22" spans="1:11" x14ac:dyDescent="0.2">
      <c r="A22" s="27" t="s">
        <v>38</v>
      </c>
      <c r="B22" s="28"/>
      <c r="C22" s="132"/>
      <c r="D22" s="173"/>
      <c r="E22" s="133"/>
      <c r="F22" s="134"/>
      <c r="G22" s="151"/>
      <c r="K22" s="22"/>
    </row>
    <row r="23" spans="1:11" x14ac:dyDescent="0.2">
      <c r="A23" s="27"/>
      <c r="B23" s="7" t="s">
        <v>49</v>
      </c>
      <c r="C23" s="119">
        <v>587560</v>
      </c>
      <c r="D23" s="171">
        <v>631611.96</v>
      </c>
      <c r="E23" s="135">
        <v>600000</v>
      </c>
      <c r="F23" s="121"/>
      <c r="G23" s="151"/>
      <c r="K23" s="22"/>
    </row>
    <row r="24" spans="1:11" x14ac:dyDescent="0.2">
      <c r="A24" s="27"/>
      <c r="B24" s="7" t="s">
        <v>2</v>
      </c>
      <c r="C24" s="119">
        <v>241477</v>
      </c>
      <c r="D24" s="171">
        <v>590548.01</v>
      </c>
      <c r="E24" s="135">
        <v>585000</v>
      </c>
      <c r="F24" s="121"/>
      <c r="G24" s="151"/>
      <c r="K24" s="22"/>
    </row>
    <row r="25" spans="1:11" x14ac:dyDescent="0.2">
      <c r="A25" s="27"/>
      <c r="B25" s="7" t="s">
        <v>35</v>
      </c>
      <c r="C25" s="119">
        <v>29900</v>
      </c>
      <c r="D25" s="171">
        <v>39212</v>
      </c>
      <c r="E25" s="135">
        <v>36000</v>
      </c>
      <c r="F25" s="121"/>
      <c r="G25" s="151"/>
      <c r="K25" s="22"/>
    </row>
    <row r="26" spans="1:11" x14ac:dyDescent="0.2">
      <c r="B26" s="7" t="s">
        <v>37</v>
      </c>
      <c r="C26" s="119">
        <v>2270000</v>
      </c>
      <c r="D26" s="171">
        <f>809575.88-218275.68</f>
        <v>591300.19999999995</v>
      </c>
      <c r="E26" s="135">
        <v>789000</v>
      </c>
      <c r="F26" s="121"/>
      <c r="G26" s="151"/>
      <c r="K26" s="22"/>
    </row>
    <row r="27" spans="1:11" x14ac:dyDescent="0.2">
      <c r="B27" s="7" t="s">
        <v>84</v>
      </c>
      <c r="C27" s="119">
        <v>1941376</v>
      </c>
      <c r="D27" s="171">
        <v>1971216.83</v>
      </c>
      <c r="E27" s="135">
        <v>2150000</v>
      </c>
      <c r="F27" s="121"/>
      <c r="G27" s="151"/>
      <c r="K27" s="22"/>
    </row>
    <row r="28" spans="1:11" x14ac:dyDescent="0.2">
      <c r="B28" s="7" t="s">
        <v>34</v>
      </c>
      <c r="C28" s="119"/>
      <c r="D28" s="171">
        <v>6155</v>
      </c>
      <c r="E28" s="135">
        <f>+D28</f>
        <v>6155</v>
      </c>
      <c r="F28" s="121"/>
      <c r="G28" s="151"/>
      <c r="K28" s="22"/>
    </row>
    <row r="29" spans="1:11" x14ac:dyDescent="0.2">
      <c r="B29" s="7" t="s">
        <v>65</v>
      </c>
      <c r="C29" s="119">
        <v>1000000</v>
      </c>
      <c r="D29" s="171">
        <v>0</v>
      </c>
      <c r="E29" s="135">
        <v>0</v>
      </c>
      <c r="F29" s="121"/>
      <c r="G29" s="151"/>
    </row>
    <row r="30" spans="1:11" x14ac:dyDescent="0.2">
      <c r="B30" s="7" t="s">
        <v>78</v>
      </c>
      <c r="C30" s="119"/>
      <c r="D30" s="171">
        <v>14</v>
      </c>
      <c r="E30" s="135">
        <f>+D30</f>
        <v>14</v>
      </c>
      <c r="F30" s="121"/>
      <c r="G30" s="151"/>
    </row>
    <row r="31" spans="1:11" x14ac:dyDescent="0.2">
      <c r="B31" s="7" t="s">
        <v>36</v>
      </c>
      <c r="C31" s="119">
        <v>35199</v>
      </c>
      <c r="D31" s="171">
        <v>35199</v>
      </c>
      <c r="E31" s="135">
        <v>35199</v>
      </c>
      <c r="F31" s="121"/>
      <c r="G31" s="152"/>
    </row>
    <row r="32" spans="1:11" x14ac:dyDescent="0.2">
      <c r="B32" s="105" t="s">
        <v>39</v>
      </c>
      <c r="C32" s="136">
        <f>SUM(C23:C31)</f>
        <v>6105512</v>
      </c>
      <c r="D32" s="137">
        <f>SUM(D23:D31)</f>
        <v>3865257</v>
      </c>
      <c r="E32" s="137">
        <f>SUM(E23:E31)</f>
        <v>4201368</v>
      </c>
      <c r="F32" s="138">
        <f>+D32-C32</f>
        <v>-2240255</v>
      </c>
      <c r="G32" s="157">
        <f>+F32/C32</f>
        <v>-0.36692336367531503</v>
      </c>
    </row>
    <row r="33" spans="1:9" ht="13.5" thickBot="1" x14ac:dyDescent="0.25">
      <c r="A33" s="106" t="s">
        <v>47</v>
      </c>
      <c r="B33" s="107"/>
      <c r="C33" s="139">
        <f>+C32+C21</f>
        <v>88444684</v>
      </c>
      <c r="D33" s="164">
        <f>+D32+D21</f>
        <v>86012833.460000008</v>
      </c>
      <c r="E33" s="140">
        <f>+E32+E21</f>
        <v>86118905</v>
      </c>
      <c r="F33" s="141">
        <f>+F32+F21</f>
        <v>-2431850.5399999991</v>
      </c>
      <c r="G33" s="158">
        <f>+F33/C33</f>
        <v>-2.7495723089473633E-2</v>
      </c>
    </row>
    <row r="34" spans="1:9" ht="13.5" thickTop="1" x14ac:dyDescent="0.2">
      <c r="A34" s="27" t="s">
        <v>71</v>
      </c>
      <c r="B34" s="12"/>
      <c r="C34" s="142"/>
      <c r="D34" s="120"/>
      <c r="E34" s="120"/>
      <c r="F34" s="121"/>
      <c r="G34" s="151"/>
    </row>
    <row r="35" spans="1:9" x14ac:dyDescent="0.2">
      <c r="A35" s="27"/>
      <c r="B35" s="3" t="s">
        <v>17</v>
      </c>
      <c r="C35" s="119">
        <v>-5281962</v>
      </c>
      <c r="D35" s="171">
        <v>-5281962</v>
      </c>
      <c r="E35" s="135">
        <v>-5281962</v>
      </c>
      <c r="F35" s="121">
        <f>+E35-C35</f>
        <v>0</v>
      </c>
      <c r="G35" s="151"/>
    </row>
    <row r="36" spans="1:9" x14ac:dyDescent="0.2">
      <c r="A36" s="27"/>
      <c r="B36" s="2" t="s">
        <v>87</v>
      </c>
      <c r="C36" s="119"/>
      <c r="D36" s="171">
        <v>-1091890.07</v>
      </c>
      <c r="E36" s="135">
        <v>-980000</v>
      </c>
      <c r="F36" s="121">
        <f>+E36-C36</f>
        <v>-980000</v>
      </c>
      <c r="G36" s="151"/>
    </row>
    <row r="37" spans="1:9" x14ac:dyDescent="0.2">
      <c r="B37" s="14"/>
      <c r="C37" s="122"/>
      <c r="D37" s="123"/>
      <c r="E37" s="143"/>
      <c r="F37" s="124">
        <f>+E37-C37</f>
        <v>0</v>
      </c>
      <c r="G37" s="152"/>
    </row>
    <row r="38" spans="1:9" x14ac:dyDescent="0.2">
      <c r="A38" s="108" t="s">
        <v>33</v>
      </c>
      <c r="B38" s="108" t="s">
        <v>33</v>
      </c>
      <c r="C38" s="144">
        <f>SUM(C35:C37)</f>
        <v>-5281962</v>
      </c>
      <c r="D38" s="145">
        <f>SUM(D35:D37)</f>
        <v>-6373852.0700000003</v>
      </c>
      <c r="E38" s="145">
        <f>SUM(E35:E37)</f>
        <v>-6261962</v>
      </c>
      <c r="F38" s="146">
        <f>SUM(F35:F37)</f>
        <v>-980000</v>
      </c>
      <c r="G38" s="159">
        <f>-F38/C38</f>
        <v>-0.18553711670019588</v>
      </c>
    </row>
    <row r="39" spans="1:9" ht="13.5" thickBot="1" x14ac:dyDescent="0.25">
      <c r="A39" s="109" t="s">
        <v>88</v>
      </c>
      <c r="B39" s="109"/>
      <c r="C39" s="147">
        <f>+C38+C33</f>
        <v>83162722</v>
      </c>
      <c r="D39" s="165">
        <f>+D38+D33</f>
        <v>79638981.390000015</v>
      </c>
      <c r="E39" s="148">
        <f>+E38+E33</f>
        <v>79856943</v>
      </c>
      <c r="F39" s="149">
        <f>+F38+F33</f>
        <v>-3411850.5399999991</v>
      </c>
      <c r="G39" s="160">
        <f>+F39/C39</f>
        <v>-4.1026200898041786E-2</v>
      </c>
    </row>
    <row r="40" spans="1:9" ht="14.25" thickTop="1" thickBot="1" x14ac:dyDescent="0.25">
      <c r="B40" s="36" t="s">
        <v>89</v>
      </c>
      <c r="C40" s="142"/>
      <c r="D40" s="182">
        <f>+D39/C39</f>
        <v>0.95762836370363169</v>
      </c>
      <c r="E40" s="183">
        <f>+E39/C39</f>
        <v>0.96024926889718687</v>
      </c>
      <c r="F40" s="184"/>
      <c r="I40" s="161"/>
    </row>
    <row r="41" spans="1:9" x14ac:dyDescent="0.2">
      <c r="A41" s="82" t="s">
        <v>90</v>
      </c>
      <c r="B41" s="83"/>
      <c r="C41" s="83"/>
      <c r="D41" s="83"/>
      <c r="E41" s="83"/>
      <c r="F41" s="83"/>
      <c r="G41" s="185"/>
      <c r="H41" s="150"/>
      <c r="I41" s="19"/>
    </row>
    <row r="42" spans="1:9" x14ac:dyDescent="0.2">
      <c r="A42" s="84" t="s">
        <v>56</v>
      </c>
      <c r="B42" s="85"/>
      <c r="C42" s="85"/>
      <c r="D42" s="85"/>
      <c r="E42" s="85"/>
      <c r="F42" s="85"/>
      <c r="G42" s="186"/>
      <c r="H42" s="150"/>
      <c r="I42" s="19"/>
    </row>
    <row r="43" spans="1:9" x14ac:dyDescent="0.2">
      <c r="A43" s="84" t="s">
        <v>50</v>
      </c>
      <c r="B43" s="85"/>
      <c r="C43" s="85"/>
      <c r="D43" s="85"/>
      <c r="E43" s="85"/>
      <c r="F43" s="85"/>
      <c r="G43" s="186"/>
      <c r="H43" s="150"/>
      <c r="I43" s="19"/>
    </row>
    <row r="44" spans="1:9" x14ac:dyDescent="0.2">
      <c r="A44" s="86"/>
      <c r="B44" s="87" t="s">
        <v>51</v>
      </c>
      <c r="C44" s="85"/>
      <c r="D44" s="85"/>
      <c r="E44" s="85"/>
      <c r="F44" s="85"/>
      <c r="G44" s="186"/>
      <c r="H44" s="150"/>
      <c r="I44" s="19"/>
    </row>
    <row r="45" spans="1:9" x14ac:dyDescent="0.2">
      <c r="A45" s="86" t="s">
        <v>6</v>
      </c>
      <c r="B45" s="85"/>
      <c r="C45" s="85"/>
      <c r="D45" s="85"/>
      <c r="E45" s="85"/>
      <c r="F45" s="85"/>
      <c r="G45" s="186"/>
      <c r="H45" s="150"/>
      <c r="I45" s="19"/>
    </row>
    <row r="46" spans="1:9" x14ac:dyDescent="0.2">
      <c r="A46" s="86"/>
      <c r="B46" s="85" t="s">
        <v>52</v>
      </c>
      <c r="C46" s="85"/>
      <c r="D46" s="85"/>
      <c r="E46" s="85"/>
      <c r="F46" s="85"/>
      <c r="G46" s="187"/>
      <c r="H46" s="150"/>
      <c r="I46" s="19"/>
    </row>
    <row r="47" spans="1:9" x14ac:dyDescent="0.2">
      <c r="A47" s="84" t="s">
        <v>53</v>
      </c>
      <c r="B47" s="85"/>
      <c r="C47" s="88"/>
      <c r="D47" s="85"/>
      <c r="E47" s="85"/>
      <c r="F47" s="85"/>
      <c r="G47" s="187"/>
    </row>
    <row r="48" spans="1:9" x14ac:dyDescent="0.2">
      <c r="A48" s="84"/>
      <c r="B48" s="87"/>
      <c r="C48" s="89" t="s">
        <v>3</v>
      </c>
      <c r="D48" s="85"/>
      <c r="E48" s="85"/>
      <c r="F48" s="85"/>
      <c r="G48" s="187"/>
    </row>
    <row r="49" spans="1:7" x14ac:dyDescent="0.2">
      <c r="A49" s="90"/>
      <c r="B49" s="91" t="s">
        <v>4</v>
      </c>
      <c r="C49" s="92"/>
      <c r="D49" s="93"/>
      <c r="E49" s="94">
        <f>+C39</f>
        <v>83162722</v>
      </c>
      <c r="F49" s="85"/>
      <c r="G49" s="187"/>
    </row>
    <row r="50" spans="1:7" x14ac:dyDescent="0.2">
      <c r="A50" s="86"/>
      <c r="B50" s="85" t="s">
        <v>57</v>
      </c>
      <c r="C50" s="92"/>
      <c r="D50" s="95"/>
      <c r="E50" s="96"/>
      <c r="F50" s="85"/>
      <c r="G50" s="186"/>
    </row>
    <row r="51" spans="1:7" x14ac:dyDescent="0.2">
      <c r="A51" s="84"/>
      <c r="B51" s="87"/>
      <c r="C51" s="87" t="s">
        <v>58</v>
      </c>
      <c r="D51" s="95"/>
      <c r="E51" s="96">
        <v>-1196907</v>
      </c>
      <c r="F51" s="85"/>
      <c r="G51" s="186"/>
    </row>
    <row r="52" spans="1:7" x14ac:dyDescent="0.2">
      <c r="A52" s="84"/>
      <c r="B52" s="87"/>
      <c r="C52" s="87" t="s">
        <v>59</v>
      </c>
      <c r="D52" s="95"/>
      <c r="E52" s="96">
        <v>-1000000</v>
      </c>
      <c r="F52" s="85"/>
      <c r="G52" s="186"/>
    </row>
    <row r="53" spans="1:7" x14ac:dyDescent="0.2">
      <c r="A53" s="84"/>
      <c r="B53" s="87"/>
      <c r="C53" s="87" t="s">
        <v>60</v>
      </c>
      <c r="D53" s="95"/>
      <c r="E53" s="96">
        <v>-638291</v>
      </c>
      <c r="F53" s="85"/>
      <c r="G53" s="186"/>
    </row>
    <row r="54" spans="1:7" x14ac:dyDescent="0.2">
      <c r="A54" s="84"/>
      <c r="B54" s="87"/>
      <c r="C54" s="87" t="s">
        <v>61</v>
      </c>
      <c r="D54" s="95"/>
      <c r="E54" s="96">
        <v>-1023834</v>
      </c>
      <c r="F54" s="85"/>
      <c r="G54" s="187"/>
    </row>
    <row r="55" spans="1:7" x14ac:dyDescent="0.2">
      <c r="A55" s="84"/>
      <c r="B55" s="87"/>
      <c r="C55" s="87" t="s">
        <v>62</v>
      </c>
      <c r="D55" s="95"/>
      <c r="E55" s="96">
        <v>-1203198</v>
      </c>
      <c r="F55" s="85"/>
      <c r="G55" s="187"/>
    </row>
    <row r="56" spans="1:7" x14ac:dyDescent="0.2">
      <c r="A56" s="84"/>
      <c r="B56" s="87"/>
      <c r="C56" s="87" t="s">
        <v>63</v>
      </c>
      <c r="D56" s="95"/>
      <c r="E56" s="97">
        <v>-339754</v>
      </c>
      <c r="F56" s="177">
        <f>SUM(E51:E56)</f>
        <v>-5401984</v>
      </c>
      <c r="G56" s="187"/>
    </row>
    <row r="57" spans="1:7" x14ac:dyDescent="0.2">
      <c r="A57" s="84"/>
      <c r="B57" s="87"/>
      <c r="C57" s="87" t="s">
        <v>85</v>
      </c>
      <c r="D57" s="95"/>
      <c r="E57" s="96">
        <v>-1150583</v>
      </c>
      <c r="F57" s="178"/>
      <c r="G57" s="187"/>
    </row>
    <row r="58" spans="1:7" x14ac:dyDescent="0.2">
      <c r="A58" s="84"/>
      <c r="B58" s="87"/>
      <c r="C58" s="87" t="s">
        <v>85</v>
      </c>
      <c r="D58" s="95"/>
      <c r="E58" s="96">
        <v>-850000</v>
      </c>
      <c r="F58" s="178"/>
      <c r="G58" s="20"/>
    </row>
    <row r="59" spans="1:7" x14ac:dyDescent="0.2">
      <c r="A59" s="84"/>
      <c r="B59" s="98"/>
      <c r="C59" s="98" t="s">
        <v>86</v>
      </c>
      <c r="D59" s="99"/>
      <c r="E59" s="100">
        <v>-1045376</v>
      </c>
      <c r="F59" s="177">
        <f>SUM(E57:E59)</f>
        <v>-3045959</v>
      </c>
      <c r="G59" s="20"/>
    </row>
    <row r="60" spans="1:7" x14ac:dyDescent="0.2">
      <c r="A60" s="90"/>
      <c r="B60" s="110" t="s">
        <v>7</v>
      </c>
      <c r="C60" s="111"/>
      <c r="D60" s="112"/>
      <c r="E60" s="113">
        <f>SUM(E49:E59)</f>
        <v>74714779</v>
      </c>
      <c r="F60" s="179">
        <f>SUM(F59,F56)</f>
        <v>-8447943</v>
      </c>
      <c r="G60" s="20"/>
    </row>
    <row r="61" spans="1:7" x14ac:dyDescent="0.2">
      <c r="A61" s="101"/>
      <c r="B61" s="19"/>
      <c r="C61" s="102" t="s">
        <v>96</v>
      </c>
      <c r="D61" s="93"/>
      <c r="E61" s="175">
        <f>+D39</f>
        <v>79638981.390000015</v>
      </c>
      <c r="F61" s="180">
        <f>+E61/E60</f>
        <v>1.0659066714230663</v>
      </c>
      <c r="G61" s="20"/>
    </row>
    <row r="62" spans="1:7" x14ac:dyDescent="0.2">
      <c r="A62" s="84"/>
      <c r="B62" s="19"/>
      <c r="C62" s="87" t="s">
        <v>97</v>
      </c>
      <c r="D62" s="95"/>
      <c r="E62" s="176">
        <v>-448000</v>
      </c>
      <c r="F62" s="85"/>
      <c r="G62" s="20"/>
    </row>
    <row r="63" spans="1:7" x14ac:dyDescent="0.2">
      <c r="A63" s="44"/>
      <c r="B63" s="19"/>
      <c r="C63" s="87" t="s">
        <v>98</v>
      </c>
      <c r="D63" s="19"/>
      <c r="E63" s="150">
        <v>-173300</v>
      </c>
      <c r="F63" s="205">
        <f>SUM(E61:E64)</f>
        <v>78667681.390000015</v>
      </c>
      <c r="G63" s="204"/>
    </row>
    <row r="64" spans="1:7" x14ac:dyDescent="0.2">
      <c r="A64" s="44"/>
      <c r="B64" s="19"/>
      <c r="C64" s="150" t="s">
        <v>101</v>
      </c>
      <c r="D64" s="19"/>
      <c r="E64" s="150">
        <f>-850000+500000</f>
        <v>-350000</v>
      </c>
      <c r="F64" s="19"/>
      <c r="G64" s="20"/>
    </row>
    <row r="65" spans="1:8" ht="13.5" thickBot="1" x14ac:dyDescent="0.25">
      <c r="A65" s="103"/>
      <c r="B65" s="190"/>
      <c r="C65" s="191" t="s">
        <v>5</v>
      </c>
      <c r="D65" s="93"/>
      <c r="E65" s="192">
        <f>+E61-E60+E62+E63+E64</f>
        <v>3952902.3900000155</v>
      </c>
      <c r="F65" s="181"/>
      <c r="G65" s="21"/>
    </row>
    <row r="66" spans="1:8" x14ac:dyDescent="0.2">
      <c r="A66" s="188" t="s">
        <v>72</v>
      </c>
      <c r="B66" s="189"/>
      <c r="C66" s="193" t="s">
        <v>102</v>
      </c>
      <c r="D66" s="194"/>
      <c r="E66" s="195">
        <f>+D27</f>
        <v>1971216.83</v>
      </c>
      <c r="G66" s="150"/>
    </row>
    <row r="67" spans="1:8" x14ac:dyDescent="0.2">
      <c r="A67" s="188"/>
      <c r="B67" s="189" t="s">
        <v>99</v>
      </c>
      <c r="C67" s="196" t="s">
        <v>104</v>
      </c>
      <c r="D67" s="197"/>
      <c r="E67" s="198">
        <f>+E66*0.3</f>
        <v>591365.049</v>
      </c>
      <c r="G67" s="155"/>
    </row>
    <row r="68" spans="1:8" x14ac:dyDescent="0.2">
      <c r="A68" s="70"/>
      <c r="C68" s="199" t="s">
        <v>105</v>
      </c>
      <c r="D68" s="197"/>
      <c r="E68" s="200">
        <f>+E63+E62</f>
        <v>-621300</v>
      </c>
      <c r="G68" s="155"/>
      <c r="H68" s="150"/>
    </row>
    <row r="69" spans="1:8" x14ac:dyDescent="0.2">
      <c r="A69" s="70"/>
      <c r="B69" s="71"/>
      <c r="C69" s="201" t="s">
        <v>103</v>
      </c>
      <c r="D69" s="202"/>
      <c r="E69" s="203">
        <f>+E68+E67</f>
        <v>-29934.951000000001</v>
      </c>
      <c r="G69" s="155"/>
      <c r="H69" s="150"/>
    </row>
    <row r="70" spans="1:8" x14ac:dyDescent="0.2">
      <c r="B70" s="3"/>
      <c r="C70" s="23"/>
      <c r="G70" s="155"/>
      <c r="H70" s="150"/>
    </row>
    <row r="71" spans="1:8" x14ac:dyDescent="0.2">
      <c r="B71" s="3"/>
      <c r="C71" s="24"/>
      <c r="G71" s="156"/>
    </row>
    <row r="72" spans="1:8" x14ac:dyDescent="0.2">
      <c r="B72" s="3"/>
      <c r="C72" s="24"/>
    </row>
    <row r="74" spans="1:8" x14ac:dyDescent="0.2">
      <c r="B74" s="3"/>
      <c r="C74" s="24"/>
    </row>
  </sheetData>
  <mergeCells count="6">
    <mergeCell ref="F7:G7"/>
    <mergeCell ref="B1:F1"/>
    <mergeCell ref="B2:F2"/>
    <mergeCell ref="B3:F3"/>
    <mergeCell ref="B4:F4"/>
    <mergeCell ref="F6:G6"/>
  </mergeCells>
  <pageMargins left="0.7" right="0.7" top="0.25" bottom="0" header="0.3" footer="0.3"/>
  <pageSetup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K76"/>
  <sheetViews>
    <sheetView workbookViewId="0">
      <selection activeCell="H41" sqref="H41"/>
    </sheetView>
  </sheetViews>
  <sheetFormatPr defaultRowHeight="12.75" x14ac:dyDescent="0.2"/>
  <cols>
    <col min="1" max="1" width="6.28515625" style="2" customWidth="1"/>
    <col min="2" max="2" width="23.7109375" style="2" customWidth="1"/>
    <col min="3" max="3" width="13.85546875" style="2" customWidth="1"/>
    <col min="4" max="4" width="13.140625" style="2" customWidth="1"/>
    <col min="5" max="5" width="13.42578125" style="2" customWidth="1"/>
    <col min="6" max="6" width="12.42578125" style="2" customWidth="1"/>
    <col min="7" max="7" width="13.140625" style="27" customWidth="1"/>
    <col min="8" max="8" width="6.140625" style="22" customWidth="1"/>
    <col min="9" max="9" width="6" style="2" customWidth="1"/>
    <col min="10" max="10" width="8.7109375" style="2" customWidth="1"/>
    <col min="11" max="11" width="7.85546875" style="2" customWidth="1"/>
    <col min="12" max="12" width="8.140625" style="2" customWidth="1"/>
    <col min="13" max="13" width="7.28515625" style="2" customWidth="1"/>
    <col min="14" max="14" width="7.5703125" style="2" customWidth="1"/>
    <col min="15" max="16384" width="9.140625" style="2"/>
  </cols>
  <sheetData>
    <row r="1" spans="1:7" s="2" customFormat="1" x14ac:dyDescent="0.2">
      <c r="B1" s="363" t="s">
        <v>0</v>
      </c>
      <c r="C1" s="363"/>
      <c r="D1" s="363"/>
      <c r="E1" s="363"/>
      <c r="F1" s="363"/>
      <c r="G1" s="27"/>
    </row>
    <row r="2" spans="1:7" s="2" customFormat="1" x14ac:dyDescent="0.2">
      <c r="B2" s="363" t="s">
        <v>1</v>
      </c>
      <c r="C2" s="363"/>
      <c r="D2" s="363"/>
      <c r="E2" s="363"/>
      <c r="F2" s="363"/>
      <c r="G2" s="27"/>
    </row>
    <row r="3" spans="1:7" s="2" customFormat="1" x14ac:dyDescent="0.2">
      <c r="B3" s="363" t="s">
        <v>107</v>
      </c>
      <c r="C3" s="363"/>
      <c r="D3" s="363"/>
      <c r="E3" s="363"/>
      <c r="F3" s="363"/>
      <c r="G3" s="27"/>
    </row>
    <row r="4" spans="1:7" s="2" customFormat="1" x14ac:dyDescent="0.2">
      <c r="B4" s="364" t="s">
        <v>116</v>
      </c>
      <c r="C4" s="364"/>
      <c r="D4" s="364"/>
      <c r="E4" s="364"/>
      <c r="F4" s="364"/>
      <c r="G4" s="206">
        <f ca="1">NOW()</f>
        <v>40939.673048726851</v>
      </c>
    </row>
    <row r="5" spans="1:7" s="2" customFormat="1" x14ac:dyDescent="0.2">
      <c r="B5" s="3"/>
      <c r="F5" s="27"/>
      <c r="G5" s="27"/>
    </row>
    <row r="6" spans="1:7" s="2" customFormat="1" x14ac:dyDescent="0.2">
      <c r="A6" s="27"/>
      <c r="B6" s="27"/>
      <c r="C6" s="114" t="s">
        <v>23</v>
      </c>
      <c r="D6" s="168" t="s">
        <v>68</v>
      </c>
      <c r="E6" s="166" t="s">
        <v>40</v>
      </c>
      <c r="F6" s="365" t="s">
        <v>91</v>
      </c>
      <c r="G6" s="366"/>
    </row>
    <row r="7" spans="1:7" s="2" customFormat="1" x14ac:dyDescent="0.2">
      <c r="A7" s="27" t="s">
        <v>55</v>
      </c>
      <c r="B7" s="27" t="s">
        <v>54</v>
      </c>
      <c r="C7" s="114" t="s">
        <v>43</v>
      </c>
      <c r="D7" s="168" t="s">
        <v>69</v>
      </c>
      <c r="E7" s="166" t="s">
        <v>94</v>
      </c>
      <c r="F7" s="365" t="s">
        <v>100</v>
      </c>
      <c r="G7" s="366"/>
    </row>
    <row r="8" spans="1:7" s="2" customFormat="1" ht="13.5" thickBot="1" x14ac:dyDescent="0.25">
      <c r="A8" s="37"/>
      <c r="B8" s="37"/>
      <c r="C8" s="115" t="s">
        <v>44</v>
      </c>
      <c r="D8" s="169" t="s">
        <v>70</v>
      </c>
      <c r="E8" s="167" t="s">
        <v>95</v>
      </c>
      <c r="F8" s="162" t="s">
        <v>92</v>
      </c>
      <c r="G8" s="163" t="s">
        <v>93</v>
      </c>
    </row>
    <row r="9" spans="1:7" s="2" customFormat="1" x14ac:dyDescent="0.2">
      <c r="A9" s="9" t="s">
        <v>46</v>
      </c>
      <c r="C9" s="116"/>
      <c r="D9" s="170"/>
      <c r="E9" s="117"/>
      <c r="F9" s="118"/>
      <c r="G9" s="27"/>
    </row>
    <row r="10" spans="1:7" s="2" customFormat="1" x14ac:dyDescent="0.2">
      <c r="A10" s="27"/>
      <c r="B10" s="3" t="s">
        <v>27</v>
      </c>
      <c r="C10" s="119">
        <v>17948317</v>
      </c>
      <c r="D10" s="171"/>
      <c r="E10" s="120">
        <v>21761352</v>
      </c>
      <c r="F10" s="121"/>
      <c r="G10" s="151"/>
    </row>
    <row r="11" spans="1:7" s="2" customFormat="1" x14ac:dyDescent="0.2">
      <c r="A11" s="27"/>
      <c r="B11" s="3" t="s">
        <v>28</v>
      </c>
      <c r="C11" s="119">
        <v>31352529</v>
      </c>
      <c r="D11" s="171">
        <v>54213457</v>
      </c>
      <c r="E11" s="120">
        <v>32742511</v>
      </c>
      <c r="F11" s="121"/>
      <c r="G11" s="151"/>
    </row>
    <row r="12" spans="1:7" s="2" customFormat="1" x14ac:dyDescent="0.2">
      <c r="A12" s="27"/>
      <c r="B12" s="3" t="s">
        <v>29</v>
      </c>
      <c r="C12" s="119">
        <v>15824512</v>
      </c>
      <c r="D12" s="171">
        <v>19692519</v>
      </c>
      <c r="E12" s="120">
        <v>15427153</v>
      </c>
      <c r="F12" s="121"/>
      <c r="G12" s="151"/>
    </row>
    <row r="13" spans="1:7" s="2" customFormat="1" x14ac:dyDescent="0.2">
      <c r="A13" s="27"/>
      <c r="B13" s="14" t="s">
        <v>30</v>
      </c>
      <c r="C13" s="122">
        <v>2313400</v>
      </c>
      <c r="D13" s="172"/>
      <c r="E13" s="123">
        <v>3318542</v>
      </c>
      <c r="F13" s="124"/>
      <c r="G13" s="152"/>
    </row>
    <row r="14" spans="1:7" s="2" customFormat="1" x14ac:dyDescent="0.2">
      <c r="A14" s="27"/>
      <c r="B14" s="9" t="s">
        <v>25</v>
      </c>
      <c r="C14" s="125">
        <f>SUM(C10:C13)</f>
        <v>67438758</v>
      </c>
      <c r="D14" s="173">
        <f>SUM(D10:D13)</f>
        <v>73905976</v>
      </c>
      <c r="E14" s="126">
        <f>SUM(E10:E13)</f>
        <v>73249558</v>
      </c>
      <c r="F14" s="127">
        <f>+E14-C14</f>
        <v>5810800</v>
      </c>
      <c r="G14" s="151">
        <f>+F14/C14</f>
        <v>8.6164101657981301E-2</v>
      </c>
    </row>
    <row r="15" spans="1:7" s="2" customFormat="1" x14ac:dyDescent="0.2">
      <c r="A15" s="9" t="s">
        <v>45</v>
      </c>
      <c r="C15" s="119"/>
      <c r="D15" s="171"/>
      <c r="E15" s="128"/>
      <c r="F15" s="121"/>
      <c r="G15" s="151"/>
    </row>
    <row r="16" spans="1:7" s="2" customFormat="1" x14ac:dyDescent="0.2">
      <c r="A16" s="27"/>
      <c r="B16" s="3" t="s">
        <v>27</v>
      </c>
      <c r="C16" s="119">
        <v>4935600</v>
      </c>
      <c r="D16" s="171"/>
      <c r="E16" s="120">
        <v>5351902</v>
      </c>
      <c r="F16" s="121"/>
      <c r="G16" s="151"/>
    </row>
    <row r="17" spans="1:11" x14ac:dyDescent="0.2">
      <c r="A17" s="27"/>
      <c r="B17" s="3" t="s">
        <v>28</v>
      </c>
      <c r="C17" s="119">
        <v>7126300</v>
      </c>
      <c r="D17" s="171">
        <v>11199963</v>
      </c>
      <c r="E17" s="120">
        <v>5779970</v>
      </c>
      <c r="F17" s="121"/>
      <c r="G17" s="151"/>
    </row>
    <row r="18" spans="1:11" x14ac:dyDescent="0.2">
      <c r="A18" s="27"/>
      <c r="B18" s="3" t="s">
        <v>29</v>
      </c>
      <c r="C18" s="119">
        <v>3398824</v>
      </c>
      <c r="D18" s="171">
        <v>4631476</v>
      </c>
      <c r="E18" s="120">
        <v>3195020</v>
      </c>
      <c r="F18" s="121"/>
      <c r="G18" s="151"/>
      <c r="K18" s="22"/>
    </row>
    <row r="19" spans="1:11" x14ac:dyDescent="0.2">
      <c r="A19" s="27"/>
      <c r="B19" s="14" t="s">
        <v>30</v>
      </c>
      <c r="C19" s="122">
        <v>1791809</v>
      </c>
      <c r="D19" s="172"/>
      <c r="E19" s="123">
        <v>2754916</v>
      </c>
      <c r="F19" s="124"/>
      <c r="G19" s="152"/>
      <c r="K19" s="22"/>
    </row>
    <row r="20" spans="1:11" x14ac:dyDescent="0.2">
      <c r="A20" s="27"/>
      <c r="B20" s="9" t="s">
        <v>26</v>
      </c>
      <c r="C20" s="125">
        <f>SUM(C16:C19)</f>
        <v>17252533</v>
      </c>
      <c r="D20" s="173">
        <f>SUM(D16:D19)</f>
        <v>15831439</v>
      </c>
      <c r="E20" s="126">
        <f>SUM(E16:E19)</f>
        <v>17081808</v>
      </c>
      <c r="F20" s="127">
        <f>+E20-C20</f>
        <v>-170725</v>
      </c>
      <c r="G20" s="153">
        <f>+F20/C20</f>
        <v>-9.8956483665326132E-3</v>
      </c>
      <c r="K20" s="22"/>
    </row>
    <row r="21" spans="1:11" x14ac:dyDescent="0.2">
      <c r="A21" s="42"/>
      <c r="B21" s="104" t="s">
        <v>48</v>
      </c>
      <c r="C21" s="129">
        <f>+C20+C14</f>
        <v>84691291</v>
      </c>
      <c r="D21" s="174">
        <f>+D20+D14</f>
        <v>89737415</v>
      </c>
      <c r="E21" s="130">
        <f>+E20+E14-2</f>
        <v>90331364</v>
      </c>
      <c r="F21" s="131">
        <f>+F20+F14</f>
        <v>5640075</v>
      </c>
      <c r="G21" s="154">
        <f>+F21/C21</f>
        <v>6.6595690458892645E-2</v>
      </c>
      <c r="K21" s="22"/>
    </row>
    <row r="22" spans="1:11" x14ac:dyDescent="0.2">
      <c r="A22" s="27" t="s">
        <v>38</v>
      </c>
      <c r="B22" s="28"/>
      <c r="C22" s="132"/>
      <c r="D22" s="173"/>
      <c r="E22" s="133"/>
      <c r="F22" s="134"/>
      <c r="G22" s="151"/>
      <c r="K22" s="22"/>
    </row>
    <row r="23" spans="1:11" x14ac:dyDescent="0.2">
      <c r="A23" s="27"/>
      <c r="B23" s="7" t="s">
        <v>49</v>
      </c>
      <c r="C23" s="119">
        <v>587560</v>
      </c>
      <c r="D23" s="171">
        <f>707944+19660</f>
        <v>727604</v>
      </c>
      <c r="E23" s="135">
        <v>670000</v>
      </c>
      <c r="F23" s="121"/>
      <c r="G23" s="151"/>
      <c r="K23" s="22"/>
    </row>
    <row r="24" spans="1:11" x14ac:dyDescent="0.2">
      <c r="A24" s="27"/>
      <c r="B24" s="7" t="s">
        <v>2</v>
      </c>
      <c r="C24" s="119">
        <v>241477</v>
      </c>
      <c r="D24" s="171">
        <v>607813</v>
      </c>
      <c r="E24" s="135">
        <v>600000</v>
      </c>
      <c r="F24" s="121"/>
      <c r="G24" s="151"/>
      <c r="K24" s="22"/>
    </row>
    <row r="25" spans="1:11" x14ac:dyDescent="0.2">
      <c r="A25" s="27"/>
      <c r="B25" s="7" t="s">
        <v>35</v>
      </c>
      <c r="C25" s="119">
        <v>29900</v>
      </c>
      <c r="D25" s="171">
        <v>30074</v>
      </c>
      <c r="E25" s="135">
        <v>27000</v>
      </c>
      <c r="F25" s="121"/>
      <c r="G25" s="151"/>
      <c r="K25" s="22"/>
    </row>
    <row r="26" spans="1:11" x14ac:dyDescent="0.2">
      <c r="B26" s="7" t="s">
        <v>37</v>
      </c>
      <c r="C26" s="119">
        <v>3270000</v>
      </c>
      <c r="D26" s="171">
        <v>1076615</v>
      </c>
      <c r="E26" s="135">
        <v>1266000</v>
      </c>
      <c r="F26" s="121"/>
      <c r="G26" s="151"/>
      <c r="K26" s="22"/>
    </row>
    <row r="27" spans="1:11" x14ac:dyDescent="0.2">
      <c r="B27" s="7" t="s">
        <v>84</v>
      </c>
      <c r="C27" s="119">
        <f>1941376+2607765</f>
        <v>4549141</v>
      </c>
      <c r="D27" s="225">
        <f>7083600-1758206</f>
        <v>5325394</v>
      </c>
      <c r="E27" s="135">
        <v>5350000</v>
      </c>
      <c r="F27" s="121"/>
      <c r="G27" s="151"/>
      <c r="K27" s="22"/>
    </row>
    <row r="28" spans="1:11" x14ac:dyDescent="0.2">
      <c r="B28" s="7" t="s">
        <v>34</v>
      </c>
      <c r="C28" s="119"/>
      <c r="D28" s="171">
        <v>4981</v>
      </c>
      <c r="E28" s="135">
        <v>4500</v>
      </c>
      <c r="F28" s="121"/>
      <c r="G28" s="151"/>
      <c r="K28" s="22"/>
    </row>
    <row r="29" spans="1:11" x14ac:dyDescent="0.2">
      <c r="B29" s="7" t="s">
        <v>65</v>
      </c>
      <c r="C29" s="119">
        <v>1000000</v>
      </c>
      <c r="D29" s="171"/>
      <c r="E29" s="135">
        <v>0</v>
      </c>
      <c r="F29" s="121"/>
      <c r="G29" s="151"/>
    </row>
    <row r="30" spans="1:11" x14ac:dyDescent="0.2">
      <c r="B30" s="7" t="s">
        <v>78</v>
      </c>
      <c r="C30" s="119"/>
      <c r="D30" s="171"/>
      <c r="E30" s="135">
        <f>+D30</f>
        <v>0</v>
      </c>
      <c r="F30" s="121"/>
      <c r="G30" s="151"/>
    </row>
    <row r="31" spans="1:11" x14ac:dyDescent="0.2">
      <c r="B31" s="7" t="s">
        <v>36</v>
      </c>
      <c r="C31" s="119">
        <v>31158</v>
      </c>
      <c r="D31" s="171">
        <v>31158</v>
      </c>
      <c r="E31" s="135">
        <v>31158</v>
      </c>
      <c r="F31" s="121"/>
      <c r="G31" s="152"/>
    </row>
    <row r="32" spans="1:11" x14ac:dyDescent="0.2">
      <c r="B32" s="105" t="s">
        <v>39</v>
      </c>
      <c r="C32" s="136">
        <f>SUM(C23:C31)</f>
        <v>9709236</v>
      </c>
      <c r="D32" s="137">
        <f>SUM(D23:D31)</f>
        <v>7803639</v>
      </c>
      <c r="E32" s="137">
        <f>SUM(E23:E31)</f>
        <v>7948658</v>
      </c>
      <c r="F32" s="138">
        <f>+E32-C32</f>
        <v>-1760578</v>
      </c>
      <c r="G32" s="157">
        <f>+F32/C32</f>
        <v>-0.18133023030854334</v>
      </c>
    </row>
    <row r="33" spans="1:10" ht="13.5" thickBot="1" x14ac:dyDescent="0.25">
      <c r="A33" s="106" t="s">
        <v>47</v>
      </c>
      <c r="B33" s="107"/>
      <c r="C33" s="139">
        <f>+C32+C21</f>
        <v>94400527</v>
      </c>
      <c r="D33" s="164">
        <f>+D32+D21</f>
        <v>97541054</v>
      </c>
      <c r="E33" s="140">
        <f>+E32+E21</f>
        <v>98280022</v>
      </c>
      <c r="F33" s="141">
        <f>+F32+F21</f>
        <v>3879497</v>
      </c>
      <c r="G33" s="158">
        <f>+F33/C33</f>
        <v>4.1096137101014278E-2</v>
      </c>
    </row>
    <row r="34" spans="1:10" ht="13.5" thickTop="1" x14ac:dyDescent="0.2">
      <c r="A34" s="27" t="s">
        <v>71</v>
      </c>
      <c r="B34" s="12"/>
      <c r="C34" s="142"/>
      <c r="D34" s="183"/>
      <c r="E34" s="120"/>
      <c r="F34" s="121"/>
      <c r="G34" s="151"/>
    </row>
    <row r="35" spans="1:10" x14ac:dyDescent="0.2">
      <c r="A35" s="27"/>
      <c r="B35" s="3" t="s">
        <v>17</v>
      </c>
      <c r="C35" s="119">
        <v>-5188670</v>
      </c>
      <c r="D35" s="171">
        <f>+C35</f>
        <v>-5188670</v>
      </c>
      <c r="E35" s="135">
        <f>+D35</f>
        <v>-5188670</v>
      </c>
      <c r="F35" s="121">
        <f>+E35-C35</f>
        <v>0</v>
      </c>
      <c r="G35" s="151"/>
    </row>
    <row r="36" spans="1:10" x14ac:dyDescent="0.2">
      <c r="A36" s="27"/>
      <c r="B36" s="2" t="s">
        <v>87</v>
      </c>
      <c r="C36" s="119"/>
      <c r="D36" s="171">
        <v>-1553908.8</v>
      </c>
      <c r="E36" s="135">
        <f>+D36</f>
        <v>-1553908.8</v>
      </c>
      <c r="F36" s="121">
        <f>+E36-C36</f>
        <v>-1553908.8</v>
      </c>
      <c r="G36" s="151"/>
    </row>
    <row r="37" spans="1:10" x14ac:dyDescent="0.2">
      <c r="B37" s="14"/>
      <c r="C37" s="122"/>
      <c r="D37" s="123"/>
      <c r="E37" s="143"/>
      <c r="F37" s="124">
        <f>+E37-C37</f>
        <v>0</v>
      </c>
      <c r="G37" s="152"/>
    </row>
    <row r="38" spans="1:10" x14ac:dyDescent="0.2">
      <c r="A38" s="108" t="s">
        <v>33</v>
      </c>
      <c r="B38" s="108" t="s">
        <v>33</v>
      </c>
      <c r="C38" s="144">
        <f>SUM(C35:C37)</f>
        <v>-5188670</v>
      </c>
      <c r="D38" s="145">
        <f>SUM(D35:D37)</f>
        <v>-6742578.7999999998</v>
      </c>
      <c r="E38" s="145">
        <f>SUM(E35:E37)</f>
        <v>-6742578.7999999998</v>
      </c>
      <c r="F38" s="146">
        <f>SUM(F35:F37)</f>
        <v>-1553908.8</v>
      </c>
      <c r="G38" s="159">
        <f>-F38/C38</f>
        <v>-0.29948113871184717</v>
      </c>
    </row>
    <row r="39" spans="1:10" ht="13.5" thickBot="1" x14ac:dyDescent="0.25">
      <c r="A39" s="109" t="s">
        <v>88</v>
      </c>
      <c r="B39" s="109"/>
      <c r="C39" s="147">
        <f>+C38+C33-1</f>
        <v>89211856</v>
      </c>
      <c r="D39" s="214">
        <f>+D38+D33</f>
        <v>90798475.200000003</v>
      </c>
      <c r="E39" s="148">
        <f>+E38+E33</f>
        <v>91537443.200000003</v>
      </c>
      <c r="F39" s="149">
        <f>+F38+F33</f>
        <v>2325588.2000000002</v>
      </c>
      <c r="G39" s="160">
        <f>+F39/C39</f>
        <v>2.6068151748798951E-2</v>
      </c>
      <c r="J39" s="13"/>
    </row>
    <row r="40" spans="1:10" ht="14.25" thickTop="1" thickBot="1" x14ac:dyDescent="0.25">
      <c r="B40" s="36" t="s">
        <v>89</v>
      </c>
      <c r="C40" s="142"/>
      <c r="D40" s="182">
        <f>+D39/C39</f>
        <v>1.017784846892996</v>
      </c>
      <c r="E40" s="183">
        <f>+E39/C39</f>
        <v>1.0260681405395264</v>
      </c>
      <c r="F40" s="184"/>
      <c r="G40" s="215"/>
      <c r="I40" s="161"/>
    </row>
    <row r="41" spans="1:10" x14ac:dyDescent="0.2">
      <c r="A41" s="82" t="s">
        <v>90</v>
      </c>
      <c r="B41" s="83"/>
      <c r="C41" s="83"/>
      <c r="D41" s="83"/>
      <c r="E41" s="83"/>
      <c r="F41" s="83"/>
      <c r="G41" s="185"/>
      <c r="H41" s="150"/>
      <c r="I41" s="19"/>
    </row>
    <row r="42" spans="1:10" x14ac:dyDescent="0.2">
      <c r="A42" s="84" t="s">
        <v>56</v>
      </c>
      <c r="B42" s="85"/>
      <c r="C42" s="85"/>
      <c r="D42" s="85"/>
      <c r="E42" s="85"/>
      <c r="F42" s="85"/>
      <c r="G42" s="186"/>
      <c r="H42" s="150"/>
      <c r="I42" s="19"/>
    </row>
    <row r="43" spans="1:10" x14ac:dyDescent="0.2">
      <c r="A43" s="84" t="s">
        <v>50</v>
      </c>
      <c r="B43" s="85"/>
      <c r="C43" s="85"/>
      <c r="D43" s="85"/>
      <c r="E43" s="85"/>
      <c r="F43" s="85"/>
      <c r="G43" s="186"/>
      <c r="H43" s="150"/>
      <c r="I43" s="19"/>
    </row>
    <row r="44" spans="1:10" x14ac:dyDescent="0.2">
      <c r="A44" s="86"/>
      <c r="B44" s="87" t="s">
        <v>51</v>
      </c>
      <c r="C44" s="85"/>
      <c r="D44" s="85"/>
      <c r="E44" s="85"/>
      <c r="F44" s="85"/>
      <c r="G44" s="186"/>
      <c r="H44" s="150"/>
      <c r="I44" s="19"/>
    </row>
    <row r="45" spans="1:10" x14ac:dyDescent="0.2">
      <c r="A45" s="86" t="s">
        <v>6</v>
      </c>
      <c r="B45" s="85"/>
      <c r="C45" s="85"/>
      <c r="D45" s="85"/>
      <c r="E45" s="85"/>
      <c r="F45" s="85"/>
      <c r="G45" s="186"/>
      <c r="H45" s="150"/>
      <c r="I45" s="19"/>
    </row>
    <row r="46" spans="1:10" x14ac:dyDescent="0.2">
      <c r="A46" s="86"/>
      <c r="B46" s="85" t="s">
        <v>52</v>
      </c>
      <c r="C46" s="85"/>
      <c r="D46" s="85"/>
      <c r="E46" s="85"/>
      <c r="F46" s="85"/>
      <c r="G46" s="187"/>
      <c r="H46" s="150"/>
      <c r="I46" s="19"/>
    </row>
    <row r="47" spans="1:10" x14ac:dyDescent="0.2">
      <c r="A47" s="84" t="s">
        <v>53</v>
      </c>
      <c r="B47" s="85"/>
      <c r="C47" s="88"/>
      <c r="D47" s="85"/>
      <c r="E47" s="85"/>
      <c r="F47" s="85"/>
      <c r="G47" s="187"/>
    </row>
    <row r="48" spans="1:10" x14ac:dyDescent="0.2">
      <c r="A48" s="84"/>
      <c r="B48" s="87"/>
      <c r="C48" s="89" t="s">
        <v>3</v>
      </c>
      <c r="D48" s="85"/>
      <c r="E48" s="85"/>
      <c r="F48" s="85"/>
      <c r="G48" s="187"/>
    </row>
    <row r="49" spans="1:8" x14ac:dyDescent="0.2">
      <c r="A49" s="90"/>
      <c r="B49" s="91" t="s">
        <v>4</v>
      </c>
      <c r="C49" s="92"/>
      <c r="D49" s="93"/>
      <c r="E49" s="94">
        <f>+C39</f>
        <v>89211856</v>
      </c>
      <c r="F49" s="85"/>
      <c r="G49" s="187"/>
      <c r="H49" s="2"/>
    </row>
    <row r="50" spans="1:8" x14ac:dyDescent="0.2">
      <c r="A50" s="86"/>
      <c r="B50" s="85" t="s">
        <v>57</v>
      </c>
      <c r="C50" s="92"/>
      <c r="D50" s="95"/>
      <c r="E50" s="96"/>
      <c r="F50" s="85"/>
      <c r="G50" s="186"/>
      <c r="H50" s="2"/>
    </row>
    <row r="51" spans="1:8" x14ac:dyDescent="0.2">
      <c r="A51" s="84"/>
      <c r="B51" s="87"/>
      <c r="C51" s="87" t="s">
        <v>58</v>
      </c>
      <c r="D51" s="95"/>
      <c r="E51" s="96">
        <v>-1196907</v>
      </c>
      <c r="F51" s="85"/>
      <c r="G51" s="186"/>
      <c r="H51" s="2"/>
    </row>
    <row r="52" spans="1:8" x14ac:dyDescent="0.2">
      <c r="A52" s="84"/>
      <c r="B52" s="87"/>
      <c r="C52" s="87" t="s">
        <v>59</v>
      </c>
      <c r="D52" s="95"/>
      <c r="E52" s="96">
        <v>-1000000</v>
      </c>
      <c r="F52" s="85"/>
      <c r="G52" s="186"/>
      <c r="H52" s="2"/>
    </row>
    <row r="53" spans="1:8" x14ac:dyDescent="0.2">
      <c r="A53" s="84"/>
      <c r="B53" s="87"/>
      <c r="C53" s="87" t="s">
        <v>60</v>
      </c>
      <c r="D53" s="95"/>
      <c r="E53" s="96">
        <v>-638291</v>
      </c>
      <c r="F53" s="85"/>
      <c r="G53" s="186"/>
      <c r="H53" s="2"/>
    </row>
    <row r="54" spans="1:8" x14ac:dyDescent="0.2">
      <c r="A54" s="84"/>
      <c r="B54" s="87"/>
      <c r="C54" s="87" t="s">
        <v>61</v>
      </c>
      <c r="D54" s="95"/>
      <c r="E54" s="96">
        <v>-1023834</v>
      </c>
      <c r="F54" s="85"/>
      <c r="G54" s="187"/>
      <c r="H54" s="2"/>
    </row>
    <row r="55" spans="1:8" x14ac:dyDescent="0.2">
      <c r="A55" s="84"/>
      <c r="B55" s="87"/>
      <c r="C55" s="87" t="s">
        <v>62</v>
      </c>
      <c r="D55" s="95"/>
      <c r="E55" s="96">
        <v>-1203198</v>
      </c>
      <c r="F55" s="85"/>
      <c r="G55" s="187"/>
      <c r="H55" s="2"/>
    </row>
    <row r="56" spans="1:8" x14ac:dyDescent="0.2">
      <c r="A56" s="84"/>
      <c r="B56" s="87"/>
      <c r="C56" s="87" t="s">
        <v>63</v>
      </c>
      <c r="D56" s="95"/>
      <c r="E56" s="97">
        <v>-339754</v>
      </c>
      <c r="F56" s="177">
        <f>SUM(E51:E56)</f>
        <v>-5401984</v>
      </c>
      <c r="G56" s="187"/>
      <c r="H56" s="2"/>
    </row>
    <row r="57" spans="1:8" x14ac:dyDescent="0.2">
      <c r="A57" s="84"/>
      <c r="B57" s="87"/>
      <c r="C57" s="87" t="s">
        <v>85</v>
      </c>
      <c r="D57" s="95"/>
      <c r="E57" s="96">
        <v>-1150583</v>
      </c>
      <c r="F57" s="178"/>
      <c r="G57" s="187"/>
      <c r="H57" s="2"/>
    </row>
    <row r="58" spans="1:8" x14ac:dyDescent="0.2">
      <c r="A58" s="84"/>
      <c r="B58" s="87"/>
      <c r="C58" s="87" t="s">
        <v>85</v>
      </c>
      <c r="D58" s="95"/>
      <c r="E58" s="96">
        <f>-850000+500000</f>
        <v>-350000</v>
      </c>
      <c r="F58" s="178"/>
      <c r="G58" s="20"/>
      <c r="H58" s="2"/>
    </row>
    <row r="59" spans="1:8" x14ac:dyDescent="0.2">
      <c r="A59" s="84"/>
      <c r="B59" s="87"/>
      <c r="C59" s="87" t="s">
        <v>86</v>
      </c>
      <c r="D59" s="95"/>
      <c r="E59" s="96">
        <v>-1045376</v>
      </c>
      <c r="F59" s="178"/>
      <c r="G59" s="20"/>
      <c r="H59" s="2"/>
    </row>
    <row r="60" spans="1:8" x14ac:dyDescent="0.2">
      <c r="A60" s="84"/>
      <c r="B60" s="98"/>
      <c r="C60" s="98" t="s">
        <v>108</v>
      </c>
      <c r="D60" s="99"/>
      <c r="E60" s="100">
        <v>-733130</v>
      </c>
      <c r="F60" s="177">
        <f>SUM(E57:E60)</f>
        <v>-3279089</v>
      </c>
      <c r="G60" s="20"/>
      <c r="H60" s="2"/>
    </row>
    <row r="61" spans="1:8" x14ac:dyDescent="0.2">
      <c r="A61" s="90"/>
      <c r="B61" s="110" t="s">
        <v>114</v>
      </c>
      <c r="C61" s="111"/>
      <c r="D61" s="112"/>
      <c r="E61" s="113">
        <f>SUM(E49:E60)</f>
        <v>80530783</v>
      </c>
      <c r="F61" s="179">
        <f>SUM(F60,F56)</f>
        <v>-8681073</v>
      </c>
      <c r="G61" s="79">
        <f>+E61-F61</f>
        <v>89211856</v>
      </c>
      <c r="H61" s="2"/>
    </row>
    <row r="62" spans="1:8" x14ac:dyDescent="0.2">
      <c r="A62" s="101"/>
      <c r="B62" s="19"/>
      <c r="C62" s="228" t="s">
        <v>77</v>
      </c>
      <c r="D62" s="93"/>
      <c r="E62" s="219">
        <f>+D39</f>
        <v>90798475.200000003</v>
      </c>
      <c r="F62" s="180">
        <f>+E62/E61</f>
        <v>1.1275002156628726</v>
      </c>
      <c r="G62" s="212"/>
      <c r="H62" s="2"/>
    </row>
    <row r="63" spans="1:8" x14ac:dyDescent="0.2">
      <c r="A63" s="101"/>
      <c r="B63" s="19"/>
      <c r="C63" s="102" t="s">
        <v>115</v>
      </c>
      <c r="D63" s="93"/>
      <c r="E63" s="216">
        <f>+E62-E61</f>
        <v>10267692.200000003</v>
      </c>
      <c r="F63" s="217"/>
      <c r="G63" s="212"/>
      <c r="H63" s="2"/>
    </row>
    <row r="64" spans="1:8" x14ac:dyDescent="0.2">
      <c r="A64" s="84"/>
      <c r="B64" s="19"/>
      <c r="C64" s="207" t="s">
        <v>111</v>
      </c>
      <c r="D64" s="220"/>
      <c r="E64" s="229">
        <f>-D27*0.3-2</f>
        <v>-1597620.2</v>
      </c>
      <c r="F64" s="208"/>
      <c r="G64" s="212"/>
      <c r="H64" s="2"/>
    </row>
    <row r="65" spans="1:8" x14ac:dyDescent="0.2">
      <c r="A65" s="84"/>
      <c r="B65" s="19"/>
      <c r="C65" s="207" t="s">
        <v>112</v>
      </c>
      <c r="D65" s="220"/>
      <c r="E65" s="213">
        <v>-800000</v>
      </c>
      <c r="F65" s="224">
        <f>SUM(E64:E66)</f>
        <v>-6526301.2000000002</v>
      </c>
      <c r="G65" s="20"/>
      <c r="H65" s="2"/>
    </row>
    <row r="66" spans="1:8" x14ac:dyDescent="0.2">
      <c r="A66" s="44"/>
      <c r="B66" s="19"/>
      <c r="C66" s="221" t="s">
        <v>113</v>
      </c>
      <c r="D66" s="222"/>
      <c r="E66" s="223">
        <f>-4087660-41021</f>
        <v>-4128681</v>
      </c>
      <c r="G66" s="20"/>
    </row>
    <row r="67" spans="1:8" ht="13.5" thickBot="1" x14ac:dyDescent="0.25">
      <c r="A67" s="103"/>
      <c r="B67" s="190"/>
      <c r="C67" s="209" t="s">
        <v>109</v>
      </c>
      <c r="D67" s="210"/>
      <c r="E67" s="211">
        <f>+E62-E61+E64+E65+E66</f>
        <v>3741391.0000000037</v>
      </c>
      <c r="F67" s="218"/>
      <c r="G67" s="21"/>
    </row>
    <row r="68" spans="1:8" x14ac:dyDescent="0.2">
      <c r="A68" s="188" t="s">
        <v>110</v>
      </c>
      <c r="B68" s="189"/>
      <c r="C68" s="226"/>
      <c r="D68" s="227"/>
      <c r="E68" s="176"/>
      <c r="F68" s="150"/>
      <c r="G68" s="150"/>
    </row>
    <row r="69" spans="1:8" x14ac:dyDescent="0.2">
      <c r="A69" s="188"/>
      <c r="B69" s="189"/>
      <c r="C69" s="155"/>
      <c r="D69" s="155"/>
      <c r="E69" s="155"/>
      <c r="F69" s="155"/>
      <c r="G69" s="155"/>
    </row>
    <row r="70" spans="1:8" x14ac:dyDescent="0.2">
      <c r="A70" s="70"/>
      <c r="C70" s="155"/>
      <c r="D70" s="155"/>
      <c r="E70" s="155"/>
      <c r="F70" s="155"/>
      <c r="G70" s="155"/>
      <c r="H70" s="150"/>
    </row>
    <row r="71" spans="1:8" x14ac:dyDescent="0.2">
      <c r="A71" s="70"/>
      <c r="B71" s="71"/>
      <c r="C71" s="155"/>
      <c r="D71" s="155"/>
      <c r="E71" s="155"/>
      <c r="F71" s="155"/>
      <c r="G71" s="155"/>
      <c r="H71" s="150"/>
    </row>
    <row r="72" spans="1:8" x14ac:dyDescent="0.2">
      <c r="B72" s="3"/>
      <c r="C72" s="23"/>
      <c r="G72" s="155"/>
      <c r="H72" s="150"/>
    </row>
    <row r="73" spans="1:8" x14ac:dyDescent="0.2">
      <c r="B73" s="3"/>
      <c r="C73" s="24"/>
      <c r="G73" s="156"/>
    </row>
    <row r="74" spans="1:8" x14ac:dyDescent="0.2">
      <c r="B74" s="3"/>
      <c r="C74" s="24"/>
    </row>
    <row r="76" spans="1:8" x14ac:dyDescent="0.2">
      <c r="B76" s="3"/>
      <c r="C76" s="24"/>
    </row>
  </sheetData>
  <mergeCells count="6">
    <mergeCell ref="F7:G7"/>
    <mergeCell ref="B1:F1"/>
    <mergeCell ref="B2:F2"/>
    <mergeCell ref="B3:F3"/>
    <mergeCell ref="B4:F4"/>
    <mergeCell ref="F6:G6"/>
  </mergeCells>
  <pageMargins left="0.7" right="0.7" top="0" bottom="0" header="0.3" footer="0.3"/>
  <pageSetup scale="9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68"/>
  <sheetViews>
    <sheetView tabSelected="1" workbookViewId="0">
      <selection activeCell="D20" sqref="D20"/>
    </sheetView>
  </sheetViews>
  <sheetFormatPr defaultRowHeight="12" customHeight="1" x14ac:dyDescent="0.2"/>
  <cols>
    <col min="1" max="1" width="7.5703125" style="70" customWidth="1"/>
    <col min="2" max="2" width="7.85546875" style="70" customWidth="1"/>
    <col min="3" max="3" width="22.5703125" style="70" customWidth="1"/>
    <col min="4" max="4" width="14" style="70" customWidth="1"/>
    <col min="5" max="5" width="12.5703125" style="70" customWidth="1"/>
    <col min="6" max="6" width="13.42578125" style="70" customWidth="1"/>
    <col min="7" max="7" width="11" style="70" customWidth="1"/>
    <col min="8" max="8" width="10.140625" style="299" customWidth="1"/>
    <col min="9" max="9" width="7.7109375" style="85" customWidth="1"/>
    <col min="10" max="10" width="7.85546875" style="70" customWidth="1"/>
    <col min="11" max="11" width="8.140625" style="70" customWidth="1"/>
    <col min="12" max="12" width="7.28515625" style="70" customWidth="1"/>
    <col min="13" max="13" width="7.5703125" style="70" customWidth="1"/>
    <col min="14" max="16384" width="9.140625" style="70"/>
  </cols>
  <sheetData>
    <row r="1" spans="1:8" s="70" customFormat="1" ht="12.95" customHeight="1" x14ac:dyDescent="0.25">
      <c r="C1" s="370" t="s">
        <v>0</v>
      </c>
      <c r="D1" s="370"/>
      <c r="E1" s="370"/>
      <c r="F1" s="370"/>
      <c r="G1" s="370"/>
      <c r="H1" s="299"/>
    </row>
    <row r="2" spans="1:8" s="70" customFormat="1" ht="12.95" customHeight="1" x14ac:dyDescent="0.25">
      <c r="C2" s="370" t="s">
        <v>127</v>
      </c>
      <c r="D2" s="370"/>
      <c r="E2" s="370"/>
      <c r="F2" s="370"/>
      <c r="G2" s="370"/>
      <c r="H2" s="299"/>
    </row>
    <row r="3" spans="1:8" s="70" customFormat="1" ht="12.95" customHeight="1" x14ac:dyDescent="0.25">
      <c r="C3" s="371" t="s">
        <v>117</v>
      </c>
      <c r="D3" s="371"/>
      <c r="E3" s="371"/>
      <c r="F3" s="371"/>
      <c r="G3" s="371"/>
      <c r="H3" s="308">
        <f ca="1">NOW()</f>
        <v>40939.673048726851</v>
      </c>
    </row>
    <row r="4" spans="1:8" s="70" customFormat="1" ht="12.95" customHeight="1" x14ac:dyDescent="0.25">
      <c r="C4" s="307"/>
      <c r="D4" s="307"/>
      <c r="E4" s="307"/>
      <c r="F4" s="307"/>
      <c r="G4" s="307"/>
      <c r="H4" s="307"/>
    </row>
    <row r="5" spans="1:8" s="70" customFormat="1" ht="12" customHeight="1" x14ac:dyDescent="0.2">
      <c r="C5" s="71"/>
      <c r="G5" s="188"/>
      <c r="H5" s="299"/>
    </row>
    <row r="6" spans="1:8" s="70" customFormat="1" ht="12" customHeight="1" x14ac:dyDescent="0.2">
      <c r="B6" s="188"/>
      <c r="C6" s="188"/>
      <c r="D6" s="230" t="s">
        <v>120</v>
      </c>
      <c r="E6" s="273" t="s">
        <v>132</v>
      </c>
      <c r="F6" s="274" t="s">
        <v>131</v>
      </c>
      <c r="G6" s="372" t="s">
        <v>91</v>
      </c>
      <c r="H6" s="373"/>
    </row>
    <row r="7" spans="1:8" s="70" customFormat="1" ht="12" customHeight="1" x14ac:dyDescent="0.2">
      <c r="A7" s="188" t="s">
        <v>137</v>
      </c>
      <c r="B7" s="188" t="s">
        <v>138</v>
      </c>
      <c r="C7" s="188"/>
      <c r="D7" s="230" t="s">
        <v>44</v>
      </c>
      <c r="E7" s="273" t="s">
        <v>133</v>
      </c>
      <c r="F7" s="274" t="s">
        <v>146</v>
      </c>
      <c r="G7" s="372" t="s">
        <v>100</v>
      </c>
      <c r="H7" s="373"/>
    </row>
    <row r="8" spans="1:8" s="70" customFormat="1" ht="12" customHeight="1" thickBot="1" x14ac:dyDescent="0.25">
      <c r="A8" s="181"/>
      <c r="B8" s="181"/>
      <c r="C8" s="181"/>
      <c r="D8" s="231" t="s">
        <v>135</v>
      </c>
      <c r="E8" s="275" t="s">
        <v>134</v>
      </c>
      <c r="F8" s="276" t="s">
        <v>136</v>
      </c>
      <c r="G8" s="276" t="s">
        <v>140</v>
      </c>
      <c r="H8" s="300" t="s">
        <v>141</v>
      </c>
    </row>
    <row r="9" spans="1:8" s="70" customFormat="1" ht="12" customHeight="1" x14ac:dyDescent="0.2">
      <c r="A9" s="188" t="s">
        <v>128</v>
      </c>
      <c r="B9" s="85"/>
      <c r="C9" s="85"/>
      <c r="D9" s="230"/>
      <c r="E9" s="273"/>
      <c r="F9" s="274"/>
      <c r="G9" s="272"/>
      <c r="H9" s="301"/>
    </row>
    <row r="10" spans="1:8" s="70" customFormat="1" ht="12" customHeight="1" x14ac:dyDescent="0.2">
      <c r="B10" s="189" t="s">
        <v>46</v>
      </c>
      <c r="D10" s="232"/>
      <c r="E10" s="233"/>
      <c r="F10" s="234"/>
      <c r="G10" s="235"/>
      <c r="H10" s="299"/>
    </row>
    <row r="11" spans="1:8" s="70" customFormat="1" ht="12" customHeight="1" x14ac:dyDescent="0.2">
      <c r="B11" s="188"/>
      <c r="C11" s="71" t="s">
        <v>27</v>
      </c>
      <c r="D11" s="236">
        <v>21792211</v>
      </c>
      <c r="E11" s="237"/>
      <c r="F11" s="238">
        <v>21878832</v>
      </c>
      <c r="G11" s="239"/>
      <c r="H11" s="299"/>
    </row>
    <row r="12" spans="1:8" s="70" customFormat="1" ht="12" customHeight="1" x14ac:dyDescent="0.2">
      <c r="B12" s="188"/>
      <c r="C12" s="71" t="s">
        <v>28</v>
      </c>
      <c r="D12" s="236">
        <v>33798375</v>
      </c>
      <c r="E12" s="237">
        <v>30466328</v>
      </c>
      <c r="F12" s="238">
        <v>34086344</v>
      </c>
      <c r="G12" s="239"/>
      <c r="H12" s="299"/>
    </row>
    <row r="13" spans="1:8" s="70" customFormat="1" ht="12" customHeight="1" x14ac:dyDescent="0.2">
      <c r="B13" s="188"/>
      <c r="C13" s="71" t="s">
        <v>29</v>
      </c>
      <c r="D13" s="236">
        <v>16856399</v>
      </c>
      <c r="E13" s="237">
        <v>8638777</v>
      </c>
      <c r="F13" s="238">
        <v>17105922</v>
      </c>
      <c r="G13" s="239"/>
      <c r="H13" s="299"/>
    </row>
    <row r="14" spans="1:8" s="70" customFormat="1" ht="12" customHeight="1" x14ac:dyDescent="0.2">
      <c r="B14" s="188"/>
      <c r="C14" s="98" t="s">
        <v>30</v>
      </c>
      <c r="D14" s="240">
        <v>2544712</v>
      </c>
      <c r="E14" s="241"/>
      <c r="F14" s="242">
        <v>2572061</v>
      </c>
      <c r="G14" s="243"/>
      <c r="H14" s="302"/>
    </row>
    <row r="15" spans="1:8" s="70" customFormat="1" ht="12" customHeight="1" x14ac:dyDescent="0.2">
      <c r="B15" s="188"/>
      <c r="C15" s="244" t="s">
        <v>123</v>
      </c>
      <c r="D15" s="245">
        <f>SUM(D11:D14)</f>
        <v>74991697</v>
      </c>
      <c r="E15" s="246">
        <f>SUM(E11:E14)</f>
        <v>39105105</v>
      </c>
      <c r="F15" s="246">
        <f>SUM(F11:F14)</f>
        <v>75643159</v>
      </c>
      <c r="G15" s="247">
        <f>+F15-D15</f>
        <v>651462</v>
      </c>
      <c r="H15" s="303">
        <f>+G15/D15</f>
        <v>8.6871217222888025E-3</v>
      </c>
    </row>
    <row r="16" spans="1:8" s="70" customFormat="1" ht="12" customHeight="1" x14ac:dyDescent="0.2">
      <c r="B16" s="189" t="s">
        <v>45</v>
      </c>
      <c r="D16" s="236"/>
      <c r="E16" s="237"/>
      <c r="F16" s="238"/>
      <c r="G16" s="239"/>
      <c r="H16" s="299"/>
    </row>
    <row r="17" spans="2:10" ht="12" customHeight="1" x14ac:dyDescent="0.2">
      <c r="B17" s="188"/>
      <c r="C17" s="71" t="s">
        <v>27</v>
      </c>
      <c r="D17" s="236">
        <v>4886276</v>
      </c>
      <c r="E17" s="237"/>
      <c r="F17" s="238">
        <v>4896335</v>
      </c>
      <c r="G17" s="239"/>
    </row>
    <row r="18" spans="2:10" ht="12" customHeight="1" x14ac:dyDescent="0.2">
      <c r="B18" s="188"/>
      <c r="C18" s="71" t="s">
        <v>28</v>
      </c>
      <c r="D18" s="236">
        <v>6289094</v>
      </c>
      <c r="E18" s="237">
        <v>6921240</v>
      </c>
      <c r="F18" s="238">
        <v>6326080</v>
      </c>
      <c r="G18" s="239"/>
    </row>
    <row r="19" spans="2:10" ht="12" customHeight="1" x14ac:dyDescent="0.2">
      <c r="B19" s="188"/>
      <c r="C19" s="71" t="s">
        <v>29</v>
      </c>
      <c r="D19" s="236">
        <v>2963037</v>
      </c>
      <c r="E19" s="237">
        <v>2578049</v>
      </c>
      <c r="F19" s="238">
        <v>3193717</v>
      </c>
      <c r="G19" s="239"/>
      <c r="J19" s="248"/>
    </row>
    <row r="20" spans="2:10" ht="12" customHeight="1" x14ac:dyDescent="0.2">
      <c r="B20" s="188"/>
      <c r="C20" s="98" t="s">
        <v>30</v>
      </c>
      <c r="D20" s="240">
        <v>1583752</v>
      </c>
      <c r="E20" s="241"/>
      <c r="F20" s="242">
        <v>1703713</v>
      </c>
      <c r="G20" s="243"/>
      <c r="H20" s="302"/>
      <c r="J20" s="248"/>
    </row>
    <row r="21" spans="2:10" ht="12" customHeight="1" x14ac:dyDescent="0.2">
      <c r="B21" s="188"/>
      <c r="C21" s="244" t="s">
        <v>123</v>
      </c>
      <c r="D21" s="245">
        <f>SUM(D17:D20)</f>
        <v>15722159</v>
      </c>
      <c r="E21" s="246">
        <f>SUM(E17:E20)</f>
        <v>9499289</v>
      </c>
      <c r="F21" s="246">
        <f>SUM(F17:F20)</f>
        <v>16119845</v>
      </c>
      <c r="G21" s="247">
        <f>+F21-D21</f>
        <v>397686</v>
      </c>
      <c r="H21" s="303">
        <f>+G21/D21</f>
        <v>2.5294617615812181E-2</v>
      </c>
      <c r="J21" s="248"/>
    </row>
    <row r="22" spans="2:10" ht="12" customHeight="1" x14ac:dyDescent="0.2">
      <c r="B22" s="249" t="s">
        <v>118</v>
      </c>
      <c r="C22" s="71"/>
      <c r="D22" s="236"/>
      <c r="E22" s="237"/>
      <c r="F22" s="238"/>
      <c r="G22" s="239"/>
      <c r="H22" s="304"/>
      <c r="J22" s="248"/>
    </row>
    <row r="23" spans="2:10" ht="12" customHeight="1" x14ac:dyDescent="0.2">
      <c r="B23" s="249"/>
      <c r="C23" s="71" t="s">
        <v>121</v>
      </c>
      <c r="D23" s="236">
        <v>1693440</v>
      </c>
      <c r="E23" s="237">
        <v>784000</v>
      </c>
      <c r="F23" s="238">
        <v>1274000</v>
      </c>
      <c r="G23" s="239"/>
      <c r="J23" s="248"/>
    </row>
    <row r="24" spans="2:10" ht="12" customHeight="1" x14ac:dyDescent="0.2">
      <c r="B24" s="249"/>
      <c r="C24" s="98" t="s">
        <v>122</v>
      </c>
      <c r="D24" s="240">
        <v>390000</v>
      </c>
      <c r="E24" s="241">
        <v>180000</v>
      </c>
      <c r="F24" s="242">
        <v>654000</v>
      </c>
      <c r="G24" s="243"/>
      <c r="H24" s="302"/>
      <c r="J24" s="248"/>
    </row>
    <row r="25" spans="2:10" ht="12" customHeight="1" x14ac:dyDescent="0.2">
      <c r="B25" s="249"/>
      <c r="C25" s="244" t="s">
        <v>123</v>
      </c>
      <c r="D25" s="245">
        <f>SUM(D23:D24)</f>
        <v>2083440</v>
      </c>
      <c r="E25" s="245">
        <f>SUM(E23:E24)</f>
        <v>964000</v>
      </c>
      <c r="F25" s="245">
        <f>SUM(F23:F24)</f>
        <v>1928000</v>
      </c>
      <c r="G25" s="247">
        <f>+F25-D25</f>
        <v>-155440</v>
      </c>
      <c r="H25" s="303">
        <f>+G25/D25</f>
        <v>-7.4607380102138771E-2</v>
      </c>
      <c r="J25" s="248"/>
    </row>
    <row r="26" spans="2:10" ht="12" customHeight="1" x14ac:dyDescent="0.2">
      <c r="B26" s="249" t="s">
        <v>119</v>
      </c>
      <c r="C26" s="71"/>
      <c r="D26" s="236"/>
      <c r="E26" s="237"/>
      <c r="F26" s="238"/>
      <c r="G26" s="239"/>
      <c r="J26" s="248"/>
    </row>
    <row r="27" spans="2:10" ht="12" customHeight="1" x14ac:dyDescent="0.2">
      <c r="B27" s="249"/>
      <c r="C27" s="87" t="s">
        <v>84</v>
      </c>
      <c r="D27" s="236">
        <v>9428682</v>
      </c>
      <c r="E27" s="237">
        <v>6092279</v>
      </c>
      <c r="F27" s="250">
        <v>9428682</v>
      </c>
      <c r="G27" s="239"/>
      <c r="J27" s="248"/>
    </row>
    <row r="28" spans="2:10" ht="12" customHeight="1" x14ac:dyDescent="0.2">
      <c r="B28" s="249"/>
      <c r="C28" s="98" t="s">
        <v>125</v>
      </c>
      <c r="D28" s="240"/>
      <c r="E28" s="241">
        <f>-20723-1634366</f>
        <v>-1655089</v>
      </c>
      <c r="F28" s="242"/>
      <c r="G28" s="243"/>
      <c r="H28" s="302"/>
      <c r="J28" s="248"/>
    </row>
    <row r="29" spans="2:10" ht="12" customHeight="1" x14ac:dyDescent="0.2">
      <c r="B29" s="249"/>
      <c r="C29" s="244" t="s">
        <v>124</v>
      </c>
      <c r="D29" s="245">
        <f>SUM(D27:D28)</f>
        <v>9428682</v>
      </c>
      <c r="E29" s="245">
        <f>SUM(E27:E28)</f>
        <v>4437190</v>
      </c>
      <c r="F29" s="245">
        <f>SUM(F27:F28)</f>
        <v>9428682</v>
      </c>
      <c r="G29" s="247">
        <f>+F29-D29</f>
        <v>0</v>
      </c>
      <c r="H29" s="303">
        <f>+G29/D29</f>
        <v>0</v>
      </c>
      <c r="J29" s="248"/>
    </row>
    <row r="30" spans="2:10" ht="12" customHeight="1" x14ac:dyDescent="0.2">
      <c r="B30" s="188" t="s">
        <v>38</v>
      </c>
      <c r="C30" s="251"/>
      <c r="D30" s="252"/>
      <c r="E30" s="253"/>
      <c r="F30" s="254"/>
      <c r="G30" s="255"/>
      <c r="J30" s="248"/>
    </row>
    <row r="31" spans="2:10" ht="12" customHeight="1" x14ac:dyDescent="0.2">
      <c r="B31" s="188"/>
      <c r="C31" s="87" t="s">
        <v>49</v>
      </c>
      <c r="D31" s="236">
        <v>631612</v>
      </c>
      <c r="E31" s="237">
        <v>84022</v>
      </c>
      <c r="F31" s="250">
        <v>730000</v>
      </c>
      <c r="G31" s="239"/>
      <c r="J31" s="248"/>
    </row>
    <row r="32" spans="2:10" ht="12" customHeight="1" x14ac:dyDescent="0.2">
      <c r="B32" s="188"/>
      <c r="C32" s="87" t="s">
        <v>65</v>
      </c>
      <c r="D32" s="236">
        <v>1000000</v>
      </c>
      <c r="E32" s="237"/>
      <c r="F32" s="250"/>
      <c r="G32" s="239"/>
      <c r="J32" s="248"/>
    </row>
    <row r="33" spans="1:10" ht="12" customHeight="1" x14ac:dyDescent="0.2">
      <c r="B33" s="188"/>
      <c r="C33" s="87" t="s">
        <v>2</v>
      </c>
      <c r="D33" s="236">
        <v>590548</v>
      </c>
      <c r="E33" s="237">
        <v>225375</v>
      </c>
      <c r="F33" s="250">
        <v>610000</v>
      </c>
      <c r="G33" s="239"/>
      <c r="J33" s="248"/>
    </row>
    <row r="34" spans="1:10" ht="12" customHeight="1" x14ac:dyDescent="0.2">
      <c r="C34" s="87" t="s">
        <v>35</v>
      </c>
      <c r="D34" s="236">
        <v>39212</v>
      </c>
      <c r="E34" s="237"/>
      <c r="F34" s="250">
        <v>40000</v>
      </c>
      <c r="G34" s="239"/>
      <c r="J34" s="248"/>
    </row>
    <row r="35" spans="1:10" ht="12" customHeight="1" x14ac:dyDescent="0.2">
      <c r="C35" s="87" t="s">
        <v>37</v>
      </c>
      <c r="D35" s="236">
        <v>-19544</v>
      </c>
      <c r="E35" s="237">
        <v>392548</v>
      </c>
      <c r="F35" s="250">
        <v>1100000</v>
      </c>
      <c r="G35" s="239"/>
      <c r="J35" s="248"/>
    </row>
    <row r="36" spans="1:10" ht="12" customHeight="1" x14ac:dyDescent="0.2">
      <c r="C36" s="87" t="s">
        <v>126</v>
      </c>
      <c r="D36" s="236">
        <v>-2295328</v>
      </c>
      <c r="E36" s="237"/>
      <c r="F36" s="250"/>
      <c r="G36" s="239"/>
    </row>
    <row r="37" spans="1:10" ht="12" customHeight="1" x14ac:dyDescent="0.2">
      <c r="C37" s="87" t="s">
        <v>34</v>
      </c>
      <c r="D37" s="236"/>
      <c r="E37" s="237">
        <v>1805</v>
      </c>
      <c r="F37" s="250"/>
      <c r="G37" s="239"/>
    </row>
    <row r="38" spans="1:10" ht="12" customHeight="1" x14ac:dyDescent="0.2">
      <c r="C38" s="87" t="s">
        <v>36</v>
      </c>
      <c r="D38" s="236">
        <v>29558</v>
      </c>
      <c r="E38" s="237"/>
      <c r="F38" s="250">
        <v>29558</v>
      </c>
      <c r="G38" s="243"/>
      <c r="H38" s="302"/>
    </row>
    <row r="39" spans="1:10" ht="12" customHeight="1" x14ac:dyDescent="0.2">
      <c r="C39" s="256" t="s">
        <v>39</v>
      </c>
      <c r="D39" s="257">
        <f>SUM(D31:D38)</f>
        <v>-23942</v>
      </c>
      <c r="E39" s="258">
        <f>SUM(E31:E38)</f>
        <v>703750</v>
      </c>
      <c r="F39" s="258">
        <f>SUM(F31:F38)</f>
        <v>2509558</v>
      </c>
      <c r="G39" s="247">
        <f>+F39-D39</f>
        <v>2533500</v>
      </c>
      <c r="H39" s="297">
        <f>+G39/D39</f>
        <v>-105.81822738284187</v>
      </c>
    </row>
    <row r="40" spans="1:10" ht="12" customHeight="1" x14ac:dyDescent="0.2">
      <c r="B40" s="279" t="s">
        <v>47</v>
      </c>
      <c r="C40" s="280"/>
      <c r="D40" s="281">
        <f>+D39+D29+D25+D21+D15</f>
        <v>102202036</v>
      </c>
      <c r="E40" s="281">
        <f>+E39+E29+E25+E21+E15</f>
        <v>54709334</v>
      </c>
      <c r="F40" s="281">
        <f>+F39+F29+F25+F21+F15</f>
        <v>105629244</v>
      </c>
      <c r="G40" s="281">
        <f>+G39+G29+G25+G21+G15</f>
        <v>3427208</v>
      </c>
      <c r="H40" s="298">
        <f>+H39+H29+H25+H21+H15</f>
        <v>-105.8588530236059</v>
      </c>
    </row>
    <row r="41" spans="1:10" ht="12" customHeight="1" x14ac:dyDescent="0.2">
      <c r="A41" s="188" t="s">
        <v>129</v>
      </c>
      <c r="C41" s="259"/>
      <c r="D41" s="260"/>
      <c r="E41" s="277"/>
      <c r="F41" s="238"/>
      <c r="G41" s="239"/>
    </row>
    <row r="42" spans="1:10" ht="12" customHeight="1" x14ac:dyDescent="0.2">
      <c r="B42" s="188"/>
      <c r="C42" s="71" t="s">
        <v>17</v>
      </c>
      <c r="D42" s="236">
        <v>-5333794</v>
      </c>
      <c r="E42" s="237">
        <f>+D42</f>
        <v>-5333794</v>
      </c>
      <c r="F42" s="250">
        <f>+E42</f>
        <v>-5333794</v>
      </c>
      <c r="G42" s="239">
        <f>+F42-D42</f>
        <v>0</v>
      </c>
    </row>
    <row r="43" spans="1:10" ht="12" customHeight="1" x14ac:dyDescent="0.2">
      <c r="B43" s="282"/>
      <c r="C43" s="271" t="s">
        <v>87</v>
      </c>
      <c r="D43" s="240"/>
      <c r="E43" s="241">
        <v>-922298</v>
      </c>
      <c r="F43" s="261">
        <v>-1600000</v>
      </c>
      <c r="G43" s="243">
        <f>+F43-D43</f>
        <v>-1600000</v>
      </c>
      <c r="H43" s="302"/>
    </row>
    <row r="44" spans="1:10" ht="12" customHeight="1" x14ac:dyDescent="0.2">
      <c r="B44" s="262" t="s">
        <v>33</v>
      </c>
      <c r="C44" s="262"/>
      <c r="D44" s="263">
        <f>SUM(D42:D43)</f>
        <v>-5333794</v>
      </c>
      <c r="E44" s="253">
        <f>SUM(E42:E43)</f>
        <v>-6256092</v>
      </c>
      <c r="F44" s="264">
        <f>SUM(F42:F43)</f>
        <v>-6933794</v>
      </c>
      <c r="G44" s="265">
        <f>SUM(G42:G43)</f>
        <v>-1600000</v>
      </c>
      <c r="H44" s="305">
        <f>-G44/D44</f>
        <v>-0.29997408973799888</v>
      </c>
    </row>
    <row r="45" spans="1:10" ht="12" customHeight="1" thickBot="1" x14ac:dyDescent="0.25">
      <c r="A45" s="268" t="s">
        <v>130</v>
      </c>
      <c r="B45" s="268"/>
      <c r="C45" s="268"/>
      <c r="D45" s="269">
        <f>+D44+D40-2</f>
        <v>96868240</v>
      </c>
      <c r="E45" s="269">
        <f>+E44+E40</f>
        <v>48453242</v>
      </c>
      <c r="F45" s="283">
        <f>+F44+F40</f>
        <v>98695450</v>
      </c>
      <c r="G45" s="270">
        <f>+G44+G40</f>
        <v>1827208</v>
      </c>
      <c r="H45" s="306">
        <f>+G45/D45</f>
        <v>1.8862818195107087E-2</v>
      </c>
    </row>
    <row r="46" spans="1:10" ht="12" customHeight="1" thickTop="1" x14ac:dyDescent="0.2">
      <c r="A46" s="85"/>
      <c r="B46" s="85"/>
      <c r="C46" s="85"/>
      <c r="D46" s="85"/>
      <c r="E46" s="285">
        <f>+E45/F45</f>
        <v>0.49093693782236164</v>
      </c>
      <c r="F46" s="176"/>
      <c r="G46" s="85"/>
      <c r="H46" s="284"/>
    </row>
    <row r="47" spans="1:10" ht="12" customHeight="1" x14ac:dyDescent="0.2">
      <c r="B47" s="287" t="s">
        <v>3</v>
      </c>
      <c r="C47" s="288"/>
      <c r="D47" s="289"/>
      <c r="E47" s="290"/>
      <c r="F47" s="278"/>
      <c r="G47" s="85"/>
    </row>
    <row r="48" spans="1:10" ht="12" customHeight="1" x14ac:dyDescent="0.2">
      <c r="B48" s="287"/>
      <c r="C48" s="288"/>
      <c r="D48" s="289"/>
      <c r="E48" s="309" t="s">
        <v>124</v>
      </c>
      <c r="F48" s="310"/>
      <c r="G48" s="311"/>
    </row>
    <row r="49" spans="1:8" s="70" customFormat="1" ht="12" customHeight="1" x14ac:dyDescent="0.2">
      <c r="B49" s="291"/>
      <c r="C49" s="367" t="s">
        <v>139</v>
      </c>
      <c r="D49" s="367"/>
      <c r="E49" s="292">
        <f>+D45</f>
        <v>96868240</v>
      </c>
      <c r="G49" s="85"/>
      <c r="H49" s="299"/>
    </row>
    <row r="50" spans="1:8" s="70" customFormat="1" ht="12" customHeight="1" x14ac:dyDescent="0.2">
      <c r="B50" s="291"/>
      <c r="C50" s="368" t="s">
        <v>147</v>
      </c>
      <c r="D50" s="368"/>
      <c r="E50" s="293">
        <v>7869824</v>
      </c>
      <c r="F50" s="85"/>
      <c r="G50" s="85"/>
      <c r="H50" s="299"/>
    </row>
    <row r="51" spans="1:8" s="70" customFormat="1" ht="12" customHeight="1" x14ac:dyDescent="0.2">
      <c r="B51" s="291"/>
      <c r="C51" s="369" t="s">
        <v>142</v>
      </c>
      <c r="D51" s="369"/>
      <c r="E51" s="292">
        <f>+E50+E49</f>
        <v>104738064</v>
      </c>
      <c r="F51" s="176"/>
      <c r="G51" s="304"/>
      <c r="H51" s="304"/>
    </row>
    <row r="52" spans="1:8" s="70" customFormat="1" ht="12" customHeight="1" x14ac:dyDescent="0.2">
      <c r="B52" s="291"/>
      <c r="C52" s="312"/>
      <c r="D52" s="296" t="s">
        <v>148</v>
      </c>
      <c r="E52" s="316">
        <f>+F45</f>
        <v>98695450</v>
      </c>
      <c r="G52" s="304"/>
      <c r="H52" s="304"/>
    </row>
    <row r="53" spans="1:8" s="70" customFormat="1" ht="12" customHeight="1" x14ac:dyDescent="0.2">
      <c r="B53" s="291"/>
      <c r="C53" s="313"/>
      <c r="D53" s="296" t="s">
        <v>143</v>
      </c>
      <c r="E53" s="293">
        <f>-F29*0.3</f>
        <v>-2828604.6</v>
      </c>
      <c r="F53" s="96"/>
      <c r="G53" s="304"/>
      <c r="H53" s="304"/>
    </row>
    <row r="54" spans="1:8" s="70" customFormat="1" ht="12" customHeight="1" x14ac:dyDescent="0.2">
      <c r="B54" s="291"/>
      <c r="C54" s="314"/>
      <c r="D54" s="296" t="s">
        <v>149</v>
      </c>
      <c r="E54" s="316">
        <f>+E53+E52</f>
        <v>95866845.400000006</v>
      </c>
      <c r="F54" s="96"/>
      <c r="G54" s="284"/>
      <c r="H54" s="284"/>
    </row>
    <row r="55" spans="1:8" s="70" customFormat="1" ht="12" customHeight="1" x14ac:dyDescent="0.2">
      <c r="B55" s="294"/>
      <c r="C55" s="288"/>
      <c r="D55" s="315" t="s">
        <v>144</v>
      </c>
      <c r="E55" s="295">
        <f>+E54-E51</f>
        <v>-8871218.599999994</v>
      </c>
      <c r="F55" s="266"/>
      <c r="G55" s="304"/>
      <c r="H55" s="304"/>
    </row>
    <row r="56" spans="1:8" s="70" customFormat="1" ht="12" customHeight="1" x14ac:dyDescent="0.2">
      <c r="A56" s="286" t="s">
        <v>145</v>
      </c>
      <c r="C56" s="71"/>
      <c r="D56" s="267"/>
      <c r="E56" s="248"/>
      <c r="G56" s="299"/>
      <c r="H56" s="299"/>
    </row>
    <row r="57" spans="1:8" s="70" customFormat="1" ht="12" customHeight="1" x14ac:dyDescent="0.2">
      <c r="E57" s="248"/>
      <c r="G57" s="299"/>
      <c r="H57" s="299"/>
    </row>
    <row r="58" spans="1:8" s="70" customFormat="1" ht="12" customHeight="1" x14ac:dyDescent="0.2">
      <c r="E58" s="248"/>
      <c r="G58" s="299"/>
      <c r="H58" s="299"/>
    </row>
    <row r="59" spans="1:8" s="70" customFormat="1" ht="12" customHeight="1" x14ac:dyDescent="0.2">
      <c r="E59" s="248"/>
      <c r="G59" s="299"/>
      <c r="H59" s="299"/>
    </row>
    <row r="60" spans="1:8" s="70" customFormat="1" ht="12" customHeight="1" x14ac:dyDescent="0.2">
      <c r="E60" s="248"/>
      <c r="G60" s="299"/>
      <c r="H60" s="299"/>
    </row>
    <row r="61" spans="1:8" s="70" customFormat="1" ht="12" customHeight="1" x14ac:dyDescent="0.2">
      <c r="E61" s="248"/>
      <c r="H61" s="299"/>
    </row>
    <row r="62" spans="1:8" s="70" customFormat="1" ht="12" customHeight="1" x14ac:dyDescent="0.2">
      <c r="E62" s="248"/>
      <c r="H62" s="299"/>
    </row>
    <row r="63" spans="1:8" s="70" customFormat="1" ht="12" customHeight="1" x14ac:dyDescent="0.2">
      <c r="E63" s="248"/>
      <c r="H63" s="299"/>
    </row>
    <row r="64" spans="1:8" s="70" customFormat="1" ht="12" customHeight="1" x14ac:dyDescent="0.2">
      <c r="E64" s="248"/>
      <c r="H64" s="299"/>
    </row>
    <row r="65" spans="5:5" s="70" customFormat="1" ht="12" customHeight="1" x14ac:dyDescent="0.2">
      <c r="E65" s="248"/>
    </row>
    <row r="66" spans="5:5" s="70" customFormat="1" ht="12" customHeight="1" x14ac:dyDescent="0.2">
      <c r="E66" s="248"/>
    </row>
    <row r="67" spans="5:5" s="70" customFormat="1" ht="12" customHeight="1" x14ac:dyDescent="0.2">
      <c r="E67" s="248"/>
    </row>
    <row r="68" spans="5:5" s="70" customFormat="1" ht="12" customHeight="1" x14ac:dyDescent="0.2">
      <c r="E68" s="248"/>
    </row>
  </sheetData>
  <sortState ref="C29:D36">
    <sortCondition ref="C29:C36"/>
  </sortState>
  <mergeCells count="8">
    <mergeCell ref="C49:D49"/>
    <mergeCell ref="C50:D50"/>
    <mergeCell ref="C51:D51"/>
    <mergeCell ref="C1:G1"/>
    <mergeCell ref="C2:G2"/>
    <mergeCell ref="C3:G3"/>
    <mergeCell ref="G6:H6"/>
    <mergeCell ref="G7:H7"/>
  </mergeCells>
  <pageMargins left="0" right="0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G19" sqref="G19"/>
    </sheetView>
  </sheetViews>
  <sheetFormatPr defaultRowHeight="12" x14ac:dyDescent="0.2"/>
  <cols>
    <col min="1" max="1" width="7.5703125" style="70" customWidth="1"/>
    <col min="2" max="2" width="7.85546875" style="70" customWidth="1"/>
    <col min="3" max="3" width="22.5703125" style="70" customWidth="1"/>
    <col min="4" max="4" width="14" style="70" customWidth="1"/>
    <col min="5" max="5" width="12.5703125" style="70" customWidth="1"/>
    <col min="6" max="6" width="13.42578125" style="70" customWidth="1"/>
    <col min="7" max="7" width="11" style="70" customWidth="1"/>
    <col min="8" max="8" width="10.140625" style="299" customWidth="1"/>
    <col min="9" max="9" width="7.7109375" style="85" customWidth="1"/>
    <col min="10" max="10" width="7.85546875" style="70" customWidth="1"/>
    <col min="11" max="11" width="13.85546875" style="70" customWidth="1"/>
    <col min="12" max="12" width="7.28515625" style="70" customWidth="1"/>
    <col min="13" max="13" width="7.5703125" style="70" customWidth="1"/>
    <col min="14" max="16384" width="9.140625" style="70"/>
  </cols>
  <sheetData>
    <row r="1" spans="1:8" s="70" customFormat="1" ht="15" x14ac:dyDescent="0.25">
      <c r="C1" s="370" t="s">
        <v>0</v>
      </c>
      <c r="D1" s="370"/>
      <c r="E1" s="370"/>
      <c r="F1" s="370"/>
      <c r="G1" s="370"/>
      <c r="H1" s="299"/>
    </row>
    <row r="2" spans="1:8" s="70" customFormat="1" ht="15" x14ac:dyDescent="0.25">
      <c r="C2" s="370" t="s">
        <v>127</v>
      </c>
      <c r="D2" s="370"/>
      <c r="E2" s="370"/>
      <c r="F2" s="370"/>
      <c r="G2" s="370"/>
      <c r="H2" s="299"/>
    </row>
    <row r="3" spans="1:8" s="70" customFormat="1" ht="15" x14ac:dyDescent="0.25">
      <c r="C3" s="371" t="s">
        <v>150</v>
      </c>
      <c r="D3" s="371"/>
      <c r="E3" s="371"/>
      <c r="F3" s="371"/>
      <c r="G3" s="371"/>
      <c r="H3" s="308">
        <f ca="1">NOW()</f>
        <v>40939.673048726851</v>
      </c>
    </row>
    <row r="4" spans="1:8" s="70" customFormat="1" ht="15" x14ac:dyDescent="0.25">
      <c r="C4" s="352"/>
      <c r="D4" s="352"/>
      <c r="E4" s="352"/>
      <c r="F4" s="352"/>
      <c r="G4" s="352"/>
      <c r="H4" s="352"/>
    </row>
    <row r="5" spans="1:8" s="70" customFormat="1" x14ac:dyDescent="0.2">
      <c r="C5" s="71"/>
      <c r="G5" s="188"/>
      <c r="H5" s="299"/>
    </row>
    <row r="6" spans="1:8" s="70" customFormat="1" x14ac:dyDescent="0.2">
      <c r="B6" s="188"/>
      <c r="C6" s="188"/>
      <c r="D6" s="230" t="s">
        <v>120</v>
      </c>
      <c r="E6" s="273" t="s">
        <v>132</v>
      </c>
      <c r="F6" s="274" t="s">
        <v>131</v>
      </c>
      <c r="G6" s="372" t="s">
        <v>91</v>
      </c>
      <c r="H6" s="373"/>
    </row>
    <row r="7" spans="1:8" s="70" customFormat="1" x14ac:dyDescent="0.2">
      <c r="A7" s="188" t="s">
        <v>137</v>
      </c>
      <c r="B7" s="188" t="s">
        <v>138</v>
      </c>
      <c r="C7" s="188"/>
      <c r="D7" s="230" t="s">
        <v>44</v>
      </c>
      <c r="E7" s="273" t="s">
        <v>133</v>
      </c>
      <c r="F7" s="274" t="s">
        <v>146</v>
      </c>
      <c r="G7" s="372" t="s">
        <v>100</v>
      </c>
      <c r="H7" s="373"/>
    </row>
    <row r="8" spans="1:8" s="70" customFormat="1" ht="12.75" thickBot="1" x14ac:dyDescent="0.25">
      <c r="A8" s="181"/>
      <c r="B8" s="181"/>
      <c r="C8" s="181"/>
      <c r="D8" s="231" t="s">
        <v>135</v>
      </c>
      <c r="E8" s="275" t="s">
        <v>134</v>
      </c>
      <c r="F8" s="276" t="s">
        <v>136</v>
      </c>
      <c r="G8" s="276" t="s">
        <v>140</v>
      </c>
      <c r="H8" s="300" t="s">
        <v>141</v>
      </c>
    </row>
    <row r="9" spans="1:8" s="70" customFormat="1" x14ac:dyDescent="0.2">
      <c r="A9" s="188" t="s">
        <v>128</v>
      </c>
      <c r="B9" s="85"/>
      <c r="C9" s="85"/>
      <c r="D9" s="230"/>
      <c r="E9" s="273"/>
      <c r="F9" s="274"/>
      <c r="G9" s="272"/>
      <c r="H9" s="301"/>
    </row>
    <row r="10" spans="1:8" s="70" customFormat="1" x14ac:dyDescent="0.2">
      <c r="B10" s="189" t="s">
        <v>46</v>
      </c>
      <c r="D10" s="232"/>
      <c r="E10" s="233"/>
      <c r="F10" s="234"/>
      <c r="G10" s="235"/>
      <c r="H10" s="299"/>
    </row>
    <row r="11" spans="1:8" s="70" customFormat="1" x14ac:dyDescent="0.2">
      <c r="B11" s="188"/>
      <c r="C11" s="71" t="s">
        <v>27</v>
      </c>
      <c r="D11" s="236">
        <v>21792211</v>
      </c>
      <c r="E11" s="237"/>
      <c r="F11" s="238">
        <v>23984803</v>
      </c>
      <c r="G11" s="239"/>
      <c r="H11" s="299"/>
    </row>
    <row r="12" spans="1:8" s="70" customFormat="1" x14ac:dyDescent="0.2">
      <c r="B12" s="188"/>
      <c r="C12" s="71" t="s">
        <v>28</v>
      </c>
      <c r="D12" s="236">
        <v>33798375</v>
      </c>
      <c r="E12" s="237">
        <v>30254487</v>
      </c>
      <c r="F12" s="238">
        <v>34739120</v>
      </c>
      <c r="G12" s="239"/>
      <c r="H12" s="299"/>
    </row>
    <row r="13" spans="1:8" s="70" customFormat="1" x14ac:dyDescent="0.2">
      <c r="B13" s="188"/>
      <c r="C13" s="71" t="s">
        <v>29</v>
      </c>
      <c r="D13" s="236">
        <v>16856399</v>
      </c>
      <c r="E13" s="237">
        <v>8627888</v>
      </c>
      <c r="F13" s="238">
        <v>17034776</v>
      </c>
      <c r="G13" s="239"/>
      <c r="H13" s="299"/>
    </row>
    <row r="14" spans="1:8" s="70" customFormat="1" x14ac:dyDescent="0.2">
      <c r="B14" s="188"/>
      <c r="C14" s="98" t="s">
        <v>30</v>
      </c>
      <c r="D14" s="240">
        <v>2544712</v>
      </c>
      <c r="E14" s="241"/>
      <c r="F14" s="242">
        <v>2836680</v>
      </c>
      <c r="G14" s="243"/>
      <c r="H14" s="302"/>
    </row>
    <row r="15" spans="1:8" s="70" customFormat="1" x14ac:dyDescent="0.2">
      <c r="B15" s="188"/>
      <c r="C15" s="244" t="s">
        <v>123</v>
      </c>
      <c r="D15" s="245">
        <f>SUM(D11:D14)</f>
        <v>74991697</v>
      </c>
      <c r="E15" s="246">
        <f>SUM(E11:E14)</f>
        <v>38882375</v>
      </c>
      <c r="F15" s="246">
        <f>SUM(F11:F14)</f>
        <v>78595379</v>
      </c>
      <c r="G15" s="247">
        <f>+F15-D15</f>
        <v>3603682</v>
      </c>
      <c r="H15" s="303">
        <f>+G15/D15</f>
        <v>4.8054413277245876E-2</v>
      </c>
    </row>
    <row r="16" spans="1:8" s="70" customFormat="1" x14ac:dyDescent="0.2">
      <c r="B16" s="189" t="s">
        <v>45</v>
      </c>
      <c r="D16" s="236"/>
      <c r="E16" s="237"/>
      <c r="F16" s="238"/>
      <c r="G16" s="239"/>
      <c r="H16" s="299"/>
    </row>
    <row r="17" spans="2:11" x14ac:dyDescent="0.2">
      <c r="B17" s="188"/>
      <c r="C17" s="71" t="s">
        <v>27</v>
      </c>
      <c r="D17" s="236">
        <v>4886276</v>
      </c>
      <c r="E17" s="237"/>
      <c r="F17" s="238">
        <v>6045480</v>
      </c>
      <c r="G17" s="239"/>
    </row>
    <row r="18" spans="2:11" x14ac:dyDescent="0.2">
      <c r="B18" s="188"/>
      <c r="C18" s="71" t="s">
        <v>28</v>
      </c>
      <c r="D18" s="236">
        <v>6289094</v>
      </c>
      <c r="E18" s="237">
        <v>6647816</v>
      </c>
      <c r="F18" s="238">
        <v>6516766</v>
      </c>
      <c r="G18" s="239"/>
    </row>
    <row r="19" spans="2:11" x14ac:dyDescent="0.2">
      <c r="B19" s="188"/>
      <c r="C19" s="71" t="s">
        <v>29</v>
      </c>
      <c r="D19" s="236">
        <v>2963037</v>
      </c>
      <c r="E19" s="237">
        <v>2516917</v>
      </c>
      <c r="F19" s="238">
        <v>3466318</v>
      </c>
      <c r="G19" s="239"/>
      <c r="J19" s="248"/>
    </row>
    <row r="20" spans="2:11" x14ac:dyDescent="0.2">
      <c r="B20" s="188"/>
      <c r="C20" s="98" t="s">
        <v>30</v>
      </c>
      <c r="D20" s="240">
        <v>1583752</v>
      </c>
      <c r="E20" s="241"/>
      <c r="F20" s="242">
        <v>1814126</v>
      </c>
      <c r="G20" s="243"/>
      <c r="H20" s="302"/>
      <c r="J20" s="248"/>
    </row>
    <row r="21" spans="2:11" x14ac:dyDescent="0.2">
      <c r="B21" s="188"/>
      <c r="C21" s="244" t="s">
        <v>123</v>
      </c>
      <c r="D21" s="245">
        <f>SUM(D17:D20)</f>
        <v>15722159</v>
      </c>
      <c r="E21" s="246">
        <f>SUM(E17:E20)</f>
        <v>9164733</v>
      </c>
      <c r="F21" s="246">
        <f>SUM(F17:F20)</f>
        <v>17842690</v>
      </c>
      <c r="G21" s="247">
        <f>+F21-D21</f>
        <v>2120531</v>
      </c>
      <c r="H21" s="303">
        <f>+G21/D21</f>
        <v>0.13487530561165295</v>
      </c>
      <c r="J21" s="248"/>
    </row>
    <row r="22" spans="2:11" x14ac:dyDescent="0.2">
      <c r="B22" s="249" t="s">
        <v>118</v>
      </c>
      <c r="C22" s="71"/>
      <c r="D22" s="236"/>
      <c r="E22" s="237"/>
      <c r="F22" s="238"/>
      <c r="G22" s="239"/>
      <c r="H22" s="304"/>
      <c r="J22" s="248"/>
    </row>
    <row r="23" spans="2:11" x14ac:dyDescent="0.2">
      <c r="B23" s="249"/>
      <c r="C23" s="71" t="s">
        <v>121</v>
      </c>
      <c r="D23" s="236">
        <v>1693440</v>
      </c>
      <c r="E23" s="237">
        <v>784000</v>
      </c>
      <c r="F23" s="238">
        <v>1274000</v>
      </c>
      <c r="G23" s="239"/>
      <c r="J23" s="248"/>
      <c r="K23" s="317"/>
    </row>
    <row r="24" spans="2:11" x14ac:dyDescent="0.2">
      <c r="B24" s="249"/>
      <c r="C24" s="98" t="s">
        <v>122</v>
      </c>
      <c r="D24" s="240">
        <v>390000</v>
      </c>
      <c r="E24" s="241">
        <v>180000</v>
      </c>
      <c r="F24" s="242">
        <v>654000</v>
      </c>
      <c r="G24" s="243"/>
      <c r="H24" s="302"/>
      <c r="J24" s="248"/>
      <c r="K24" s="317"/>
    </row>
    <row r="25" spans="2:11" x14ac:dyDescent="0.2">
      <c r="B25" s="249"/>
      <c r="C25" s="244" t="s">
        <v>123</v>
      </c>
      <c r="D25" s="245">
        <f>SUM(D23:D24)</f>
        <v>2083440</v>
      </c>
      <c r="E25" s="245">
        <f>SUM(E23:E24)</f>
        <v>964000</v>
      </c>
      <c r="F25" s="245">
        <f>SUM(F23:F24)</f>
        <v>1928000</v>
      </c>
      <c r="G25" s="247">
        <f>+F25-D25</f>
        <v>-155440</v>
      </c>
      <c r="H25" s="303">
        <f>+G25/D25</f>
        <v>-7.4607380102138771E-2</v>
      </c>
      <c r="J25" s="248"/>
      <c r="K25" s="317"/>
    </row>
    <row r="26" spans="2:11" x14ac:dyDescent="0.2">
      <c r="B26" s="249" t="s">
        <v>119</v>
      </c>
      <c r="C26" s="71"/>
      <c r="D26" s="236"/>
      <c r="E26" s="237"/>
      <c r="F26" s="238"/>
      <c r="G26" s="239"/>
      <c r="J26" s="248"/>
    </row>
    <row r="27" spans="2:11" x14ac:dyDescent="0.2">
      <c r="B27" s="249"/>
      <c r="C27" s="87" t="s">
        <v>84</v>
      </c>
      <c r="D27" s="236">
        <v>9428682</v>
      </c>
      <c r="E27" s="237">
        <v>6048796</v>
      </c>
      <c r="F27" s="250">
        <v>9428682</v>
      </c>
      <c r="G27" s="239"/>
      <c r="J27" s="248"/>
    </row>
    <row r="28" spans="2:11" x14ac:dyDescent="0.2">
      <c r="B28" s="249"/>
      <c r="C28" s="98" t="s">
        <v>125</v>
      </c>
      <c r="D28" s="240"/>
      <c r="E28" s="241">
        <f>-1634708-20723</f>
        <v>-1655431</v>
      </c>
      <c r="F28" s="242"/>
      <c r="G28" s="243"/>
      <c r="H28" s="302"/>
      <c r="J28" s="248"/>
    </row>
    <row r="29" spans="2:11" x14ac:dyDescent="0.2">
      <c r="B29" s="249"/>
      <c r="C29" s="244" t="s">
        <v>124</v>
      </c>
      <c r="D29" s="245">
        <f>SUM(D27:D28)</f>
        <v>9428682</v>
      </c>
      <c r="E29" s="245">
        <f>SUM(E27:E28)</f>
        <v>4393365</v>
      </c>
      <c r="F29" s="245">
        <f>SUM(F27:F28)</f>
        <v>9428682</v>
      </c>
      <c r="G29" s="247">
        <f>+F29-D29</f>
        <v>0</v>
      </c>
      <c r="H29" s="303">
        <f>+G29/D29</f>
        <v>0</v>
      </c>
      <c r="J29" s="248"/>
    </row>
    <row r="30" spans="2:11" x14ac:dyDescent="0.2">
      <c r="B30" s="188" t="s">
        <v>38</v>
      </c>
      <c r="C30" s="251"/>
      <c r="D30" s="252"/>
      <c r="E30" s="253"/>
      <c r="F30" s="254"/>
      <c r="G30" s="255"/>
      <c r="J30" s="248"/>
    </row>
    <row r="31" spans="2:11" x14ac:dyDescent="0.2">
      <c r="B31" s="188"/>
      <c r="C31" s="87" t="s">
        <v>49</v>
      </c>
      <c r="D31" s="236">
        <v>631612</v>
      </c>
      <c r="E31" s="237">
        <v>152845</v>
      </c>
      <c r="F31" s="250">
        <v>730000</v>
      </c>
      <c r="G31" s="239"/>
      <c r="J31" s="248"/>
    </row>
    <row r="32" spans="2:11" x14ac:dyDescent="0.2">
      <c r="B32" s="188"/>
      <c r="C32" s="87" t="s">
        <v>65</v>
      </c>
      <c r="D32" s="236">
        <v>1000000</v>
      </c>
      <c r="E32" s="237"/>
      <c r="F32" s="250"/>
      <c r="G32" s="239"/>
      <c r="J32" s="248"/>
    </row>
    <row r="33" spans="1:10" x14ac:dyDescent="0.2">
      <c r="B33" s="188"/>
      <c r="C33" s="87" t="s">
        <v>2</v>
      </c>
      <c r="D33" s="236">
        <v>590548</v>
      </c>
      <c r="E33" s="237">
        <v>244850</v>
      </c>
      <c r="F33" s="250">
        <v>610000</v>
      </c>
      <c r="G33" s="239"/>
      <c r="J33" s="248"/>
    </row>
    <row r="34" spans="1:10" x14ac:dyDescent="0.2">
      <c r="C34" s="87" t="s">
        <v>35</v>
      </c>
      <c r="D34" s="236">
        <v>39212</v>
      </c>
      <c r="E34" s="237"/>
      <c r="F34" s="250">
        <v>40000</v>
      </c>
      <c r="G34" s="239"/>
      <c r="J34" s="248"/>
    </row>
    <row r="35" spans="1:10" x14ac:dyDescent="0.2">
      <c r="C35" s="87" t="s">
        <v>37</v>
      </c>
      <c r="D35" s="236">
        <v>-19544</v>
      </c>
      <c r="E35" s="237">
        <v>364429</v>
      </c>
      <c r="F35" s="250">
        <v>1100000</v>
      </c>
      <c r="G35" s="239"/>
      <c r="J35" s="248"/>
    </row>
    <row r="36" spans="1:10" x14ac:dyDescent="0.2">
      <c r="C36" s="87" t="s">
        <v>126</v>
      </c>
      <c r="D36" s="236">
        <v>-2295328</v>
      </c>
      <c r="E36" s="237"/>
      <c r="F36" s="250"/>
      <c r="G36" s="239"/>
    </row>
    <row r="37" spans="1:10" x14ac:dyDescent="0.2">
      <c r="C37" s="87" t="s">
        <v>34</v>
      </c>
      <c r="D37" s="236"/>
      <c r="E37" s="237">
        <v>1937</v>
      </c>
      <c r="F37" s="250"/>
      <c r="G37" s="239"/>
    </row>
    <row r="38" spans="1:10" x14ac:dyDescent="0.2">
      <c r="C38" s="87" t="s">
        <v>36</v>
      </c>
      <c r="D38" s="236">
        <v>29558</v>
      </c>
      <c r="E38" s="237">
        <v>29558</v>
      </c>
      <c r="F38" s="250">
        <v>29558</v>
      </c>
      <c r="G38" s="243"/>
      <c r="H38" s="302"/>
    </row>
    <row r="39" spans="1:10" x14ac:dyDescent="0.2">
      <c r="C39" s="256" t="s">
        <v>39</v>
      </c>
      <c r="D39" s="257">
        <f>SUM(D31:D38)</f>
        <v>-23942</v>
      </c>
      <c r="E39" s="258">
        <f>SUM(E31:E38)</f>
        <v>793619</v>
      </c>
      <c r="F39" s="258">
        <f>SUM(F31:F38)</f>
        <v>2509558</v>
      </c>
      <c r="G39" s="247">
        <f>+F39-D39</f>
        <v>2533500</v>
      </c>
      <c r="H39" s="297">
        <f>+G39/D39</f>
        <v>-105.81822738284187</v>
      </c>
    </row>
    <row r="40" spans="1:10" x14ac:dyDescent="0.2">
      <c r="B40" s="319" t="s">
        <v>47</v>
      </c>
      <c r="C40" s="320"/>
      <c r="D40" s="321">
        <f>+D39+D29+D25+D21+D15</f>
        <v>102202036</v>
      </c>
      <c r="E40" s="321">
        <f>+E39+E29+E25+E21+E15</f>
        <v>54198092</v>
      </c>
      <c r="F40" s="321">
        <f>+F39+F29+F25+F21+F15</f>
        <v>110304309</v>
      </c>
      <c r="G40" s="321">
        <f>+G39+G29+G25+G21+G15</f>
        <v>8102273</v>
      </c>
      <c r="H40" s="322">
        <f>+H39+H29+H25+H21+H15</f>
        <v>-105.70990504405511</v>
      </c>
    </row>
    <row r="41" spans="1:10" x14ac:dyDescent="0.2">
      <c r="A41" s="188" t="s">
        <v>129</v>
      </c>
      <c r="C41" s="259"/>
      <c r="D41" s="260"/>
      <c r="E41" s="277"/>
      <c r="F41" s="238"/>
      <c r="G41" s="239"/>
    </row>
    <row r="42" spans="1:10" x14ac:dyDescent="0.2">
      <c r="B42" s="188"/>
      <c r="C42" s="71" t="s">
        <v>17</v>
      </c>
      <c r="D42" s="236">
        <v>-5333794</v>
      </c>
      <c r="E42" s="237">
        <f>+D42</f>
        <v>-5333794</v>
      </c>
      <c r="F42" s="250">
        <f>+E42</f>
        <v>-5333794</v>
      </c>
      <c r="G42" s="239">
        <f>+F42-D42</f>
        <v>0</v>
      </c>
    </row>
    <row r="43" spans="1:10" x14ac:dyDescent="0.2">
      <c r="B43" s="282"/>
      <c r="C43" s="271" t="s">
        <v>87</v>
      </c>
      <c r="D43" s="240"/>
      <c r="E43" s="241">
        <v>-882390</v>
      </c>
      <c r="F43" s="261">
        <v>-1600000</v>
      </c>
      <c r="G43" s="243">
        <f>+F43-D43</f>
        <v>-1600000</v>
      </c>
      <c r="H43" s="302"/>
    </row>
    <row r="44" spans="1:10" x14ac:dyDescent="0.2">
      <c r="B44" s="323" t="s">
        <v>33</v>
      </c>
      <c r="C44" s="323"/>
      <c r="D44" s="324">
        <f>SUM(D42:D43)</f>
        <v>-5333794</v>
      </c>
      <c r="E44" s="325">
        <f>SUM(E42:E43)</f>
        <v>-6216184</v>
      </c>
      <c r="F44" s="325">
        <f>SUM(F42:F43)</f>
        <v>-6933794</v>
      </c>
      <c r="G44" s="326">
        <f>SUM(G42:G43)</f>
        <v>-1600000</v>
      </c>
      <c r="H44" s="327">
        <f>-G44/D44</f>
        <v>-0.29997408973799888</v>
      </c>
    </row>
    <row r="45" spans="1:10" ht="12.75" thickBot="1" x14ac:dyDescent="0.25">
      <c r="A45" s="328" t="s">
        <v>130</v>
      </c>
      <c r="B45" s="328"/>
      <c r="C45" s="328"/>
      <c r="D45" s="329">
        <f>+D44+D40-2</f>
        <v>96868240</v>
      </c>
      <c r="E45" s="329">
        <f>+E44+E40</f>
        <v>47981908</v>
      </c>
      <c r="F45" s="330">
        <f>+F44+F40</f>
        <v>103370515</v>
      </c>
      <c r="G45" s="331">
        <f>+G44+G40</f>
        <v>6502273</v>
      </c>
      <c r="H45" s="332">
        <f>+G45/D45</f>
        <v>6.7124921439679297E-2</v>
      </c>
    </row>
    <row r="46" spans="1:10" ht="12.75" thickTop="1" x14ac:dyDescent="0.2">
      <c r="A46" s="85"/>
      <c r="B46" s="85"/>
      <c r="C46" s="85"/>
      <c r="D46" s="85"/>
      <c r="E46" s="285">
        <f>+E45/F45</f>
        <v>0.46417402486579468</v>
      </c>
      <c r="F46" s="176"/>
      <c r="G46" s="85"/>
      <c r="H46" s="284"/>
    </row>
    <row r="47" spans="1:10" x14ac:dyDescent="0.2">
      <c r="A47" s="287"/>
      <c r="B47" s="287"/>
      <c r="C47" s="287"/>
      <c r="D47" s="337" t="s">
        <v>3</v>
      </c>
      <c r="E47" s="338"/>
      <c r="F47" s="339"/>
      <c r="G47" s="85"/>
    </row>
    <row r="48" spans="1:10" x14ac:dyDescent="0.2">
      <c r="A48" s="287"/>
      <c r="B48" s="287"/>
      <c r="C48" s="287"/>
      <c r="D48" s="340"/>
      <c r="E48" s="289"/>
      <c r="F48" s="341"/>
      <c r="G48" s="311"/>
    </row>
    <row r="49" spans="1:8" s="70" customFormat="1" x14ac:dyDescent="0.2">
      <c r="A49" s="291"/>
      <c r="B49" s="291"/>
      <c r="C49" s="291"/>
      <c r="D49" s="340" t="s">
        <v>139</v>
      </c>
      <c r="E49" s="350"/>
      <c r="F49" s="342">
        <f>+D45</f>
        <v>96868240</v>
      </c>
      <c r="G49" s="85"/>
      <c r="H49" s="299"/>
    </row>
    <row r="50" spans="1:8" s="70" customFormat="1" x14ac:dyDescent="0.2">
      <c r="A50" s="291"/>
      <c r="B50" s="291"/>
      <c r="C50" s="291"/>
      <c r="D50" s="343" t="s">
        <v>151</v>
      </c>
      <c r="E50" s="351"/>
      <c r="F50" s="344">
        <v>7869824</v>
      </c>
      <c r="G50" s="85"/>
      <c r="H50" s="299"/>
    </row>
    <row r="51" spans="1:8" s="70" customFormat="1" x14ac:dyDescent="0.2">
      <c r="A51" s="291"/>
      <c r="B51" s="291"/>
      <c r="C51" s="291"/>
      <c r="D51" s="345" t="s">
        <v>152</v>
      </c>
      <c r="E51" s="334"/>
      <c r="F51" s="342">
        <f>+F50+F49</f>
        <v>104738064</v>
      </c>
      <c r="G51" s="304"/>
      <c r="H51" s="304"/>
    </row>
    <row r="52" spans="1:8" s="70" customFormat="1" x14ac:dyDescent="0.2">
      <c r="A52" s="291"/>
      <c r="B52" s="291"/>
      <c r="C52" s="291"/>
      <c r="D52" s="346"/>
      <c r="E52" s="334" t="s">
        <v>148</v>
      </c>
      <c r="F52" s="347">
        <f>+F45</f>
        <v>103370515</v>
      </c>
      <c r="G52" s="304"/>
      <c r="H52" s="304"/>
    </row>
    <row r="53" spans="1:8" s="70" customFormat="1" x14ac:dyDescent="0.2">
      <c r="A53" s="291"/>
      <c r="B53" s="291"/>
      <c r="C53" s="291"/>
      <c r="D53" s="346"/>
      <c r="E53" s="318" t="s">
        <v>143</v>
      </c>
      <c r="F53" s="344">
        <f>-F29*0.3</f>
        <v>-2828604.6</v>
      </c>
      <c r="G53" s="304"/>
      <c r="H53" s="304"/>
    </row>
    <row r="54" spans="1:8" s="70" customFormat="1" x14ac:dyDescent="0.2">
      <c r="A54" s="289"/>
      <c r="B54" s="289"/>
      <c r="C54" s="289"/>
      <c r="D54" s="348"/>
      <c r="E54" s="334" t="s">
        <v>149</v>
      </c>
      <c r="F54" s="347">
        <f>+F53+F52</f>
        <v>100541910.40000001</v>
      </c>
      <c r="G54" s="284"/>
      <c r="H54" s="284"/>
    </row>
    <row r="55" spans="1:8" s="70" customFormat="1" x14ac:dyDescent="0.2">
      <c r="A55" s="335"/>
      <c r="B55" s="335"/>
      <c r="C55" s="335"/>
      <c r="D55" s="343"/>
      <c r="E55" s="336" t="s">
        <v>144</v>
      </c>
      <c r="F55" s="349">
        <f>+F54-F51</f>
        <v>-4196153.599999994</v>
      </c>
      <c r="G55" s="302"/>
      <c r="H55" s="302"/>
    </row>
    <row r="56" spans="1:8" s="70" customFormat="1" x14ac:dyDescent="0.2">
      <c r="A56" s="333" t="s">
        <v>153</v>
      </c>
      <c r="C56" s="71"/>
      <c r="D56" s="267"/>
      <c r="E56" s="248"/>
      <c r="G56" s="299"/>
      <c r="H56" s="299"/>
    </row>
    <row r="57" spans="1:8" s="70" customFormat="1" x14ac:dyDescent="0.2">
      <c r="E57" s="248"/>
      <c r="G57" s="299"/>
      <c r="H57" s="299"/>
    </row>
    <row r="58" spans="1:8" s="70" customFormat="1" x14ac:dyDescent="0.2">
      <c r="E58" s="248"/>
      <c r="G58" s="299"/>
      <c r="H58" s="299"/>
    </row>
    <row r="59" spans="1:8" s="70" customFormat="1" x14ac:dyDescent="0.2">
      <c r="E59" s="248"/>
      <c r="G59" s="299"/>
      <c r="H59" s="299"/>
    </row>
    <row r="60" spans="1:8" s="70" customFormat="1" x14ac:dyDescent="0.2">
      <c r="E60" s="248"/>
      <c r="G60" s="299"/>
      <c r="H60" s="299"/>
    </row>
    <row r="61" spans="1:8" s="70" customFormat="1" x14ac:dyDescent="0.2">
      <c r="E61" s="248"/>
      <c r="H61" s="299"/>
    </row>
    <row r="62" spans="1:8" s="70" customFormat="1" x14ac:dyDescent="0.2">
      <c r="E62" s="248"/>
      <c r="H62" s="299"/>
    </row>
    <row r="63" spans="1:8" s="70" customFormat="1" x14ac:dyDescent="0.2">
      <c r="E63" s="248"/>
      <c r="H63" s="299"/>
    </row>
    <row r="64" spans="1:8" s="70" customFormat="1" x14ac:dyDescent="0.2">
      <c r="E64" s="248"/>
      <c r="H64" s="299"/>
    </row>
    <row r="65" spans="5:5" s="70" customFormat="1" x14ac:dyDescent="0.2">
      <c r="E65" s="248"/>
    </row>
    <row r="66" spans="5:5" s="70" customFormat="1" x14ac:dyDescent="0.2">
      <c r="E66" s="248"/>
    </row>
    <row r="67" spans="5:5" s="70" customFormat="1" x14ac:dyDescent="0.2">
      <c r="E67" s="248"/>
    </row>
    <row r="68" spans="5:5" s="70" customFormat="1" x14ac:dyDescent="0.2">
      <c r="E68" s="248"/>
    </row>
  </sheetData>
  <mergeCells count="5">
    <mergeCell ref="C1:G1"/>
    <mergeCell ref="C2:G2"/>
    <mergeCell ref="C3:G3"/>
    <mergeCell ref="G6:H6"/>
    <mergeCell ref="G7:H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workbookViewId="0">
      <selection sqref="A1:XFD1048576"/>
    </sheetView>
  </sheetViews>
  <sheetFormatPr defaultRowHeight="12" x14ac:dyDescent="0.2"/>
  <cols>
    <col min="1" max="1" width="7.5703125" style="70" customWidth="1"/>
    <col min="2" max="2" width="7.85546875" style="70" customWidth="1"/>
    <col min="3" max="3" width="22.5703125" style="70" customWidth="1"/>
    <col min="4" max="4" width="12.42578125" style="70" customWidth="1"/>
    <col min="5" max="5" width="12" style="70" customWidth="1"/>
    <col min="6" max="6" width="13.140625" style="70" customWidth="1"/>
    <col min="7" max="7" width="11" style="70" customWidth="1"/>
    <col min="8" max="8" width="10.140625" style="299" customWidth="1"/>
    <col min="9" max="9" width="7.7109375" style="85" customWidth="1"/>
    <col min="10" max="10" width="7.85546875" style="70" customWidth="1"/>
    <col min="11" max="11" width="13.85546875" style="70" customWidth="1"/>
    <col min="12" max="12" width="7.28515625" style="70" customWidth="1"/>
    <col min="13" max="13" width="7.5703125" style="70" customWidth="1"/>
    <col min="14" max="16384" width="9.140625" style="70"/>
  </cols>
  <sheetData>
    <row r="1" spans="1:8" s="70" customFormat="1" ht="15" x14ac:dyDescent="0.25">
      <c r="C1" s="370" t="s">
        <v>0</v>
      </c>
      <c r="D1" s="370"/>
      <c r="E1" s="370"/>
      <c r="F1" s="370"/>
      <c r="G1" s="370"/>
      <c r="H1" s="299"/>
    </row>
    <row r="2" spans="1:8" s="70" customFormat="1" ht="15" x14ac:dyDescent="0.25">
      <c r="C2" s="370" t="s">
        <v>127</v>
      </c>
      <c r="D2" s="370"/>
      <c r="E2" s="370"/>
      <c r="F2" s="370"/>
      <c r="G2" s="370"/>
      <c r="H2" s="299"/>
    </row>
    <row r="3" spans="1:8" s="70" customFormat="1" ht="15" x14ac:dyDescent="0.25">
      <c r="C3" s="371" t="s">
        <v>154</v>
      </c>
      <c r="D3" s="371"/>
      <c r="E3" s="371"/>
      <c r="F3" s="371"/>
      <c r="G3" s="371"/>
      <c r="H3" s="308">
        <f ca="1">NOW()</f>
        <v>40939.673048726851</v>
      </c>
    </row>
    <row r="4" spans="1:8" s="70" customFormat="1" ht="15" x14ac:dyDescent="0.25">
      <c r="C4" s="352"/>
      <c r="D4" s="352"/>
      <c r="E4" s="352"/>
      <c r="F4" s="352"/>
      <c r="G4" s="352"/>
      <c r="H4" s="352"/>
    </row>
    <row r="5" spans="1:8" s="70" customFormat="1" x14ac:dyDescent="0.2">
      <c r="C5" s="71"/>
      <c r="G5" s="188"/>
      <c r="H5" s="299"/>
    </row>
    <row r="6" spans="1:8" s="70" customFormat="1" x14ac:dyDescent="0.2">
      <c r="B6" s="188"/>
      <c r="C6" s="188"/>
      <c r="D6" s="230" t="s">
        <v>120</v>
      </c>
      <c r="E6" s="273" t="s">
        <v>132</v>
      </c>
      <c r="F6" s="274" t="s">
        <v>131</v>
      </c>
      <c r="G6" s="372" t="s">
        <v>91</v>
      </c>
      <c r="H6" s="373"/>
    </row>
    <row r="7" spans="1:8" s="70" customFormat="1" x14ac:dyDescent="0.2">
      <c r="A7" s="188" t="s">
        <v>137</v>
      </c>
      <c r="B7" s="188" t="s">
        <v>138</v>
      </c>
      <c r="C7" s="188"/>
      <c r="D7" s="230" t="s">
        <v>44</v>
      </c>
      <c r="E7" s="273" t="s">
        <v>133</v>
      </c>
      <c r="F7" s="274" t="s">
        <v>146</v>
      </c>
      <c r="G7" s="372" t="s">
        <v>100</v>
      </c>
      <c r="H7" s="373"/>
    </row>
    <row r="8" spans="1:8" s="70" customFormat="1" ht="12.75" thickBot="1" x14ac:dyDescent="0.25">
      <c r="A8" s="181"/>
      <c r="B8" s="181"/>
      <c r="C8" s="181"/>
      <c r="D8" s="231" t="s">
        <v>135</v>
      </c>
      <c r="E8" s="275" t="s">
        <v>134</v>
      </c>
      <c r="F8" s="276" t="s">
        <v>136</v>
      </c>
      <c r="G8" s="276" t="s">
        <v>140</v>
      </c>
      <c r="H8" s="300" t="s">
        <v>141</v>
      </c>
    </row>
    <row r="9" spans="1:8" s="70" customFormat="1" x14ac:dyDescent="0.2">
      <c r="A9" s="188" t="s">
        <v>128</v>
      </c>
      <c r="B9" s="85"/>
      <c r="C9" s="85"/>
      <c r="D9" s="230"/>
      <c r="E9" s="273"/>
      <c r="F9" s="274"/>
      <c r="G9" s="272"/>
      <c r="H9" s="301"/>
    </row>
    <row r="10" spans="1:8" s="70" customFormat="1" x14ac:dyDescent="0.2">
      <c r="B10" s="189" t="s">
        <v>46</v>
      </c>
      <c r="D10" s="232"/>
      <c r="E10" s="233"/>
      <c r="F10" s="234"/>
      <c r="G10" s="235"/>
      <c r="H10" s="299"/>
    </row>
    <row r="11" spans="1:8" s="70" customFormat="1" x14ac:dyDescent="0.2">
      <c r="B11" s="188"/>
      <c r="C11" s="71" t="s">
        <v>27</v>
      </c>
      <c r="D11" s="236">
        <v>21792211</v>
      </c>
      <c r="E11" s="237"/>
      <c r="F11" s="238">
        <v>23984803</v>
      </c>
      <c r="G11" s="239"/>
      <c r="H11" s="299"/>
    </row>
    <row r="12" spans="1:8" s="70" customFormat="1" x14ac:dyDescent="0.2">
      <c r="B12" s="188"/>
      <c r="C12" s="71" t="s">
        <v>28</v>
      </c>
      <c r="D12" s="236">
        <v>33798375</v>
      </c>
      <c r="E12" s="237">
        <v>41775821</v>
      </c>
      <c r="F12" s="238">
        <v>34739120</v>
      </c>
      <c r="G12" s="239"/>
      <c r="H12" s="299"/>
    </row>
    <row r="13" spans="1:8" s="70" customFormat="1" x14ac:dyDescent="0.2">
      <c r="B13" s="188"/>
      <c r="C13" s="71" t="s">
        <v>29</v>
      </c>
      <c r="D13" s="236">
        <v>16856399</v>
      </c>
      <c r="E13" s="237">
        <v>11812339</v>
      </c>
      <c r="F13" s="238">
        <v>17034776</v>
      </c>
      <c r="G13" s="239"/>
      <c r="H13" s="299"/>
    </row>
    <row r="14" spans="1:8" s="70" customFormat="1" x14ac:dyDescent="0.2">
      <c r="B14" s="188"/>
      <c r="C14" s="98" t="s">
        <v>30</v>
      </c>
      <c r="D14" s="240">
        <v>2544712</v>
      </c>
      <c r="E14" s="241"/>
      <c r="F14" s="242">
        <v>2836680</v>
      </c>
      <c r="G14" s="243"/>
      <c r="H14" s="302"/>
    </row>
    <row r="15" spans="1:8" s="70" customFormat="1" x14ac:dyDescent="0.2">
      <c r="B15" s="188"/>
      <c r="C15" s="244" t="s">
        <v>123</v>
      </c>
      <c r="D15" s="245">
        <f>SUM(D11:D14)</f>
        <v>74991697</v>
      </c>
      <c r="E15" s="246">
        <f>SUM(E11:E14)</f>
        <v>53588160</v>
      </c>
      <c r="F15" s="246">
        <f>SUM(F11:F14)</f>
        <v>78595379</v>
      </c>
      <c r="G15" s="247">
        <f>+F15-D15</f>
        <v>3603682</v>
      </c>
      <c r="H15" s="303">
        <f>+G15/D15</f>
        <v>4.8054413277245876E-2</v>
      </c>
    </row>
    <row r="16" spans="1:8" s="70" customFormat="1" x14ac:dyDescent="0.2">
      <c r="B16" s="189" t="s">
        <v>45</v>
      </c>
      <c r="D16" s="236"/>
      <c r="E16" s="237"/>
      <c r="F16" s="238"/>
      <c r="G16" s="239"/>
      <c r="H16" s="299"/>
    </row>
    <row r="17" spans="2:11" x14ac:dyDescent="0.2">
      <c r="B17" s="188"/>
      <c r="C17" s="71" t="s">
        <v>27</v>
      </c>
      <c r="D17" s="236">
        <v>4886276</v>
      </c>
      <c r="E17" s="237"/>
      <c r="F17" s="238">
        <v>6045480</v>
      </c>
      <c r="G17" s="239"/>
    </row>
    <row r="18" spans="2:11" x14ac:dyDescent="0.2">
      <c r="B18" s="188"/>
      <c r="C18" s="71" t="s">
        <v>28</v>
      </c>
      <c r="D18" s="236">
        <v>6289094</v>
      </c>
      <c r="E18" s="237">
        <v>9268602</v>
      </c>
      <c r="F18" s="238">
        <v>6516766</v>
      </c>
      <c r="G18" s="239"/>
    </row>
    <row r="19" spans="2:11" x14ac:dyDescent="0.2">
      <c r="B19" s="188"/>
      <c r="C19" s="71" t="s">
        <v>29</v>
      </c>
      <c r="D19" s="236">
        <v>2963037</v>
      </c>
      <c r="E19" s="237">
        <v>3387742</v>
      </c>
      <c r="F19" s="238">
        <v>3466318</v>
      </c>
      <c r="G19" s="239"/>
      <c r="J19" s="248"/>
    </row>
    <row r="20" spans="2:11" x14ac:dyDescent="0.2">
      <c r="B20" s="188"/>
      <c r="C20" s="98" t="s">
        <v>30</v>
      </c>
      <c r="D20" s="240">
        <v>1583752</v>
      </c>
      <c r="E20" s="241"/>
      <c r="F20" s="242">
        <v>1814126</v>
      </c>
      <c r="G20" s="243"/>
      <c r="H20" s="302"/>
      <c r="J20" s="248"/>
    </row>
    <row r="21" spans="2:11" x14ac:dyDescent="0.2">
      <c r="B21" s="188"/>
      <c r="C21" s="244" t="s">
        <v>123</v>
      </c>
      <c r="D21" s="245">
        <f>SUM(D17:D20)</f>
        <v>15722159</v>
      </c>
      <c r="E21" s="246">
        <f>SUM(E17:E20)</f>
        <v>12656344</v>
      </c>
      <c r="F21" s="246">
        <f>SUM(F17:F20)</f>
        <v>17842690</v>
      </c>
      <c r="G21" s="247">
        <f>+F21-D21</f>
        <v>2120531</v>
      </c>
      <c r="H21" s="303">
        <f>+G21/D21</f>
        <v>0.13487530561165295</v>
      </c>
      <c r="J21" s="248"/>
    </row>
    <row r="22" spans="2:11" x14ac:dyDescent="0.2">
      <c r="B22" s="249" t="s">
        <v>118</v>
      </c>
      <c r="C22" s="71"/>
      <c r="D22" s="236"/>
      <c r="E22" s="237"/>
      <c r="F22" s="238"/>
      <c r="G22" s="239"/>
      <c r="H22" s="304"/>
      <c r="J22" s="248"/>
    </row>
    <row r="23" spans="2:11" x14ac:dyDescent="0.2">
      <c r="B23" s="249"/>
      <c r="C23" s="71" t="s">
        <v>121</v>
      </c>
      <c r="D23" s="236">
        <v>1693440</v>
      </c>
      <c r="E23" s="237">
        <v>784000</v>
      </c>
      <c r="F23" s="238">
        <v>1274000</v>
      </c>
      <c r="G23" s="239"/>
      <c r="J23" s="248"/>
      <c r="K23" s="317"/>
    </row>
    <row r="24" spans="2:11" x14ac:dyDescent="0.2">
      <c r="B24" s="249"/>
      <c r="C24" s="98" t="s">
        <v>122</v>
      </c>
      <c r="D24" s="240">
        <v>390000</v>
      </c>
      <c r="E24" s="241">
        <v>180000</v>
      </c>
      <c r="F24" s="242">
        <v>654000</v>
      </c>
      <c r="G24" s="243"/>
      <c r="H24" s="302"/>
      <c r="J24" s="248"/>
      <c r="K24" s="317"/>
    </row>
    <row r="25" spans="2:11" x14ac:dyDescent="0.2">
      <c r="B25" s="249"/>
      <c r="C25" s="244" t="s">
        <v>123</v>
      </c>
      <c r="D25" s="245">
        <f>SUM(D23:D24)</f>
        <v>2083440</v>
      </c>
      <c r="E25" s="245">
        <f>SUM(E23:E24)</f>
        <v>964000</v>
      </c>
      <c r="F25" s="245">
        <f>SUM(F23:F24)</f>
        <v>1928000</v>
      </c>
      <c r="G25" s="247">
        <f>+F25-D25</f>
        <v>-155440</v>
      </c>
      <c r="H25" s="303">
        <f>+G25/D25</f>
        <v>-7.4607380102138771E-2</v>
      </c>
      <c r="J25" s="248"/>
      <c r="K25" s="317"/>
    </row>
    <row r="26" spans="2:11" x14ac:dyDescent="0.2">
      <c r="B26" s="249" t="s">
        <v>119</v>
      </c>
      <c r="C26" s="71"/>
      <c r="D26" s="236"/>
      <c r="E26" s="237"/>
      <c r="F26" s="238"/>
      <c r="G26" s="239"/>
      <c r="J26" s="248"/>
    </row>
    <row r="27" spans="2:11" x14ac:dyDescent="0.2">
      <c r="B27" s="249"/>
      <c r="C27" s="87" t="s">
        <v>84</v>
      </c>
      <c r="D27" s="236">
        <v>9428682</v>
      </c>
      <c r="E27" s="237">
        <v>8437428</v>
      </c>
      <c r="F27" s="250">
        <v>9428682</v>
      </c>
      <c r="G27" s="239"/>
      <c r="J27" s="248"/>
    </row>
    <row r="28" spans="2:11" x14ac:dyDescent="0.2">
      <c r="B28" s="249"/>
      <c r="C28" s="98" t="s">
        <v>125</v>
      </c>
      <c r="D28" s="240"/>
      <c r="E28" s="241">
        <f>-1634356-20685</f>
        <v>-1655041</v>
      </c>
      <c r="F28" s="242"/>
      <c r="G28" s="243"/>
      <c r="H28" s="302"/>
      <c r="J28" s="248"/>
    </row>
    <row r="29" spans="2:11" x14ac:dyDescent="0.2">
      <c r="B29" s="249"/>
      <c r="C29" s="244" t="s">
        <v>124</v>
      </c>
      <c r="D29" s="245">
        <f>SUM(D27:D28)</f>
        <v>9428682</v>
      </c>
      <c r="E29" s="245">
        <f>SUM(E27:E28)</f>
        <v>6782387</v>
      </c>
      <c r="F29" s="245">
        <f>SUM(F27:F28)</f>
        <v>9428682</v>
      </c>
      <c r="G29" s="247">
        <f>+F29-D29</f>
        <v>0</v>
      </c>
      <c r="H29" s="303">
        <f>+G29/D29</f>
        <v>0</v>
      </c>
      <c r="J29" s="248"/>
    </row>
    <row r="30" spans="2:11" x14ac:dyDescent="0.2">
      <c r="B30" s="188" t="s">
        <v>38</v>
      </c>
      <c r="C30" s="251"/>
      <c r="D30" s="252"/>
      <c r="E30" s="253"/>
      <c r="F30" s="254"/>
      <c r="G30" s="255"/>
      <c r="J30" s="248"/>
    </row>
    <row r="31" spans="2:11" x14ac:dyDescent="0.2">
      <c r="B31" s="188"/>
      <c r="C31" s="87" t="s">
        <v>49</v>
      </c>
      <c r="D31" s="236">
        <v>631612</v>
      </c>
      <c r="E31" s="237">
        <v>291805</v>
      </c>
      <c r="F31" s="250">
        <v>730000</v>
      </c>
      <c r="G31" s="239"/>
      <c r="J31" s="248"/>
    </row>
    <row r="32" spans="2:11" x14ac:dyDescent="0.2">
      <c r="B32" s="188"/>
      <c r="C32" s="87" t="s">
        <v>65</v>
      </c>
      <c r="D32" s="236">
        <v>1000000</v>
      </c>
      <c r="E32" s="237"/>
      <c r="F32" s="250"/>
      <c r="G32" s="239"/>
      <c r="J32" s="248"/>
    </row>
    <row r="33" spans="1:10" x14ac:dyDescent="0.2">
      <c r="B33" s="188"/>
      <c r="C33" s="87" t="s">
        <v>2</v>
      </c>
      <c r="D33" s="236">
        <v>590548</v>
      </c>
      <c r="E33" s="237">
        <v>254925</v>
      </c>
      <c r="F33" s="250">
        <v>610000</v>
      </c>
      <c r="G33" s="239"/>
      <c r="J33" s="248"/>
    </row>
    <row r="34" spans="1:10" x14ac:dyDescent="0.2">
      <c r="C34" s="87" t="s">
        <v>35</v>
      </c>
      <c r="D34" s="236">
        <v>39212</v>
      </c>
      <c r="E34" s="237"/>
      <c r="F34" s="250">
        <v>40000</v>
      </c>
      <c r="G34" s="239"/>
      <c r="J34" s="248"/>
    </row>
    <row r="35" spans="1:10" x14ac:dyDescent="0.2">
      <c r="C35" s="87" t="s">
        <v>37</v>
      </c>
      <c r="D35" s="236">
        <v>-19544</v>
      </c>
      <c r="E35" s="237">
        <v>364350</v>
      </c>
      <c r="F35" s="250">
        <v>1100000</v>
      </c>
      <c r="G35" s="239"/>
      <c r="J35" s="248"/>
    </row>
    <row r="36" spans="1:10" x14ac:dyDescent="0.2">
      <c r="C36" s="87" t="s">
        <v>126</v>
      </c>
      <c r="D36" s="236">
        <v>-2295328</v>
      </c>
      <c r="E36" s="237"/>
      <c r="F36" s="250"/>
      <c r="G36" s="239"/>
    </row>
    <row r="37" spans="1:10" x14ac:dyDescent="0.2">
      <c r="C37" s="87" t="s">
        <v>34</v>
      </c>
      <c r="D37" s="236"/>
      <c r="E37" s="237">
        <v>2041</v>
      </c>
      <c r="F37" s="250"/>
      <c r="G37" s="239"/>
    </row>
    <row r="38" spans="1:10" x14ac:dyDescent="0.2">
      <c r="C38" s="87" t="s">
        <v>36</v>
      </c>
      <c r="D38" s="236">
        <v>29558</v>
      </c>
      <c r="E38" s="237">
        <v>29558</v>
      </c>
      <c r="F38" s="250">
        <v>29558</v>
      </c>
      <c r="G38" s="243"/>
      <c r="H38" s="302"/>
    </row>
    <row r="39" spans="1:10" x14ac:dyDescent="0.2">
      <c r="C39" s="256" t="s">
        <v>39</v>
      </c>
      <c r="D39" s="257">
        <f>SUM(D31:D38)</f>
        <v>-23942</v>
      </c>
      <c r="E39" s="258">
        <f>SUM(E31:E38)</f>
        <v>942679</v>
      </c>
      <c r="F39" s="258">
        <f>SUM(F31:F38)</f>
        <v>2509558</v>
      </c>
      <c r="G39" s="247">
        <f>+F39-D39</f>
        <v>2533500</v>
      </c>
      <c r="H39" s="297">
        <f>+G39/D39</f>
        <v>-105.81822738284187</v>
      </c>
    </row>
    <row r="40" spans="1:10" x14ac:dyDescent="0.2">
      <c r="B40" s="319" t="s">
        <v>47</v>
      </c>
      <c r="C40" s="320"/>
      <c r="D40" s="321">
        <f>+D39+D29+D25+D21+D15</f>
        <v>102202036</v>
      </c>
      <c r="E40" s="321">
        <f>+E39+E29+E25+E21+E15</f>
        <v>74933570</v>
      </c>
      <c r="F40" s="321">
        <f>+F39+F29+F25+F21+F15</f>
        <v>110304309</v>
      </c>
      <c r="G40" s="321">
        <f>+G39+G29+G25+G21+G15</f>
        <v>8102273</v>
      </c>
      <c r="H40" s="322">
        <f>+H39+H29+H25+H21+H15</f>
        <v>-105.70990504405511</v>
      </c>
    </row>
    <row r="41" spans="1:10" x14ac:dyDescent="0.2">
      <c r="A41" s="188" t="s">
        <v>129</v>
      </c>
      <c r="C41" s="259"/>
      <c r="D41" s="260"/>
      <c r="E41" s="277"/>
      <c r="F41" s="238"/>
      <c r="G41" s="239"/>
    </row>
    <row r="42" spans="1:10" x14ac:dyDescent="0.2">
      <c r="B42" s="188"/>
      <c r="C42" s="71" t="s">
        <v>17</v>
      </c>
      <c r="D42" s="236">
        <v>-5333794</v>
      </c>
      <c r="E42" s="237">
        <f>+D42</f>
        <v>-5333794</v>
      </c>
      <c r="F42" s="250">
        <f>+E42</f>
        <v>-5333794</v>
      </c>
      <c r="G42" s="239">
        <f>+F42-D42</f>
        <v>0</v>
      </c>
    </row>
    <row r="43" spans="1:10" x14ac:dyDescent="0.2">
      <c r="B43" s="282"/>
      <c r="C43" s="271" t="s">
        <v>87</v>
      </c>
      <c r="D43" s="240"/>
      <c r="E43" s="241">
        <v>-876560.26</v>
      </c>
      <c r="F43" s="261">
        <v>-1600000</v>
      </c>
      <c r="G43" s="243">
        <f>+F43-D43</f>
        <v>-1600000</v>
      </c>
      <c r="H43" s="302"/>
    </row>
    <row r="44" spans="1:10" x14ac:dyDescent="0.2">
      <c r="B44" s="323" t="s">
        <v>33</v>
      </c>
      <c r="C44" s="323"/>
      <c r="D44" s="324">
        <f>SUM(D42:D43)</f>
        <v>-5333794</v>
      </c>
      <c r="E44" s="325">
        <f>SUM(E42:E43)</f>
        <v>-6210354.2599999998</v>
      </c>
      <c r="F44" s="325">
        <f>SUM(F42:F43)</f>
        <v>-6933794</v>
      </c>
      <c r="G44" s="326">
        <f>SUM(G42:G43)</f>
        <v>-1600000</v>
      </c>
      <c r="H44" s="327">
        <f>-G44/D44</f>
        <v>-0.29997408973799888</v>
      </c>
    </row>
    <row r="45" spans="1:10" ht="12.75" thickBot="1" x14ac:dyDescent="0.25">
      <c r="A45" s="328" t="s">
        <v>130</v>
      </c>
      <c r="B45" s="328"/>
      <c r="C45" s="328"/>
      <c r="D45" s="329">
        <f>+D44+D40-2</f>
        <v>96868240</v>
      </c>
      <c r="E45" s="329">
        <f>+E44+E40</f>
        <v>68723215.739999995</v>
      </c>
      <c r="F45" s="330">
        <f>+F44+F40</f>
        <v>103370515</v>
      </c>
      <c r="G45" s="331">
        <f>+G44+G40</f>
        <v>6502273</v>
      </c>
      <c r="H45" s="332">
        <f>+G45/D45</f>
        <v>6.7124921439679297E-2</v>
      </c>
    </row>
    <row r="46" spans="1:10" ht="12.75" thickTop="1" x14ac:dyDescent="0.2">
      <c r="A46" s="85"/>
      <c r="B46" s="85" t="s">
        <v>155</v>
      </c>
      <c r="C46" s="85"/>
      <c r="D46" s="85"/>
      <c r="E46" s="285">
        <f>+E45/F45</f>
        <v>0.66482415938432726</v>
      </c>
      <c r="F46" s="176"/>
      <c r="G46" s="85"/>
      <c r="H46" s="284"/>
    </row>
    <row r="47" spans="1:10" x14ac:dyDescent="0.2">
      <c r="A47" s="287"/>
      <c r="B47" s="287"/>
      <c r="C47" s="287"/>
      <c r="D47" s="337" t="s">
        <v>3</v>
      </c>
      <c r="E47" s="338"/>
      <c r="F47" s="339"/>
      <c r="G47" s="85"/>
    </row>
    <row r="48" spans="1:10" x14ac:dyDescent="0.2">
      <c r="A48" s="287"/>
      <c r="B48" s="287"/>
      <c r="C48" s="287"/>
      <c r="D48" s="340"/>
      <c r="E48" s="289"/>
      <c r="F48" s="341"/>
      <c r="G48" s="311"/>
    </row>
    <row r="49" spans="1:8" s="70" customFormat="1" x14ac:dyDescent="0.2">
      <c r="A49" s="291"/>
      <c r="B49" s="291"/>
      <c r="C49" s="291"/>
      <c r="D49" s="340" t="s">
        <v>139</v>
      </c>
      <c r="E49" s="350"/>
      <c r="F49" s="342">
        <f>+D45</f>
        <v>96868240</v>
      </c>
      <c r="G49" s="85"/>
      <c r="H49" s="299"/>
    </row>
    <row r="50" spans="1:8" s="70" customFormat="1" x14ac:dyDescent="0.2">
      <c r="A50" s="291"/>
      <c r="B50" s="291"/>
      <c r="C50" s="291"/>
      <c r="D50" s="343" t="s">
        <v>151</v>
      </c>
      <c r="E50" s="351"/>
      <c r="F50" s="344">
        <v>7869824</v>
      </c>
      <c r="G50" s="85"/>
      <c r="H50" s="299"/>
    </row>
    <row r="51" spans="1:8" s="70" customFormat="1" x14ac:dyDescent="0.2">
      <c r="A51" s="291"/>
      <c r="B51" s="291"/>
      <c r="C51" s="291"/>
      <c r="D51" s="345" t="s">
        <v>152</v>
      </c>
      <c r="E51" s="334"/>
      <c r="F51" s="342">
        <f>+F50+F49</f>
        <v>104738064</v>
      </c>
      <c r="G51" s="304"/>
      <c r="H51" s="304"/>
    </row>
    <row r="52" spans="1:8" s="70" customFormat="1" x14ac:dyDescent="0.2">
      <c r="A52" s="291"/>
      <c r="B52" s="291"/>
      <c r="C52" s="291"/>
      <c r="D52" s="346"/>
      <c r="E52" s="334" t="s">
        <v>148</v>
      </c>
      <c r="F52" s="347">
        <f>+F45</f>
        <v>103370515</v>
      </c>
      <c r="G52" s="304"/>
      <c r="H52" s="304"/>
    </row>
    <row r="53" spans="1:8" s="70" customFormat="1" x14ac:dyDescent="0.2">
      <c r="A53" s="291"/>
      <c r="B53" s="291"/>
      <c r="C53" s="291"/>
      <c r="D53" s="346"/>
      <c r="E53" s="318" t="s">
        <v>143</v>
      </c>
      <c r="F53" s="344">
        <f>-F29*0.3</f>
        <v>-2828604.6</v>
      </c>
      <c r="G53" s="304"/>
      <c r="H53" s="304"/>
    </row>
    <row r="54" spans="1:8" s="70" customFormat="1" x14ac:dyDescent="0.2">
      <c r="A54" s="289"/>
      <c r="B54" s="289"/>
      <c r="C54" s="289"/>
      <c r="D54" s="348"/>
      <c r="E54" s="334" t="s">
        <v>149</v>
      </c>
      <c r="F54" s="347">
        <f>+F53+F52</f>
        <v>100541910.40000001</v>
      </c>
      <c r="G54" s="284"/>
      <c r="H54" s="284"/>
    </row>
    <row r="55" spans="1:8" s="70" customFormat="1" x14ac:dyDescent="0.2">
      <c r="A55" s="335"/>
      <c r="B55" s="335"/>
      <c r="C55" s="335"/>
      <c r="D55" s="343"/>
      <c r="E55" s="336" t="s">
        <v>144</v>
      </c>
      <c r="F55" s="349">
        <f>+F54-F51</f>
        <v>-4196153.599999994</v>
      </c>
      <c r="G55" s="302"/>
      <c r="H55" s="302"/>
    </row>
    <row r="56" spans="1:8" s="70" customFormat="1" x14ac:dyDescent="0.2">
      <c r="A56" s="333" t="s">
        <v>153</v>
      </c>
      <c r="C56" s="71"/>
      <c r="D56" s="267"/>
      <c r="E56" s="248"/>
      <c r="G56" s="299"/>
      <c r="H56" s="299"/>
    </row>
    <row r="57" spans="1:8" s="70" customFormat="1" x14ac:dyDescent="0.2">
      <c r="E57" s="248"/>
      <c r="G57" s="299"/>
      <c r="H57" s="299"/>
    </row>
    <row r="58" spans="1:8" s="70" customFormat="1" x14ac:dyDescent="0.2">
      <c r="E58" s="248"/>
      <c r="G58" s="299"/>
      <c r="H58" s="299"/>
    </row>
    <row r="59" spans="1:8" s="70" customFormat="1" x14ac:dyDescent="0.2">
      <c r="E59" s="248"/>
      <c r="G59" s="299"/>
      <c r="H59" s="299"/>
    </row>
    <row r="60" spans="1:8" s="70" customFormat="1" x14ac:dyDescent="0.2">
      <c r="E60" s="248"/>
      <c r="G60" s="299"/>
      <c r="H60" s="299"/>
    </row>
    <row r="61" spans="1:8" s="70" customFormat="1" x14ac:dyDescent="0.2">
      <c r="E61" s="248"/>
      <c r="H61" s="299"/>
    </row>
    <row r="62" spans="1:8" s="70" customFormat="1" x14ac:dyDescent="0.2">
      <c r="E62" s="248"/>
      <c r="H62" s="299"/>
    </row>
    <row r="63" spans="1:8" s="70" customFormat="1" x14ac:dyDescent="0.2">
      <c r="E63" s="248"/>
      <c r="H63" s="299"/>
    </row>
    <row r="64" spans="1:8" s="70" customFormat="1" x14ac:dyDescent="0.2">
      <c r="E64" s="248"/>
      <c r="H64" s="299"/>
    </row>
    <row r="65" spans="5:5" s="70" customFormat="1" x14ac:dyDescent="0.2">
      <c r="E65" s="248"/>
    </row>
    <row r="66" spans="5:5" s="70" customFormat="1" x14ac:dyDescent="0.2">
      <c r="E66" s="248"/>
    </row>
    <row r="67" spans="5:5" s="70" customFormat="1" x14ac:dyDescent="0.2">
      <c r="E67" s="248"/>
    </row>
    <row r="68" spans="5:5" s="70" customFormat="1" x14ac:dyDescent="0.2">
      <c r="E68" s="248"/>
    </row>
  </sheetData>
  <mergeCells count="5">
    <mergeCell ref="C1:G1"/>
    <mergeCell ref="C2:G2"/>
    <mergeCell ref="C3:G3"/>
    <mergeCell ref="G6:H6"/>
    <mergeCell ref="G7:H7"/>
  </mergeCells>
  <pageMargins left="0" right="0" top="0.75" bottom="0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E8" sqref="E8"/>
    </sheetView>
  </sheetViews>
  <sheetFormatPr defaultRowHeight="12" x14ac:dyDescent="0.2"/>
  <cols>
    <col min="1" max="1" width="7.5703125" style="70" customWidth="1"/>
    <col min="2" max="2" width="7.85546875" style="70" customWidth="1"/>
    <col min="3" max="3" width="22.5703125" style="70" customWidth="1"/>
    <col min="4" max="4" width="12.42578125" style="70" customWidth="1"/>
    <col min="5" max="5" width="12.7109375" style="70" customWidth="1"/>
    <col min="6" max="6" width="13.140625" style="70" customWidth="1"/>
    <col min="7" max="7" width="11" style="70" customWidth="1"/>
    <col min="8" max="8" width="10.140625" style="299" customWidth="1"/>
    <col min="9" max="9" width="7.7109375" style="85" customWidth="1"/>
    <col min="10" max="10" width="7.85546875" style="70" customWidth="1"/>
    <col min="11" max="11" width="13.85546875" style="70" customWidth="1"/>
    <col min="12" max="12" width="7.28515625" style="70" customWidth="1"/>
    <col min="13" max="13" width="7.5703125" style="70" customWidth="1"/>
    <col min="14" max="16384" width="9.140625" style="70"/>
  </cols>
  <sheetData>
    <row r="1" spans="1:11" ht="15" x14ac:dyDescent="0.25">
      <c r="C1" s="370" t="s">
        <v>0</v>
      </c>
      <c r="D1" s="370"/>
      <c r="E1" s="370"/>
      <c r="F1" s="370"/>
      <c r="G1" s="370"/>
      <c r="I1" s="70"/>
    </row>
    <row r="2" spans="1:11" ht="15" x14ac:dyDescent="0.25">
      <c r="C2" s="370" t="s">
        <v>127</v>
      </c>
      <c r="D2" s="370"/>
      <c r="E2" s="370"/>
      <c r="F2" s="370"/>
      <c r="G2" s="370"/>
      <c r="I2" s="70"/>
    </row>
    <row r="3" spans="1:11" ht="15" x14ac:dyDescent="0.25">
      <c r="C3" s="371" t="s">
        <v>156</v>
      </c>
      <c r="D3" s="371"/>
      <c r="E3" s="371"/>
      <c r="F3" s="371"/>
      <c r="G3" s="371"/>
      <c r="H3" s="308">
        <f ca="1">NOW()</f>
        <v>40939.673048726851</v>
      </c>
      <c r="I3" s="70"/>
    </row>
    <row r="4" spans="1:11" ht="15" x14ac:dyDescent="0.25">
      <c r="C4" s="355"/>
      <c r="D4" s="355"/>
      <c r="E4" s="355"/>
      <c r="F4" s="355"/>
      <c r="G4" s="355"/>
      <c r="H4" s="355"/>
      <c r="I4" s="70"/>
    </row>
    <row r="5" spans="1:11" x14ac:dyDescent="0.2">
      <c r="C5" s="71"/>
      <c r="G5" s="188"/>
      <c r="I5" s="70"/>
    </row>
    <row r="6" spans="1:11" x14ac:dyDescent="0.2">
      <c r="B6" s="188"/>
      <c r="C6" s="188"/>
      <c r="D6" s="230" t="s">
        <v>120</v>
      </c>
      <c r="E6" s="273" t="s">
        <v>164</v>
      </c>
      <c r="F6" s="274" t="s">
        <v>159</v>
      </c>
      <c r="G6" s="372" t="s">
        <v>91</v>
      </c>
      <c r="H6" s="373"/>
      <c r="I6" s="70"/>
    </row>
    <row r="7" spans="1:11" x14ac:dyDescent="0.2">
      <c r="A7" s="188" t="s">
        <v>137</v>
      </c>
      <c r="B7" s="188" t="s">
        <v>138</v>
      </c>
      <c r="C7" s="188"/>
      <c r="D7" s="230" t="s">
        <v>44</v>
      </c>
      <c r="E7" s="273" t="s">
        <v>165</v>
      </c>
      <c r="F7" s="274" t="s">
        <v>160</v>
      </c>
      <c r="G7" s="372" t="s">
        <v>100</v>
      </c>
      <c r="H7" s="373"/>
      <c r="I7" s="70"/>
    </row>
    <row r="8" spans="1:11" ht="12.75" thickBot="1" x14ac:dyDescent="0.25">
      <c r="A8" s="181"/>
      <c r="B8" s="181"/>
      <c r="C8" s="181"/>
      <c r="D8" s="231" t="s">
        <v>135</v>
      </c>
      <c r="E8" s="275" t="s">
        <v>134</v>
      </c>
      <c r="F8" s="276" t="s">
        <v>136</v>
      </c>
      <c r="G8" s="276" t="s">
        <v>140</v>
      </c>
      <c r="H8" s="300" t="s">
        <v>141</v>
      </c>
      <c r="I8" s="70"/>
    </row>
    <row r="9" spans="1:11" x14ac:dyDescent="0.2">
      <c r="A9" s="188" t="s">
        <v>128</v>
      </c>
      <c r="B9" s="85"/>
      <c r="C9" s="85"/>
      <c r="D9" s="230"/>
      <c r="E9" s="273"/>
      <c r="F9" s="274"/>
      <c r="G9" s="272"/>
      <c r="H9" s="301"/>
      <c r="I9" s="70"/>
    </row>
    <row r="10" spans="1:11" x14ac:dyDescent="0.2">
      <c r="B10" s="189" t="s">
        <v>46</v>
      </c>
      <c r="D10" s="232"/>
      <c r="E10" s="233"/>
      <c r="F10" s="234"/>
      <c r="G10" s="235"/>
      <c r="I10" s="70"/>
    </row>
    <row r="11" spans="1:11" x14ac:dyDescent="0.2">
      <c r="B11" s="188"/>
      <c r="C11" s="71" t="s">
        <v>27</v>
      </c>
      <c r="D11" s="236">
        <v>21792211</v>
      </c>
      <c r="E11" s="237"/>
      <c r="F11" s="238">
        <v>25514146</v>
      </c>
      <c r="G11" s="239"/>
      <c r="I11" s="70"/>
    </row>
    <row r="12" spans="1:11" x14ac:dyDescent="0.2">
      <c r="B12" s="188"/>
      <c r="C12" s="71" t="s">
        <v>28</v>
      </c>
      <c r="D12" s="236">
        <v>33798375</v>
      </c>
      <c r="E12" s="237">
        <v>55577019.420000002</v>
      </c>
      <c r="F12" s="238">
        <v>35258199</v>
      </c>
      <c r="G12" s="239"/>
      <c r="I12" s="70"/>
    </row>
    <row r="13" spans="1:11" x14ac:dyDescent="0.2">
      <c r="B13" s="188"/>
      <c r="C13" s="71" t="s">
        <v>29</v>
      </c>
      <c r="D13" s="236">
        <v>16856399</v>
      </c>
      <c r="E13" s="237">
        <v>16497649.119999999</v>
      </c>
      <c r="F13" s="238">
        <v>16850021</v>
      </c>
      <c r="G13" s="239"/>
      <c r="I13" s="70"/>
    </row>
    <row r="14" spans="1:11" x14ac:dyDescent="0.2">
      <c r="B14" s="188"/>
      <c r="C14" s="98" t="s">
        <v>30</v>
      </c>
      <c r="D14" s="240">
        <v>2544712</v>
      </c>
      <c r="E14" s="241"/>
      <c r="F14" s="242">
        <v>3150792</v>
      </c>
      <c r="G14" s="243"/>
      <c r="H14" s="302"/>
      <c r="I14" s="70"/>
    </row>
    <row r="15" spans="1:11" x14ac:dyDescent="0.2">
      <c r="B15" s="188"/>
      <c r="C15" s="244" t="s">
        <v>123</v>
      </c>
      <c r="D15" s="245">
        <f>SUM(D11:D14)</f>
        <v>74991697</v>
      </c>
      <c r="E15" s="246">
        <f>SUM(E11:E14)</f>
        <v>72074668.540000007</v>
      </c>
      <c r="F15" s="246">
        <f>SUM(F11:F14)</f>
        <v>80773158</v>
      </c>
      <c r="G15" s="247">
        <f>+F15-D15</f>
        <v>5781461</v>
      </c>
      <c r="H15" s="303">
        <f>+G15/D15</f>
        <v>7.709468156188011E-2</v>
      </c>
      <c r="I15" s="70"/>
      <c r="K15" s="317"/>
    </row>
    <row r="16" spans="1:11" x14ac:dyDescent="0.2">
      <c r="B16" s="189" t="s">
        <v>45</v>
      </c>
      <c r="D16" s="236"/>
      <c r="E16" s="237"/>
      <c r="F16" s="238"/>
      <c r="G16" s="239"/>
      <c r="I16" s="70"/>
    </row>
    <row r="17" spans="2:11" x14ac:dyDescent="0.2">
      <c r="B17" s="188"/>
      <c r="C17" s="71" t="s">
        <v>27</v>
      </c>
      <c r="D17" s="236">
        <v>4886276</v>
      </c>
      <c r="E17" s="237"/>
      <c r="F17" s="238">
        <v>6447886</v>
      </c>
      <c r="G17" s="239"/>
    </row>
    <row r="18" spans="2:11" x14ac:dyDescent="0.2">
      <c r="B18" s="188"/>
      <c r="C18" s="71" t="s">
        <v>28</v>
      </c>
      <c r="D18" s="236">
        <v>6289094</v>
      </c>
      <c r="E18" s="237">
        <v>12383174</v>
      </c>
      <c r="F18" s="238">
        <v>6519967</v>
      </c>
      <c r="G18" s="239"/>
    </row>
    <row r="19" spans="2:11" x14ac:dyDescent="0.2">
      <c r="B19" s="188"/>
      <c r="C19" s="71" t="s">
        <v>29</v>
      </c>
      <c r="D19" s="236">
        <v>2963037</v>
      </c>
      <c r="E19" s="237">
        <v>4815619.8099999996</v>
      </c>
      <c r="F19" s="238">
        <v>3563007</v>
      </c>
      <c r="G19" s="239"/>
      <c r="J19" s="248"/>
    </row>
    <row r="20" spans="2:11" x14ac:dyDescent="0.2">
      <c r="B20" s="188"/>
      <c r="C20" s="98" t="s">
        <v>30</v>
      </c>
      <c r="D20" s="240">
        <v>1583752</v>
      </c>
      <c r="E20" s="241"/>
      <c r="F20" s="242">
        <v>1915181</v>
      </c>
      <c r="G20" s="243"/>
      <c r="H20" s="302"/>
      <c r="J20" s="248"/>
    </row>
    <row r="21" spans="2:11" x14ac:dyDescent="0.2">
      <c r="B21" s="188"/>
      <c r="C21" s="244" t="s">
        <v>123</v>
      </c>
      <c r="D21" s="245">
        <f>SUM(D17:D20)</f>
        <v>15722159</v>
      </c>
      <c r="E21" s="246">
        <f>SUM(E17:E20)</f>
        <v>17198793.809999999</v>
      </c>
      <c r="F21" s="246">
        <f>SUM(F17:F20)</f>
        <v>18446041</v>
      </c>
      <c r="G21" s="247">
        <f>+F21-D21</f>
        <v>2723882</v>
      </c>
      <c r="H21" s="303">
        <f>+G21/D21</f>
        <v>0.17325114190741869</v>
      </c>
      <c r="J21" s="248"/>
      <c r="K21" s="317"/>
    </row>
    <row r="22" spans="2:11" x14ac:dyDescent="0.2">
      <c r="B22" s="249" t="s">
        <v>118</v>
      </c>
      <c r="C22" s="71"/>
      <c r="D22" s="236"/>
      <c r="E22" s="237"/>
      <c r="F22" s="238"/>
      <c r="G22" s="239"/>
      <c r="H22" s="304"/>
      <c r="J22" s="248"/>
    </row>
    <row r="23" spans="2:11" x14ac:dyDescent="0.2">
      <c r="B23" s="249"/>
      <c r="C23" s="71" t="s">
        <v>121</v>
      </c>
      <c r="D23" s="236">
        <v>1693440</v>
      </c>
      <c r="E23" s="237">
        <v>1568000</v>
      </c>
      <c r="F23" s="238">
        <f>+E23</f>
        <v>1568000</v>
      </c>
      <c r="G23" s="239"/>
      <c r="J23" s="248"/>
      <c r="K23" s="362" t="s">
        <v>163</v>
      </c>
    </row>
    <row r="24" spans="2:11" x14ac:dyDescent="0.2">
      <c r="B24" s="249"/>
      <c r="C24" s="87" t="s">
        <v>122</v>
      </c>
      <c r="D24" s="236">
        <v>390000</v>
      </c>
      <c r="E24" s="357">
        <v>360000</v>
      </c>
      <c r="F24" s="238">
        <f>+E24</f>
        <v>360000</v>
      </c>
      <c r="G24" s="92"/>
      <c r="H24" s="304"/>
      <c r="J24" s="248"/>
      <c r="K24" s="317">
        <f>+F23+F24+F21+F15</f>
        <v>101147199</v>
      </c>
    </row>
    <row r="25" spans="2:11" x14ac:dyDescent="0.2">
      <c r="B25" s="249"/>
      <c r="C25" s="87" t="s">
        <v>49</v>
      </c>
      <c r="D25" s="236"/>
      <c r="E25" s="357">
        <v>29960</v>
      </c>
      <c r="F25" s="238">
        <f>+E25</f>
        <v>29960</v>
      </c>
      <c r="G25" s="92"/>
      <c r="H25" s="304"/>
      <c r="J25" s="248"/>
      <c r="K25" s="317"/>
    </row>
    <row r="26" spans="2:11" x14ac:dyDescent="0.2">
      <c r="B26" s="249"/>
      <c r="C26" s="98" t="s">
        <v>157</v>
      </c>
      <c r="D26" s="240"/>
      <c r="E26" s="359">
        <v>-12250</v>
      </c>
      <c r="F26" s="242">
        <f>+E26</f>
        <v>-12250</v>
      </c>
      <c r="G26" s="358"/>
      <c r="H26" s="302"/>
      <c r="J26" s="248"/>
      <c r="K26" s="317"/>
    </row>
    <row r="27" spans="2:11" x14ac:dyDescent="0.2">
      <c r="B27" s="249"/>
      <c r="C27" s="244" t="s">
        <v>123</v>
      </c>
      <c r="D27" s="245">
        <f>SUM(D23:D26)</f>
        <v>2083440</v>
      </c>
      <c r="E27" s="245">
        <f>SUM(E23:E26)</f>
        <v>1945710</v>
      </c>
      <c r="F27" s="245">
        <f>SUM(F23:F26)</f>
        <v>1945710</v>
      </c>
      <c r="G27" s="247">
        <f>+F27-D27</f>
        <v>-137730</v>
      </c>
      <c r="H27" s="303">
        <f>+G27/D27</f>
        <v>-6.6107015320815574E-2</v>
      </c>
      <c r="J27" s="248"/>
      <c r="K27" s="317"/>
    </row>
    <row r="28" spans="2:11" x14ac:dyDescent="0.2">
      <c r="B28" s="249" t="s">
        <v>119</v>
      </c>
      <c r="C28" s="71"/>
      <c r="D28" s="236"/>
      <c r="E28" s="237"/>
      <c r="F28" s="238"/>
      <c r="G28" s="239"/>
      <c r="J28" s="248"/>
    </row>
    <row r="29" spans="2:11" x14ac:dyDescent="0.2">
      <c r="B29" s="249"/>
      <c r="C29" s="87" t="s">
        <v>84</v>
      </c>
      <c r="D29" s="236">
        <v>9428682</v>
      </c>
      <c r="E29" s="237">
        <v>11298258.57</v>
      </c>
      <c r="F29" s="250">
        <v>9428682</v>
      </c>
      <c r="G29" s="239"/>
      <c r="J29" s="248"/>
    </row>
    <row r="30" spans="2:11" x14ac:dyDescent="0.2">
      <c r="B30" s="249"/>
      <c r="C30" s="98" t="s">
        <v>125</v>
      </c>
      <c r="D30" s="240"/>
      <c r="E30" s="241">
        <v>-2878436.06</v>
      </c>
      <c r="F30" s="242"/>
      <c r="G30" s="243"/>
      <c r="H30" s="302"/>
      <c r="J30" s="248"/>
    </row>
    <row r="31" spans="2:11" x14ac:dyDescent="0.2">
      <c r="B31" s="249"/>
      <c r="C31" s="244" t="s">
        <v>124</v>
      </c>
      <c r="D31" s="245">
        <f>SUM(D29:D30)</f>
        <v>9428682</v>
      </c>
      <c r="E31" s="245">
        <f>SUM(E29:E30)</f>
        <v>8419822.5099999998</v>
      </c>
      <c r="F31" s="245">
        <f>SUM(F29:F30)</f>
        <v>9428682</v>
      </c>
      <c r="G31" s="247">
        <f>+F31-D31</f>
        <v>0</v>
      </c>
      <c r="H31" s="303">
        <f>+G31/D31</f>
        <v>0</v>
      </c>
      <c r="J31" s="248"/>
      <c r="K31" s="317"/>
    </row>
    <row r="32" spans="2:11" x14ac:dyDescent="0.2">
      <c r="B32" s="188" t="s">
        <v>38</v>
      </c>
      <c r="C32" s="251"/>
      <c r="D32" s="252"/>
      <c r="E32" s="253"/>
      <c r="F32" s="254"/>
      <c r="G32" s="255"/>
      <c r="J32" s="248"/>
    </row>
    <row r="33" spans="1:10" x14ac:dyDescent="0.2">
      <c r="B33" s="188"/>
      <c r="C33" s="87" t="s">
        <v>49</v>
      </c>
      <c r="D33" s="236">
        <v>631612</v>
      </c>
      <c r="E33" s="237">
        <f>408661</f>
        <v>408661</v>
      </c>
      <c r="F33" s="250">
        <v>450000</v>
      </c>
      <c r="G33" s="239"/>
      <c r="J33" s="248"/>
    </row>
    <row r="34" spans="1:10" x14ac:dyDescent="0.2">
      <c r="B34" s="188"/>
      <c r="C34" s="87" t="s">
        <v>65</v>
      </c>
      <c r="D34" s="236">
        <v>1000000</v>
      </c>
      <c r="E34" s="237"/>
      <c r="F34" s="250"/>
      <c r="G34" s="239"/>
      <c r="J34" s="248"/>
    </row>
    <row r="35" spans="1:10" x14ac:dyDescent="0.2">
      <c r="B35" s="188"/>
      <c r="C35" s="87" t="s">
        <v>2</v>
      </c>
      <c r="D35" s="236">
        <v>590548</v>
      </c>
      <c r="E35" s="237">
        <v>293195</v>
      </c>
      <c r="F35" s="250">
        <v>350000</v>
      </c>
      <c r="G35" s="239"/>
      <c r="J35" s="248"/>
    </row>
    <row r="36" spans="1:10" x14ac:dyDescent="0.2">
      <c r="C36" s="87" t="s">
        <v>35</v>
      </c>
      <c r="D36" s="236">
        <v>39212</v>
      </c>
      <c r="E36" s="237">
        <v>16067.5</v>
      </c>
      <c r="F36" s="250">
        <v>40000</v>
      </c>
      <c r="G36" s="239"/>
      <c r="J36" s="248"/>
    </row>
    <row r="37" spans="1:10" x14ac:dyDescent="0.2">
      <c r="C37" s="87" t="s">
        <v>37</v>
      </c>
      <c r="D37" s="236">
        <v>-19544</v>
      </c>
      <c r="E37" s="237">
        <f>689931-16067.5</f>
        <v>673863.5</v>
      </c>
      <c r="F37" s="250">
        <v>700000</v>
      </c>
      <c r="G37" s="239"/>
      <c r="J37" s="248"/>
    </row>
    <row r="38" spans="1:10" x14ac:dyDescent="0.2">
      <c r="C38" s="87" t="s">
        <v>126</v>
      </c>
      <c r="D38" s="236">
        <v>-2295328</v>
      </c>
      <c r="E38" s="237"/>
      <c r="F38" s="250"/>
      <c r="G38" s="239"/>
    </row>
    <row r="39" spans="1:10" x14ac:dyDescent="0.2">
      <c r="C39" s="87" t="s">
        <v>34</v>
      </c>
      <c r="D39" s="236"/>
      <c r="E39" s="237">
        <v>3451</v>
      </c>
      <c r="F39" s="250"/>
      <c r="G39" s="239"/>
    </row>
    <row r="40" spans="1:10" x14ac:dyDescent="0.2">
      <c r="C40" s="87" t="s">
        <v>36</v>
      </c>
      <c r="D40" s="236">
        <v>29558</v>
      </c>
      <c r="E40" s="237">
        <v>29558</v>
      </c>
      <c r="F40" s="250">
        <v>29558</v>
      </c>
      <c r="G40" s="243"/>
      <c r="H40" s="302"/>
    </row>
    <row r="41" spans="1:10" x14ac:dyDescent="0.2">
      <c r="C41" s="256" t="s">
        <v>39</v>
      </c>
      <c r="D41" s="257">
        <f>SUM(D33:D40)</f>
        <v>-23942</v>
      </c>
      <c r="E41" s="258">
        <f>SUM(E33:E40)</f>
        <v>1424796</v>
      </c>
      <c r="F41" s="258">
        <f>SUM(F33:F40)</f>
        <v>1569558</v>
      </c>
      <c r="G41" s="247">
        <f>+F41-D41</f>
        <v>1593500</v>
      </c>
      <c r="H41" s="297">
        <f>+G41/D41</f>
        <v>-66.556678640046783</v>
      </c>
    </row>
    <row r="42" spans="1:10" x14ac:dyDescent="0.2">
      <c r="B42" s="319" t="s">
        <v>47</v>
      </c>
      <c r="C42" s="320"/>
      <c r="D42" s="321">
        <f>+D41+D31+D27+D21+D15</f>
        <v>102202036</v>
      </c>
      <c r="E42" s="321">
        <f>+E41+E31+E27+E21+E15</f>
        <v>101063790.86000001</v>
      </c>
      <c r="F42" s="321">
        <f>+F41+F31+F27+F21+F15</f>
        <v>112163149</v>
      </c>
      <c r="G42" s="321">
        <f>+G41+G31+G27+G21+G15</f>
        <v>9961113</v>
      </c>
      <c r="H42" s="322">
        <f>+H41+H31+H27+H21+H15</f>
        <v>-66.372439831898305</v>
      </c>
    </row>
    <row r="43" spans="1:10" x14ac:dyDescent="0.2">
      <c r="A43" s="188" t="s">
        <v>129</v>
      </c>
      <c r="C43" s="259"/>
      <c r="D43" s="260"/>
      <c r="E43" s="277"/>
      <c r="F43" s="238"/>
      <c r="G43" s="239"/>
    </row>
    <row r="44" spans="1:10" x14ac:dyDescent="0.2">
      <c r="B44" s="188"/>
      <c r="C44" s="71" t="s">
        <v>17</v>
      </c>
      <c r="D44" s="236">
        <v>-5333794</v>
      </c>
      <c r="E44" s="237">
        <f>+D44</f>
        <v>-5333794</v>
      </c>
      <c r="F44" s="250">
        <f>+E44</f>
        <v>-5333794</v>
      </c>
      <c r="G44" s="239">
        <f>+F44-D44</f>
        <v>0</v>
      </c>
    </row>
    <row r="45" spans="1:10" x14ac:dyDescent="0.2">
      <c r="B45" s="282"/>
      <c r="C45" s="271" t="s">
        <v>87</v>
      </c>
      <c r="D45" s="240"/>
      <c r="E45" s="241">
        <v>-1730461</v>
      </c>
      <c r="F45" s="261">
        <v>-1900000</v>
      </c>
      <c r="G45" s="243">
        <f>+F45-D45</f>
        <v>-1900000</v>
      </c>
      <c r="H45" s="302"/>
    </row>
    <row r="46" spans="1:10" x14ac:dyDescent="0.2">
      <c r="B46" s="323" t="s">
        <v>33</v>
      </c>
      <c r="C46" s="323"/>
      <c r="D46" s="324">
        <f>SUM(D44:D45)</f>
        <v>-5333794</v>
      </c>
      <c r="E46" s="325">
        <f>SUM(E44:E45)</f>
        <v>-7064255</v>
      </c>
      <c r="F46" s="325">
        <f>SUM(F44:F45)</f>
        <v>-7233794</v>
      </c>
      <c r="G46" s="326">
        <f>SUM(G44:G45)</f>
        <v>-1900000</v>
      </c>
      <c r="H46" s="327">
        <f>-G46/D46</f>
        <v>-0.3562192315638737</v>
      </c>
    </row>
    <row r="47" spans="1:10" ht="12.75" thickBot="1" x14ac:dyDescent="0.25">
      <c r="A47" s="328" t="s">
        <v>130</v>
      </c>
      <c r="B47" s="328"/>
      <c r="C47" s="328"/>
      <c r="D47" s="329">
        <f>+D46+D42-2</f>
        <v>96868240</v>
      </c>
      <c r="E47" s="329">
        <f>+E46+E42</f>
        <v>93999535.860000014</v>
      </c>
      <c r="F47" s="330">
        <f>+F46+F42</f>
        <v>104929355</v>
      </c>
      <c r="G47" s="331">
        <f>+G46+G42</f>
        <v>8061113</v>
      </c>
      <c r="H47" s="332">
        <f>+G47/D47</f>
        <v>8.321729598886074E-2</v>
      </c>
    </row>
    <row r="48" spans="1:10" ht="12.75" thickTop="1" x14ac:dyDescent="0.2">
      <c r="A48" s="85"/>
      <c r="B48" s="85" t="s">
        <v>155</v>
      </c>
      <c r="C48" s="85"/>
      <c r="D48" s="85"/>
      <c r="E48" s="285">
        <f>+E47/F47</f>
        <v>0.89583640212026472</v>
      </c>
      <c r="F48" s="176"/>
      <c r="G48" s="85"/>
      <c r="H48" s="284"/>
    </row>
    <row r="49" spans="1:9" x14ac:dyDescent="0.2">
      <c r="A49" s="287"/>
      <c r="B49" s="287"/>
      <c r="C49" s="287"/>
      <c r="D49" s="337" t="s">
        <v>3</v>
      </c>
      <c r="E49" s="338"/>
      <c r="F49" s="339"/>
      <c r="G49" s="85"/>
    </row>
    <row r="50" spans="1:9" x14ac:dyDescent="0.2">
      <c r="A50" s="287"/>
      <c r="B50" s="287"/>
      <c r="C50" s="287"/>
      <c r="D50" s="340"/>
      <c r="E50" s="289"/>
      <c r="F50" s="341"/>
      <c r="G50" s="311"/>
    </row>
    <row r="51" spans="1:9" x14ac:dyDescent="0.2">
      <c r="A51" s="291"/>
      <c r="B51" s="291"/>
      <c r="C51" s="291"/>
      <c r="D51" s="340" t="s">
        <v>139</v>
      </c>
      <c r="E51" s="353"/>
      <c r="F51" s="342">
        <f>+D47</f>
        <v>96868240</v>
      </c>
      <c r="G51" s="85"/>
      <c r="I51" s="70"/>
    </row>
    <row r="52" spans="1:9" x14ac:dyDescent="0.2">
      <c r="A52" s="291"/>
      <c r="B52" s="291"/>
      <c r="C52" s="291"/>
      <c r="D52" s="343" t="s">
        <v>151</v>
      </c>
      <c r="E52" s="354"/>
      <c r="F52" s="344">
        <v>7869824</v>
      </c>
      <c r="G52" s="85"/>
      <c r="I52" s="70"/>
    </row>
    <row r="53" spans="1:9" x14ac:dyDescent="0.2">
      <c r="A53" s="291"/>
      <c r="B53" s="291"/>
      <c r="C53" s="291"/>
      <c r="D53" s="345" t="s">
        <v>152</v>
      </c>
      <c r="E53" s="334"/>
      <c r="F53" s="342">
        <f>+F52+F51</f>
        <v>104738064</v>
      </c>
      <c r="G53" s="304"/>
      <c r="H53" s="304"/>
      <c r="I53" s="70"/>
    </row>
    <row r="54" spans="1:9" x14ac:dyDescent="0.2">
      <c r="A54" s="291"/>
      <c r="B54" s="291"/>
      <c r="C54" s="291"/>
      <c r="D54" s="346"/>
      <c r="E54" s="334" t="s">
        <v>148</v>
      </c>
      <c r="F54" s="347">
        <f>+F47</f>
        <v>104929355</v>
      </c>
      <c r="G54" s="304"/>
      <c r="H54" s="304"/>
      <c r="I54" s="70"/>
    </row>
    <row r="55" spans="1:9" x14ac:dyDescent="0.2">
      <c r="A55" s="291"/>
      <c r="B55" s="291"/>
      <c r="C55" s="291"/>
      <c r="D55" s="346"/>
      <c r="E55" s="318" t="s">
        <v>143</v>
      </c>
      <c r="F55" s="344">
        <f>-F31*0.3</f>
        <v>-2828604.6</v>
      </c>
      <c r="G55" s="304"/>
      <c r="H55" s="304"/>
      <c r="I55" s="70"/>
    </row>
    <row r="56" spans="1:9" x14ac:dyDescent="0.2">
      <c r="A56" s="289"/>
      <c r="B56" s="289"/>
      <c r="C56" s="289"/>
      <c r="D56" s="348"/>
      <c r="E56" s="334" t="s">
        <v>149</v>
      </c>
      <c r="F56" s="347">
        <f>+F55+F54</f>
        <v>102100750.40000001</v>
      </c>
      <c r="G56" s="284"/>
      <c r="H56" s="284"/>
      <c r="I56" s="70"/>
    </row>
    <row r="57" spans="1:9" x14ac:dyDescent="0.2">
      <c r="A57" s="335"/>
      <c r="B57" s="335"/>
      <c r="C57" s="335"/>
      <c r="D57" s="343"/>
      <c r="E57" s="336" t="s">
        <v>144</v>
      </c>
      <c r="F57" s="349">
        <f>+F56-F53</f>
        <v>-2637313.599999994</v>
      </c>
      <c r="G57" s="302"/>
      <c r="H57" s="302"/>
      <c r="I57" s="70"/>
    </row>
    <row r="58" spans="1:9" x14ac:dyDescent="0.2">
      <c r="A58" s="361" t="s">
        <v>161</v>
      </c>
      <c r="B58" s="360"/>
      <c r="C58" s="360"/>
      <c r="D58" s="353"/>
      <c r="E58" s="315"/>
      <c r="F58" s="304"/>
      <c r="G58" s="304"/>
      <c r="H58" s="304"/>
      <c r="I58" s="70"/>
    </row>
    <row r="59" spans="1:9" x14ac:dyDescent="0.2">
      <c r="A59" s="361"/>
      <c r="B59" s="360" t="s">
        <v>162</v>
      </c>
      <c r="C59" s="360"/>
      <c r="D59" s="356"/>
      <c r="E59" s="315"/>
      <c r="F59" s="304"/>
      <c r="G59" s="304"/>
      <c r="H59" s="304"/>
      <c r="I59" s="70"/>
    </row>
    <row r="60" spans="1:9" x14ac:dyDescent="0.2">
      <c r="A60" s="333" t="s">
        <v>158</v>
      </c>
      <c r="C60" s="71"/>
      <c r="D60" s="267"/>
      <c r="E60" s="248"/>
      <c r="G60" s="299"/>
      <c r="I60" s="70"/>
    </row>
    <row r="61" spans="1:9" x14ac:dyDescent="0.2">
      <c r="E61" s="248"/>
      <c r="G61" s="299"/>
      <c r="I61" s="70"/>
    </row>
    <row r="62" spans="1:9" x14ac:dyDescent="0.2">
      <c r="E62" s="248"/>
      <c r="G62" s="299"/>
      <c r="I62" s="70"/>
    </row>
    <row r="63" spans="1:9" x14ac:dyDescent="0.2">
      <c r="E63" s="248"/>
      <c r="G63" s="299"/>
      <c r="I63" s="70"/>
    </row>
    <row r="64" spans="1:9" x14ac:dyDescent="0.2">
      <c r="E64" s="248"/>
      <c r="G64" s="299"/>
      <c r="I64" s="70"/>
    </row>
    <row r="65" spans="5:9" x14ac:dyDescent="0.2">
      <c r="E65" s="248"/>
      <c r="I65" s="70"/>
    </row>
    <row r="66" spans="5:9" x14ac:dyDescent="0.2">
      <c r="E66" s="248"/>
      <c r="I66" s="70"/>
    </row>
    <row r="67" spans="5:9" x14ac:dyDescent="0.2">
      <c r="E67" s="248"/>
      <c r="I67" s="70"/>
    </row>
    <row r="68" spans="5:9" x14ac:dyDescent="0.2">
      <c r="E68" s="248"/>
      <c r="I68" s="70"/>
    </row>
    <row r="69" spans="5:9" x14ac:dyDescent="0.2">
      <c r="E69" s="248"/>
      <c r="H69" s="70"/>
      <c r="I69" s="70"/>
    </row>
    <row r="70" spans="5:9" x14ac:dyDescent="0.2">
      <c r="E70" s="248"/>
      <c r="H70" s="70"/>
      <c r="I70" s="70"/>
    </row>
    <row r="71" spans="5:9" x14ac:dyDescent="0.2">
      <c r="E71" s="248"/>
      <c r="H71" s="70"/>
      <c r="I71" s="70"/>
    </row>
    <row r="72" spans="5:9" x14ac:dyDescent="0.2">
      <c r="E72" s="248"/>
      <c r="H72" s="70"/>
      <c r="I72" s="70"/>
    </row>
  </sheetData>
  <mergeCells count="5">
    <mergeCell ref="C1:G1"/>
    <mergeCell ref="C2:G2"/>
    <mergeCell ref="C3:G3"/>
    <mergeCell ref="G6:H6"/>
    <mergeCell ref="G7:H7"/>
  </mergeCells>
  <pageMargins left="0.7" right="0.7" top="0.75" bottom="0.75" header="0.3" footer="0.3"/>
  <pageSetup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08-09_Final</vt:lpstr>
      <vt:lpstr>09-10_Final</vt:lpstr>
      <vt:lpstr>10-11_Final</vt:lpstr>
      <vt:lpstr>9-8-11</vt:lpstr>
      <vt:lpstr>10-13-11</vt:lpstr>
      <vt:lpstr>11-17-11</vt:lpstr>
      <vt:lpstr>1-18-12</vt:lpstr>
      <vt:lpstr>'08-09_Final'!Print_Area</vt:lpstr>
      <vt:lpstr>'10-11_Final'!Print_Area</vt:lpstr>
      <vt:lpstr>'11-17-11'!Print_Area</vt:lpstr>
      <vt:lpstr>'1-18-12'!Print_Area</vt:lpstr>
    </vt:vector>
  </TitlesOfParts>
  <Company>Florida Atlantic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</dc:creator>
  <cp:lastModifiedBy>Jie Shi</cp:lastModifiedBy>
  <cp:lastPrinted>2012-01-19T14:03:11Z</cp:lastPrinted>
  <dcterms:created xsi:type="dcterms:W3CDTF">2006-07-07T18:11:29Z</dcterms:created>
  <dcterms:modified xsi:type="dcterms:W3CDTF">2012-01-31T21:10:24Z</dcterms:modified>
</cp:coreProperties>
</file>