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o\Desktop\"/>
    </mc:Choice>
  </mc:AlternateContent>
  <bookViews>
    <workbookView showSheetTabs="0" xWindow="0" yWindow="0" windowWidth="20490" windowHeight="7905" tabRatio="756"/>
  </bookViews>
  <sheets>
    <sheet name="INDICE" sheetId="10" r:id="rId1"/>
    <sheet name="p_mu c_vza conocida" sheetId="1" r:id="rId2"/>
    <sheet name="p_mu c_vza desconocida" sheetId="5" r:id="rId3"/>
    <sheet name="p_una proporción" sheetId="6" r:id="rId4"/>
    <sheet name="dif apareadas" sheetId="7" r:id="rId5"/>
    <sheet name="dif medias c_vzas conocidas" sheetId="2" r:id="rId6"/>
    <sheet name="dif medias c_vzas desconocidas" sheetId="8" r:id="rId7"/>
    <sheet name="dif proporciones" sheetId="4" r:id="rId8"/>
    <sheet name="bondad de ajuste" sheetId="9" r:id="rId9"/>
    <sheet name="tabla de 2 x 2" sheetId="11" r:id="rId10"/>
    <sheet name="rho" sheetId="12" r:id="rId11"/>
    <sheet name="normalidad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3" l="1"/>
  <c r="G5" i="8" l="1"/>
  <c r="G4" i="8"/>
  <c r="F6" i="2"/>
  <c r="F5" i="2"/>
  <c r="F4" i="5"/>
  <c r="C7" i="6" l="1"/>
  <c r="H6" i="4" l="1"/>
  <c r="C8" i="6" l="1"/>
  <c r="H4" i="4"/>
  <c r="H3" i="4"/>
  <c r="H5" i="4" l="1"/>
  <c r="C9" i="6"/>
  <c r="F6" i="6" s="1"/>
  <c r="H4" i="6" s="1"/>
  <c r="I4" i="6" s="1"/>
  <c r="H9" i="4"/>
  <c r="H7" i="4"/>
  <c r="H8" i="4" s="1"/>
  <c r="H10" i="4" l="1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8" i="8" l="1"/>
  <c r="E9" i="8"/>
  <c r="I18" i="12" l="1"/>
  <c r="I20" i="12" s="1"/>
  <c r="I17" i="12"/>
  <c r="C20" i="12"/>
  <c r="C18" i="12"/>
  <c r="C17" i="12"/>
  <c r="I10" i="12"/>
  <c r="I9" i="12"/>
  <c r="C9" i="12"/>
  <c r="C7" i="12"/>
  <c r="F7" i="12" l="1"/>
  <c r="I7" i="12" s="1"/>
  <c r="I12" i="12"/>
  <c r="F17" i="12"/>
  <c r="F15" i="12" s="1"/>
  <c r="J6" i="4" l="1"/>
  <c r="L4" i="4" l="1"/>
  <c r="M4" i="4" s="1"/>
  <c r="C8" i="5"/>
  <c r="C8" i="1"/>
  <c r="F6" i="1" s="1"/>
  <c r="H3" i="2" l="1"/>
  <c r="C7" i="7"/>
  <c r="F6" i="5"/>
  <c r="J4" i="8" l="1"/>
  <c r="F6" i="7"/>
  <c r="K9" i="13"/>
  <c r="K11" i="13" s="1"/>
  <c r="F7" i="13"/>
  <c r="F13" i="13" s="1"/>
  <c r="F18" i="13" l="1"/>
  <c r="F12" i="13"/>
  <c r="F15" i="13" s="1"/>
  <c r="F17" i="13"/>
  <c r="F22" i="7"/>
  <c r="C21" i="7"/>
  <c r="F21" i="7"/>
  <c r="C19" i="7"/>
  <c r="F19" i="7"/>
  <c r="C22" i="7"/>
  <c r="M10" i="13"/>
  <c r="F20" i="13" l="1"/>
  <c r="F10" i="1"/>
  <c r="C10" i="1"/>
  <c r="C9" i="8"/>
  <c r="C19" i="1" l="1"/>
  <c r="C22" i="1"/>
  <c r="F22" i="1" s="1"/>
  <c r="C21" i="1"/>
  <c r="E7" i="11"/>
  <c r="E6" i="11"/>
  <c r="F21" i="1" l="1"/>
  <c r="F19" i="1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6" i="9"/>
  <c r="F4" i="7" l="1"/>
  <c r="C16" i="8"/>
  <c r="F10" i="7" l="1"/>
  <c r="C10" i="7"/>
  <c r="I4" i="7"/>
  <c r="H4" i="7"/>
  <c r="H17" i="7" l="1"/>
  <c r="H11" i="7"/>
  <c r="H10" i="7"/>
  <c r="H8" i="7"/>
  <c r="H19" i="7"/>
  <c r="I17" i="7"/>
  <c r="I11" i="7"/>
  <c r="I8" i="7"/>
  <c r="I19" i="7"/>
  <c r="I10" i="7"/>
  <c r="J4" i="5"/>
  <c r="J8" i="5" s="1"/>
  <c r="C10" i="5"/>
  <c r="F10" i="5"/>
  <c r="I4" i="5"/>
  <c r="I8" i="5" s="1"/>
  <c r="H13" i="7" l="1"/>
  <c r="I13" i="7"/>
  <c r="C21" i="5"/>
  <c r="C19" i="5"/>
  <c r="C22" i="5"/>
  <c r="J10" i="5"/>
  <c r="J11" i="5"/>
  <c r="I10" i="5"/>
  <c r="I11" i="5"/>
  <c r="I15" i="5"/>
  <c r="J13" i="5" l="1"/>
  <c r="I13" i="5"/>
  <c r="F22" i="5"/>
  <c r="F19" i="5" l="1"/>
  <c r="I19" i="5" s="1"/>
  <c r="I17" i="5" s="1"/>
  <c r="F21" i="5"/>
  <c r="J19" i="5" s="1"/>
  <c r="J17" i="5" s="1"/>
  <c r="G25" i="13" l="1"/>
  <c r="G26" i="13" s="1"/>
  <c r="G27" i="13" s="1"/>
  <c r="G23" i="13"/>
  <c r="G24" i="13" s="1"/>
  <c r="C24" i="13"/>
  <c r="C25" i="13" s="1"/>
  <c r="C26" i="13" s="1"/>
  <c r="C27" i="13" s="1"/>
  <c r="C22" i="13"/>
  <c r="G28" i="13" l="1"/>
  <c r="I7" i="13" s="1"/>
  <c r="C23" i="13"/>
  <c r="C28" i="13" s="1"/>
  <c r="I5" i="13" s="1"/>
  <c r="K5" i="13" l="1"/>
  <c r="K7" i="13" s="1"/>
  <c r="M6" i="13" s="1"/>
  <c r="L6" i="8"/>
  <c r="I15" i="12" l="1"/>
  <c r="L4" i="8" l="1"/>
  <c r="E16" i="8" l="1"/>
  <c r="G19" i="8" s="1"/>
  <c r="E8" i="8"/>
  <c r="G8" i="8" s="1"/>
  <c r="C17" i="8"/>
  <c r="G11" i="8" l="1"/>
  <c r="E11" i="8" s="1"/>
  <c r="K17" i="8"/>
  <c r="J17" i="8"/>
  <c r="N5" i="8"/>
  <c r="E19" i="8"/>
  <c r="C19" i="8"/>
  <c r="H6" i="2"/>
  <c r="H5" i="2"/>
  <c r="N15" i="8" l="1"/>
  <c r="N7" i="8"/>
  <c r="K9" i="8"/>
  <c r="J9" i="8"/>
  <c r="J11" i="8" s="1"/>
  <c r="C11" i="8"/>
  <c r="K14" i="8" s="1"/>
  <c r="G22" i="8"/>
  <c r="H8" i="2"/>
  <c r="J6" i="2" s="1"/>
  <c r="C10" i="2" s="1"/>
  <c r="J22" i="8"/>
  <c r="J21" i="8"/>
  <c r="K22" i="8"/>
  <c r="K21" i="8"/>
  <c r="J14" i="8"/>
  <c r="J13" i="8"/>
  <c r="J19" i="8"/>
  <c r="K19" i="8"/>
  <c r="D8" i="11"/>
  <c r="C8" i="11"/>
  <c r="K13" i="8" l="1"/>
  <c r="N14" i="8" s="1"/>
  <c r="L4" i="2"/>
  <c r="M4" i="2" s="1"/>
  <c r="F10" i="2"/>
  <c r="M14" i="8"/>
  <c r="N22" i="8"/>
  <c r="M22" i="8"/>
  <c r="K11" i="8"/>
  <c r="E8" i="11"/>
  <c r="D14" i="11" l="1"/>
  <c r="C13" i="11"/>
  <c r="C14" i="11"/>
  <c r="D13" i="11"/>
  <c r="C22" i="6"/>
  <c r="C21" i="6"/>
  <c r="C19" i="6"/>
  <c r="L15" i="2"/>
  <c r="C11" i="6"/>
  <c r="F11" i="6"/>
  <c r="G14" i="8"/>
  <c r="H15" i="7"/>
  <c r="B19" i="11"/>
  <c r="C19" i="11"/>
  <c r="C19" i="9"/>
  <c r="B19" i="9"/>
  <c r="C15" i="11" l="1"/>
  <c r="E13" i="11"/>
  <c r="D15" i="11"/>
  <c r="E14" i="11"/>
  <c r="D19" i="9"/>
  <c r="M11" i="2"/>
  <c r="M10" i="2"/>
  <c r="L10" i="2"/>
  <c r="L8" i="2"/>
  <c r="L11" i="2"/>
  <c r="I7" i="9"/>
  <c r="M18" i="11"/>
  <c r="J18" i="11"/>
  <c r="G18" i="11"/>
  <c r="H16" i="11"/>
  <c r="J16" i="11" s="1"/>
  <c r="N16" i="11" s="1"/>
  <c r="H14" i="11"/>
  <c r="J14" i="11" s="1"/>
  <c r="N14" i="11" s="1"/>
  <c r="H8" i="11"/>
  <c r="H10" i="11"/>
  <c r="H8" i="6"/>
  <c r="H10" i="6"/>
  <c r="F22" i="6"/>
  <c r="F21" i="6"/>
  <c r="H11" i="6"/>
  <c r="M8" i="2"/>
  <c r="I8" i="6"/>
  <c r="I11" i="9" l="1"/>
  <c r="I9" i="9"/>
  <c r="H7" i="9"/>
  <c r="H13" i="6"/>
  <c r="L13" i="2"/>
  <c r="M13" i="2"/>
  <c r="J10" i="11"/>
  <c r="N10" i="11" s="1"/>
  <c r="L6" i="11"/>
  <c r="J8" i="11"/>
  <c r="N8" i="11" s="1"/>
  <c r="H15" i="6"/>
  <c r="F19" i="6"/>
  <c r="H19" i="6"/>
  <c r="H17" i="6" s="1"/>
  <c r="I19" i="6"/>
  <c r="I17" i="6" s="1"/>
  <c r="I11" i="6"/>
  <c r="I10" i="6"/>
  <c r="E15" i="11"/>
  <c r="L12" i="11" s="1"/>
  <c r="I13" i="6" l="1"/>
  <c r="I4" i="1"/>
  <c r="I8" i="1" l="1"/>
  <c r="I19" i="1"/>
  <c r="I17" i="1" s="1"/>
  <c r="I10" i="1"/>
  <c r="I11" i="1"/>
  <c r="J4" i="1"/>
  <c r="J19" i="1" s="1"/>
  <c r="J17" i="1" s="1"/>
  <c r="I13" i="1" l="1"/>
  <c r="J8" i="1"/>
  <c r="I15" i="1"/>
  <c r="J10" i="1"/>
  <c r="J11" i="1"/>
  <c r="J13" i="1" l="1"/>
  <c r="L11" i="9"/>
  <c r="P11" i="9" s="1"/>
  <c r="L9" i="9"/>
  <c r="P9" i="9" s="1"/>
  <c r="L8" i="4" l="1"/>
  <c r="J11" i="4"/>
  <c r="L11" i="4" s="1"/>
  <c r="H11" i="4"/>
  <c r="M10" i="4" s="1"/>
  <c r="M11" i="4" l="1"/>
  <c r="M13" i="4" s="1"/>
  <c r="L10" i="4"/>
  <c r="L13" i="4" s="1"/>
  <c r="M8" i="4"/>
  <c r="L15" i="4" l="1"/>
</calcChain>
</file>

<file path=xl/sharedStrings.xml><?xml version="1.0" encoding="utf-8"?>
<sst xmlns="http://schemas.openxmlformats.org/spreadsheetml/2006/main" count="330" uniqueCount="118">
  <si>
    <t>EE general =</t>
  </si>
  <si>
    <t>n =</t>
  </si>
  <si>
    <t>gl =</t>
  </si>
  <si>
    <t>x =</t>
  </si>
  <si>
    <r>
      <rPr>
        <b/>
        <i/>
        <sz val="14"/>
        <color theme="1"/>
        <rFont val="Calibri"/>
        <family val="2"/>
        <scheme val="minor"/>
      </rPr>
      <t>p</t>
    </r>
    <r>
      <rPr>
        <b/>
        <sz val="14"/>
        <color theme="1"/>
        <rFont val="Calibri"/>
        <family val="2"/>
        <scheme val="minor"/>
      </rPr>
      <t xml:space="preserve">-valor = </t>
    </r>
  </si>
  <si>
    <r>
      <rPr>
        <b/>
        <i/>
        <sz val="14"/>
        <color theme="1"/>
        <rFont val="Calibri"/>
        <family val="2"/>
        <scheme val="minor"/>
      </rPr>
      <t>p</t>
    </r>
    <r>
      <rPr>
        <b/>
        <sz val="14"/>
        <color theme="1"/>
        <rFont val="Calibri"/>
        <family val="2"/>
        <scheme val="minor"/>
      </rPr>
      <t>-valor =</t>
    </r>
  </si>
  <si>
    <t>decisión:</t>
  </si>
  <si>
    <t xml:space="preserve"> =</t>
  </si>
  <si>
    <t>S =</t>
  </si>
  <si>
    <t>EE =</t>
  </si>
  <si>
    <t>S</t>
  </si>
  <si>
    <t>ÍNDICE</t>
  </si>
  <si>
    <r>
      <t>A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</si>
  <si>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</si>
  <si>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</si>
  <si>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2</t>
    </r>
  </si>
  <si>
    <t>=</t>
  </si>
  <si>
    <t>POBLACIÓN</t>
  </si>
  <si>
    <t>MUESTRA</t>
  </si>
  <si>
    <t>INFERENCIA</t>
  </si>
  <si>
    <t xml:space="preserve"> = </t>
  </si>
  <si>
    <t>frecuencias</t>
  </si>
  <si>
    <t>observadas</t>
  </si>
  <si>
    <t>esperadas</t>
  </si>
  <si>
    <t>frecuencias observadas</t>
  </si>
  <si>
    <t>frecuencias esperadas</t>
  </si>
  <si>
    <t>PENNA - COBOS - VÁZQUEZ FERRERO - ULAGNERO</t>
  </si>
  <si>
    <r>
      <rPr>
        <b/>
        <sz val="14"/>
        <rFont val="Calibri"/>
        <family val="2"/>
      </rPr>
      <t xml:space="preserve">          </t>
    </r>
    <r>
      <rPr>
        <b/>
        <sz val="14"/>
        <rFont val="Calibri"/>
        <family val="2"/>
        <scheme val="minor"/>
      </rPr>
      <t>=</t>
    </r>
  </si>
  <si>
    <r>
      <t xml:space="preserve"> </t>
    </r>
    <r>
      <rPr>
        <b/>
        <sz val="14"/>
        <rFont val="Calibri"/>
        <family val="2"/>
      </rPr>
      <t xml:space="preserve">          </t>
    </r>
    <r>
      <rPr>
        <b/>
        <sz val="14"/>
        <rFont val="Calibri"/>
        <family val="2"/>
        <scheme val="minor"/>
      </rPr>
      <t>=</t>
    </r>
  </si>
  <si>
    <r>
      <t xml:space="preserve">    </t>
    </r>
    <r>
      <rPr>
        <b/>
        <sz val="14"/>
        <color theme="1"/>
        <rFont val="Symbol"/>
        <family val="1"/>
        <charset val="2"/>
      </rPr>
      <t xml:space="preserve">        a/</t>
    </r>
    <r>
      <rPr>
        <b/>
        <sz val="12"/>
        <color theme="1"/>
        <rFont val="Symbol"/>
        <family val="1"/>
        <charset val="2"/>
      </rPr>
      <t>2</t>
    </r>
    <r>
      <rPr>
        <b/>
        <sz val="14"/>
        <color theme="1"/>
        <rFont val="Calibri"/>
        <family val="2"/>
        <scheme val="minor"/>
      </rPr>
      <t xml:space="preserve"> =</t>
    </r>
  </si>
  <si>
    <t>factor =</t>
  </si>
  <si>
    <r>
      <rPr>
        <b/>
        <sz val="14"/>
        <rFont val="Symbol"/>
        <family val="1"/>
        <charset val="2"/>
      </rPr>
      <t>b</t>
    </r>
    <r>
      <rPr>
        <b/>
        <sz val="14"/>
        <rFont val="Calibri"/>
        <family val="2"/>
        <scheme val="minor"/>
      </rPr>
      <t xml:space="preserve"> =</t>
    </r>
  </si>
  <si>
    <r>
      <rPr>
        <b/>
        <sz val="14"/>
        <color theme="1"/>
        <rFont val="Calibri"/>
        <family val="2"/>
      </rPr>
      <t xml:space="preserve"> </t>
    </r>
    <r>
      <rPr>
        <b/>
        <sz val="14"/>
        <color theme="1"/>
        <rFont val="Calibri"/>
        <family val="2"/>
        <scheme val="minor"/>
      </rPr>
      <t>=</t>
    </r>
  </si>
  <si>
    <r>
      <t xml:space="preserve"> = </t>
    </r>
    <r>
      <rPr>
        <b/>
        <sz val="14"/>
        <color theme="1"/>
        <rFont val="Symbol"/>
        <family val="1"/>
        <charset val="2"/>
      </rPr>
      <t>±</t>
    </r>
  </si>
  <si>
    <r>
      <rPr>
        <b/>
        <sz val="10"/>
        <color theme="1"/>
        <rFont val="Calibri"/>
        <family val="2"/>
      </rPr>
      <t xml:space="preserve"> </t>
    </r>
    <r>
      <rPr>
        <b/>
        <sz val="14"/>
        <color theme="1"/>
        <rFont val="Calibri"/>
        <family val="2"/>
        <scheme val="minor"/>
      </rPr>
      <t>=</t>
    </r>
  </si>
  <si>
    <t>de Cohen =</t>
  </si>
  <si>
    <t>amplitud intervalar =</t>
  </si>
  <si>
    <t>amplitud interv.</t>
  </si>
  <si>
    <r>
      <rPr>
        <b/>
        <sz val="14"/>
        <color theme="1"/>
        <rFont val="Symbol"/>
        <family val="1"/>
        <charset val="2"/>
      </rPr>
      <t>g</t>
    </r>
    <r>
      <rPr>
        <b/>
        <sz val="14"/>
        <color theme="1"/>
        <rFont val="Calibri"/>
        <family val="2"/>
      </rPr>
      <t xml:space="preserve"> de Goodman-Kruskal =</t>
    </r>
  </si>
  <si>
    <r>
      <t>S</t>
    </r>
    <r>
      <rPr>
        <b/>
        <sz val="14"/>
        <rFont val="Calibri"/>
        <family val="2"/>
      </rPr>
      <t>²</t>
    </r>
    <r>
      <rPr>
        <b/>
        <sz val="14"/>
        <rFont val="Calibri"/>
        <family val="2"/>
        <scheme val="minor"/>
      </rPr>
      <t xml:space="preserve"> =</t>
    </r>
  </si>
  <si>
    <t>a</t>
  </si>
  <si>
    <t>raiz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</si>
  <si>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</si>
  <si>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</si>
  <si>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</si>
  <si>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</si>
  <si>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</si>
  <si>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</si>
  <si>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</si>
  <si>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</si>
  <si>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</si>
  <si>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</si>
  <si>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</si>
  <si>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r>
      <rPr>
        <b/>
        <sz val="14"/>
        <color theme="1"/>
        <rFont val="Symbol"/>
        <family val="1"/>
        <charset val="2"/>
      </rPr>
      <t>t</t>
    </r>
    <r>
      <rPr>
        <b/>
        <sz val="14"/>
        <color theme="1"/>
        <rFont val="Calibri"/>
        <family val="2"/>
        <scheme val="minor"/>
      </rPr>
      <t xml:space="preserve"> de Kendall =</t>
    </r>
  </si>
  <si>
    <t>po</t>
  </si>
  <si>
    <t>pe</t>
  </si>
  <si>
    <r>
      <rPr>
        <b/>
        <sz val="14"/>
        <color theme="1"/>
        <rFont val="Symbol"/>
        <family val="1"/>
        <charset val="2"/>
      </rPr>
      <t xml:space="preserve"> k</t>
    </r>
    <r>
      <rPr>
        <b/>
        <sz val="14"/>
        <color theme="1"/>
        <rFont val="Calibri"/>
        <family val="2"/>
        <scheme val="minor"/>
      </rPr>
      <t xml:space="preserve"> de Cohen =</t>
    </r>
  </si>
  <si>
    <r>
      <t>g</t>
    </r>
    <r>
      <rPr>
        <b/>
        <sz val="14"/>
        <color theme="1"/>
        <rFont val="Calibri"/>
        <family val="2"/>
        <scheme val="minor"/>
      </rPr>
      <t xml:space="preserve"> de Hedges =</t>
    </r>
  </si>
  <si>
    <t>JB de Jarque-Bera =</t>
  </si>
  <si>
    <r>
      <t>K</t>
    </r>
    <r>
      <rPr>
        <b/>
        <sz val="14"/>
        <rFont val="Calibri"/>
        <family val="2"/>
      </rPr>
      <t>²</t>
    </r>
    <r>
      <rPr>
        <b/>
        <sz val="14"/>
        <rFont val="Calibri"/>
        <family val="2"/>
        <scheme val="minor"/>
      </rPr>
      <t xml:space="preserve"> de D'agostino-Pearson =</t>
    </r>
  </si>
  <si>
    <r>
      <rPr>
        <b/>
        <i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 xml:space="preserve"> de McNemar =</t>
    </r>
  </si>
  <si>
    <r>
      <t xml:space="preserve">coeficiente </t>
    </r>
    <r>
      <rPr>
        <b/>
        <sz val="14"/>
        <color theme="1"/>
        <rFont val="Symbol"/>
        <family val="1"/>
        <charset val="2"/>
      </rPr>
      <t>f</t>
    </r>
    <r>
      <rPr>
        <b/>
        <sz val="14"/>
        <color theme="1"/>
        <rFont val="Calibri"/>
        <family val="2"/>
        <scheme val="minor"/>
      </rPr>
      <t xml:space="preserve"> de Pearson = </t>
    </r>
  </si>
  <si>
    <t>PH unilateral</t>
  </si>
  <si>
    <t>PH bilateral</t>
  </si>
  <si>
    <t>potencia =</t>
  </si>
  <si>
    <r>
      <rPr>
        <b/>
        <sz val="14"/>
        <color rgb="FFFF0000"/>
        <rFont val="Symbol"/>
        <family val="1"/>
        <charset val="2"/>
      </rPr>
      <t xml:space="preserve"> a</t>
    </r>
    <r>
      <rPr>
        <b/>
        <sz val="14"/>
        <color rgb="FFFF0000"/>
        <rFont val="Calibri"/>
        <family val="2"/>
        <scheme val="minor"/>
      </rPr>
      <t xml:space="preserve"> ⟶</t>
    </r>
  </si>
  <si>
    <r>
      <rPr>
        <b/>
        <sz val="14"/>
        <color rgb="FFFF0000"/>
        <rFont val="Symbol"/>
        <family val="1"/>
        <charset val="2"/>
      </rPr>
      <t xml:space="preserve"> a</t>
    </r>
    <r>
      <rPr>
        <b/>
        <sz val="14"/>
        <color rgb="FFFF0000"/>
        <rFont val="Calibri"/>
        <family val="2"/>
        <scheme val="minor"/>
      </rPr>
      <t xml:space="preserve"> ⟶ </t>
    </r>
  </si>
  <si>
    <r>
      <t xml:space="preserve"> </t>
    </r>
    <r>
      <rPr>
        <b/>
        <sz val="14"/>
        <color rgb="FFFF0000"/>
        <rFont val="Symbol"/>
        <family val="1"/>
        <charset val="2"/>
      </rPr>
      <t>a</t>
    </r>
    <r>
      <rPr>
        <b/>
        <sz val="14"/>
        <color rgb="FFFF0000"/>
        <rFont val="Calibri"/>
        <family val="2"/>
        <scheme val="minor"/>
      </rPr>
      <t xml:space="preserve"> ⟶</t>
    </r>
  </si>
  <si>
    <t>ρ₀ =</t>
  </si>
  <si>
    <t>X̅ =</t>
  </si>
  <si>
    <t>X̅₁ =</t>
  </si>
  <si>
    <t>X̅₂ =</t>
  </si>
  <si>
    <t>σ₁ =</t>
  </si>
  <si>
    <t>σ₂ =</t>
  </si>
  <si>
    <t>n₁ =</t>
  </si>
  <si>
    <t>n₂ =</t>
  </si>
  <si>
    <t>S₁ =</t>
  </si>
  <si>
    <t>S₂ =</t>
  </si>
  <si>
    <t>x₁ =</t>
  </si>
  <si>
    <t>x₂ =</t>
  </si>
  <si>
    <r>
      <rPr>
        <b/>
        <sz val="16"/>
        <color rgb="FFFF0000"/>
        <rFont val="Symbol"/>
        <family val="1"/>
        <charset val="2"/>
      </rPr>
      <t>m</t>
    </r>
    <r>
      <rPr>
        <b/>
        <sz val="16"/>
        <color rgb="FFFF0000"/>
        <rFont val="Calibri"/>
        <family val="2"/>
        <scheme val="minor"/>
      </rPr>
      <t>₀ =</t>
    </r>
  </si>
  <si>
    <r>
      <rPr>
        <b/>
        <sz val="16"/>
        <color rgb="FFFF0000"/>
        <rFont val="Calibri"/>
        <family val="2"/>
      </rPr>
      <t>σ</t>
    </r>
    <r>
      <rPr>
        <b/>
        <sz val="16"/>
        <color rgb="FFFF0000"/>
        <rFont val="Calibri"/>
        <family val="2"/>
        <scheme val="minor"/>
      </rPr>
      <t xml:space="preserve"> =</t>
    </r>
  </si>
  <si>
    <r>
      <rPr>
        <b/>
        <sz val="16"/>
        <color rgb="FFFF0000"/>
        <rFont val="Symbol"/>
        <family val="1"/>
        <charset val="2"/>
      </rPr>
      <t>m</t>
    </r>
    <r>
      <rPr>
        <b/>
        <sz val="16"/>
        <color rgb="FFFF0000"/>
        <rFont val="Calibri"/>
        <family val="2"/>
        <scheme val="minor"/>
      </rPr>
      <t>₁ =</t>
    </r>
  </si>
  <si>
    <r>
      <rPr>
        <b/>
        <sz val="16"/>
        <color rgb="FFFF0000"/>
        <rFont val="Symbol"/>
        <family val="1"/>
        <charset val="2"/>
      </rPr>
      <t>p</t>
    </r>
    <r>
      <rPr>
        <b/>
        <sz val="16"/>
        <color rgb="FFFF0000"/>
        <rFont val="Calibri"/>
        <family val="2"/>
        <scheme val="minor"/>
      </rPr>
      <t>₀ =</t>
    </r>
  </si>
  <si>
    <r>
      <rPr>
        <b/>
        <sz val="16"/>
        <color rgb="FFFF0000"/>
        <rFont val="Symbol"/>
        <family val="1"/>
        <charset val="2"/>
      </rPr>
      <t>p</t>
    </r>
    <r>
      <rPr>
        <b/>
        <sz val="16"/>
        <color rgb="FFFF0000"/>
        <rFont val="Calibri"/>
        <family val="2"/>
        <scheme val="minor"/>
      </rPr>
      <t>₁ =</t>
    </r>
  </si>
  <si>
    <t>PRUEBA DE HIPÓTESIS DE IGUALDAD DE VARIANZAS (homocedasticidad)</t>
  </si>
  <si>
    <r>
      <t>EE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grupo 1 =</t>
    </r>
  </si>
  <si>
    <r>
      <t>EE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grupo 2 =</t>
    </r>
  </si>
  <si>
    <r>
      <t xml:space="preserve">coeficiente </t>
    </r>
    <r>
      <rPr>
        <b/>
        <sz val="14"/>
        <color theme="1"/>
        <rFont val="Symbol"/>
        <family val="1"/>
        <charset val="2"/>
      </rPr>
      <t>f</t>
    </r>
    <r>
      <rPr>
        <b/>
        <sz val="14"/>
        <color theme="1"/>
        <rFont val="Calibri"/>
        <family val="2"/>
        <scheme val="minor"/>
      </rPr>
      <t xml:space="preserve"> de Pearson</t>
    </r>
    <r>
      <rPr>
        <b/>
        <vertAlign val="subscript"/>
        <sz val="14"/>
        <color theme="1"/>
        <rFont val="Calibri"/>
        <family val="2"/>
        <scheme val="minor"/>
      </rPr>
      <t xml:space="preserve"> (Yates)</t>
    </r>
    <r>
      <rPr>
        <b/>
        <sz val="14"/>
        <color theme="1"/>
        <rFont val="Calibri"/>
        <family val="2"/>
        <scheme val="minor"/>
      </rPr>
      <t xml:space="preserve"> =</t>
    </r>
  </si>
  <si>
    <r>
      <rPr>
        <b/>
        <i/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 xml:space="preserve"> de McNemar </t>
    </r>
    <r>
      <rPr>
        <b/>
        <vertAlign val="subscript"/>
        <sz val="14"/>
        <color theme="1"/>
        <rFont val="Calibri"/>
        <family val="2"/>
        <scheme val="minor"/>
      </rPr>
      <t>(Yates)</t>
    </r>
    <r>
      <rPr>
        <b/>
        <sz val="14"/>
        <color theme="1"/>
        <rFont val="Calibri"/>
        <family val="2"/>
        <scheme val="minor"/>
      </rPr>
      <t xml:space="preserve"> =</t>
    </r>
  </si>
  <si>
    <r>
      <t xml:space="preserve">g </t>
    </r>
    <r>
      <rPr>
        <b/>
        <sz val="8"/>
        <color theme="1"/>
        <rFont val="Calibri"/>
        <family val="2"/>
        <scheme val="minor"/>
      </rPr>
      <t>(ajustada)</t>
    </r>
    <r>
      <rPr>
        <b/>
        <sz val="14"/>
        <color theme="1"/>
        <rFont val="Calibri"/>
        <family val="2"/>
        <scheme val="minor"/>
      </rPr>
      <t xml:space="preserve"> de Hedges =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</si>
  <si>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=</t>
    </r>
  </si>
  <si>
    <r>
      <t xml:space="preserve">H₀: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  <scheme val="minor"/>
      </rPr>
      <t xml:space="preserve"> = 0  vs.  H₁: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  <scheme val="minor"/>
      </rPr>
      <t xml:space="preserve"> </t>
    </r>
    <r>
      <rPr>
        <b/>
        <sz val="14"/>
        <color rgb="FF0070C0"/>
        <rFont val="Symbol"/>
        <family val="1"/>
        <charset val="2"/>
      </rPr>
      <t>¹</t>
    </r>
    <r>
      <rPr>
        <b/>
        <sz val="14"/>
        <color rgb="FF0070C0"/>
        <rFont val="Calibri"/>
        <family val="2"/>
        <scheme val="minor"/>
      </rPr>
      <t xml:space="preserve"> 0</t>
    </r>
  </si>
  <si>
    <r>
      <t xml:space="preserve">H₀: 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</rPr>
      <t xml:space="preserve"> =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</rPr>
      <t xml:space="preserve">₀  </t>
    </r>
    <r>
      <rPr>
        <b/>
        <sz val="14"/>
        <color rgb="FF0070C0"/>
        <rFont val="Calibri"/>
        <family val="2"/>
        <scheme val="minor"/>
      </rPr>
      <t xml:space="preserve">vs.  H₁: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</rPr>
      <t xml:space="preserve"> </t>
    </r>
    <r>
      <rPr>
        <b/>
        <sz val="14"/>
        <color rgb="FF0070C0"/>
        <rFont val="Symbol"/>
        <family val="1"/>
        <charset val="2"/>
      </rPr>
      <t>¹</t>
    </r>
    <r>
      <rPr>
        <b/>
        <sz val="14"/>
        <color rgb="FF0070C0"/>
        <rFont val="Calibri"/>
        <family val="2"/>
      </rPr>
      <t xml:space="preserve"> </t>
    </r>
    <r>
      <rPr>
        <b/>
        <sz val="14"/>
        <color rgb="FF0070C0"/>
        <rFont val="Symbol"/>
        <family val="1"/>
        <charset val="2"/>
      </rPr>
      <t>r</t>
    </r>
    <r>
      <rPr>
        <b/>
        <sz val="14"/>
        <color rgb="FF0070C0"/>
        <rFont val="Calibri"/>
        <family val="2"/>
        <scheme val="minor"/>
      </rPr>
      <t>₀</t>
    </r>
  </si>
  <si>
    <t>(Yates)</t>
  </si>
  <si>
    <r>
      <rPr>
        <b/>
        <sz val="16"/>
        <color rgb="FFFF0000"/>
        <rFont val="Calibri"/>
        <family val="2"/>
        <scheme val="minor"/>
      </rPr>
      <t>a)</t>
    </r>
    <r>
      <rPr>
        <b/>
        <sz val="16"/>
        <color rgb="FF0070C0"/>
        <rFont val="Calibri"/>
        <family val="2"/>
        <scheme val="minor"/>
      </rPr>
      <t xml:space="preserve"> PRUEBA DE HIPÓTESIS PARA </t>
    </r>
    <r>
      <rPr>
        <b/>
        <sz val="16"/>
        <color rgb="FF0070C0"/>
        <rFont val="Symbol"/>
        <family val="1"/>
        <charset val="2"/>
      </rPr>
      <t>m</t>
    </r>
    <r>
      <rPr>
        <b/>
        <sz val="16"/>
        <color rgb="FF0070C0"/>
        <rFont val="Calibri"/>
        <family val="2"/>
      </rPr>
      <t xml:space="preserve"> CUANDO </t>
    </r>
    <r>
      <rPr>
        <b/>
        <sz val="16"/>
        <color rgb="FF0070C0"/>
        <rFont val="Symbol"/>
        <family val="1"/>
        <charset val="2"/>
      </rPr>
      <t>s</t>
    </r>
    <r>
      <rPr>
        <b/>
        <vertAlign val="superscript"/>
        <sz val="16"/>
        <color rgb="FF0070C0"/>
        <rFont val="Symbol"/>
        <family val="1"/>
        <charset val="2"/>
      </rPr>
      <t>2</t>
    </r>
    <r>
      <rPr>
        <b/>
        <sz val="16"/>
        <color rgb="FF0070C0"/>
        <rFont val="Calibri"/>
        <family val="2"/>
      </rPr>
      <t xml:space="preserve"> ES CONOCIDA</t>
    </r>
  </si>
  <si>
    <r>
      <rPr>
        <b/>
        <sz val="16"/>
        <color rgb="FFFF0000"/>
        <rFont val="Calibri"/>
        <family val="2"/>
        <scheme val="minor"/>
      </rPr>
      <t>b)</t>
    </r>
    <r>
      <rPr>
        <b/>
        <sz val="16"/>
        <color rgb="FF0070C0"/>
        <rFont val="Calibri"/>
        <family val="2"/>
        <scheme val="minor"/>
      </rPr>
      <t xml:space="preserve"> PRUEBA DE HIPÓTESIS PARA </t>
    </r>
    <r>
      <rPr>
        <b/>
        <sz val="16"/>
        <color rgb="FF0070C0"/>
        <rFont val="Symbol"/>
        <family val="1"/>
        <charset val="2"/>
      </rPr>
      <t>m</t>
    </r>
    <r>
      <rPr>
        <b/>
        <sz val="16"/>
        <color rgb="FF0070C0"/>
        <rFont val="Calibri"/>
        <family val="2"/>
      </rPr>
      <t xml:space="preserve"> CUANDO </t>
    </r>
    <r>
      <rPr>
        <b/>
        <sz val="16"/>
        <color rgb="FF0070C0"/>
        <rFont val="Symbol"/>
        <family val="1"/>
        <charset val="2"/>
      </rPr>
      <t>s</t>
    </r>
    <r>
      <rPr>
        <b/>
        <vertAlign val="superscript"/>
        <sz val="16"/>
        <color rgb="FF0070C0"/>
        <rFont val="Symbol"/>
        <family val="1"/>
        <charset val="2"/>
      </rPr>
      <t>2</t>
    </r>
    <r>
      <rPr>
        <b/>
        <sz val="16"/>
        <color rgb="FF0070C0"/>
        <rFont val="Calibri"/>
        <family val="2"/>
      </rPr>
      <t xml:space="preserve"> ES DESCONOCIDA</t>
    </r>
  </si>
  <si>
    <r>
      <rPr>
        <b/>
        <sz val="16"/>
        <color rgb="FFFF0000"/>
        <rFont val="Calibri"/>
        <family val="2"/>
        <scheme val="minor"/>
      </rPr>
      <t>c)</t>
    </r>
    <r>
      <rPr>
        <b/>
        <sz val="16"/>
        <color rgb="FF0070C0"/>
        <rFont val="Calibri"/>
        <family val="2"/>
        <scheme val="minor"/>
      </rPr>
      <t xml:space="preserve"> PRUEBA DE HIPÓTESIS PARA </t>
    </r>
    <r>
      <rPr>
        <b/>
        <sz val="16"/>
        <color rgb="FF0070C0"/>
        <rFont val="Symbol"/>
        <family val="1"/>
        <charset val="2"/>
      </rPr>
      <t>p</t>
    </r>
  </si>
  <si>
    <r>
      <rPr>
        <b/>
        <sz val="16"/>
        <color rgb="FFFF0000"/>
        <rFont val="Calibri"/>
        <family val="2"/>
        <scheme val="minor"/>
      </rPr>
      <t>d)</t>
    </r>
    <r>
      <rPr>
        <b/>
        <sz val="16"/>
        <color rgb="FF0070C0"/>
        <rFont val="Calibri"/>
        <family val="2"/>
        <scheme val="minor"/>
      </rPr>
      <t xml:space="preserve"> PRUEBA DE HIPÓTESIS PARA MUESTRAS NO INDEPENDIENTES: DIFERENCIAS APAREADAS</t>
    </r>
  </si>
  <si>
    <r>
      <rPr>
        <b/>
        <sz val="16"/>
        <color rgb="FFFF0000"/>
        <rFont val="Calibri"/>
        <family val="2"/>
        <scheme val="minor"/>
      </rPr>
      <t>g)</t>
    </r>
    <r>
      <rPr>
        <b/>
        <sz val="16"/>
        <color rgb="FF0070C0"/>
        <rFont val="Calibri"/>
        <family val="2"/>
        <scheme val="minor"/>
      </rPr>
      <t xml:space="preserve"> PRUEBA DE HIPÓTESIS PARA LA DIFERENCIA DE PROPORCIONES [</t>
    </r>
    <r>
      <rPr>
        <b/>
        <sz val="16"/>
        <color rgb="FF0070C0"/>
        <rFont val="Symbol"/>
        <family val="1"/>
        <charset val="2"/>
      </rPr>
      <t>p</t>
    </r>
    <r>
      <rPr>
        <b/>
        <vertAlign val="subscript"/>
        <sz val="16"/>
        <color rgb="FF0070C0"/>
        <rFont val="Calibri"/>
        <family val="2"/>
        <scheme val="minor"/>
      </rPr>
      <t>1</t>
    </r>
    <r>
      <rPr>
        <b/>
        <sz val="16"/>
        <color rgb="FF0070C0"/>
        <rFont val="Calibri"/>
        <family val="2"/>
        <scheme val="minor"/>
      </rPr>
      <t xml:space="preserve"> - </t>
    </r>
    <r>
      <rPr>
        <b/>
        <sz val="16"/>
        <color rgb="FF0070C0"/>
        <rFont val="Symbol"/>
        <family val="1"/>
        <charset val="2"/>
      </rPr>
      <t>p</t>
    </r>
    <r>
      <rPr>
        <b/>
        <vertAlign val="subscript"/>
        <sz val="16"/>
        <color rgb="FF0070C0"/>
        <rFont val="Calibri"/>
        <family val="2"/>
        <scheme val="minor"/>
      </rPr>
      <t>2</t>
    </r>
    <r>
      <rPr>
        <b/>
        <sz val="16"/>
        <color rgb="FF0070C0"/>
        <rFont val="Calibri"/>
        <family val="2"/>
        <scheme val="minor"/>
      </rPr>
      <t>]</t>
    </r>
  </si>
  <si>
    <r>
      <rPr>
        <b/>
        <sz val="16"/>
        <color rgb="FFFF0000"/>
        <rFont val="Calibri"/>
        <family val="2"/>
        <scheme val="minor"/>
      </rPr>
      <t>h)</t>
    </r>
    <r>
      <rPr>
        <b/>
        <sz val="16"/>
        <color rgb="FF0070C0"/>
        <rFont val="Calibri"/>
        <family val="2"/>
        <scheme val="minor"/>
      </rPr>
      <t xml:space="preserve"> PRUEBA DE BONDAD DE AJUSTE</t>
    </r>
  </si>
  <si>
    <r>
      <rPr>
        <b/>
        <sz val="16"/>
        <color rgb="FFFF0000"/>
        <rFont val="Calibri"/>
        <family val="2"/>
        <scheme val="minor"/>
      </rPr>
      <t>i)</t>
    </r>
    <r>
      <rPr>
        <b/>
        <sz val="16"/>
        <color rgb="FF0070C0"/>
        <rFont val="Calibri"/>
        <family val="2"/>
        <scheme val="minor"/>
      </rPr>
      <t xml:space="preserve"> TABLA DE CONTINGENCIA DE 2 x 2</t>
    </r>
  </si>
  <si>
    <r>
      <rPr>
        <b/>
        <sz val="16"/>
        <color rgb="FFFF0000"/>
        <rFont val="Calibri"/>
        <family val="2"/>
        <scheme val="minor"/>
      </rPr>
      <t>j)</t>
    </r>
    <r>
      <rPr>
        <b/>
        <sz val="16"/>
        <color rgb="FF0070C0"/>
        <rFont val="Calibri"/>
        <family val="2"/>
        <scheme val="minor"/>
      </rPr>
      <t xml:space="preserve"> PRUEBA DE HIPÓTESIS PARA </t>
    </r>
    <r>
      <rPr>
        <b/>
        <sz val="16"/>
        <color rgb="FF0070C0"/>
        <rFont val="Symbol"/>
        <family val="1"/>
        <charset val="2"/>
      </rPr>
      <t>r</t>
    </r>
    <r>
      <rPr>
        <b/>
        <sz val="16"/>
        <color rgb="FF0070C0"/>
        <rFont val="Calibri"/>
        <family val="2"/>
      </rPr>
      <t xml:space="preserve"> </t>
    </r>
    <r>
      <rPr>
        <b/>
        <sz val="16"/>
        <color rgb="FF0070C0"/>
        <rFont val="Calibri"/>
        <family val="2"/>
        <scheme val="minor"/>
      </rPr>
      <t>(PEARSON)</t>
    </r>
  </si>
  <si>
    <r>
      <rPr>
        <b/>
        <sz val="16"/>
        <color rgb="FFFF0000"/>
        <rFont val="Calibri"/>
        <family val="2"/>
        <scheme val="minor"/>
      </rPr>
      <t>k)</t>
    </r>
    <r>
      <rPr>
        <b/>
        <sz val="16"/>
        <color rgb="FF0070C0"/>
        <rFont val="Calibri"/>
        <family val="2"/>
        <scheme val="minor"/>
      </rPr>
      <t xml:space="preserve"> PRUEBAS DE NORMALIDAD</t>
    </r>
  </si>
  <si>
    <r>
      <t>C</t>
    </r>
    <r>
      <rPr>
        <b/>
        <vertAlign val="subscript"/>
        <sz val="16"/>
        <color rgb="FFFF0000"/>
        <rFont val="Calibri"/>
        <family val="2"/>
        <scheme val="minor"/>
      </rPr>
      <t>U</t>
    </r>
    <r>
      <rPr>
        <b/>
        <sz val="16"/>
        <color rgb="FFFF0000"/>
        <rFont val="Calibri"/>
        <family val="2"/>
        <scheme val="minor"/>
      </rPr>
      <t xml:space="preserve"> =</t>
    </r>
  </si>
  <si>
    <r>
      <t>A</t>
    </r>
    <r>
      <rPr>
        <b/>
        <vertAlign val="subscript"/>
        <sz val="16"/>
        <color rgb="FFFF0000"/>
        <rFont val="Calibri"/>
        <family val="2"/>
        <scheme val="minor"/>
      </rPr>
      <t>S</t>
    </r>
    <r>
      <rPr>
        <b/>
        <sz val="16"/>
        <color rgb="FFFF0000"/>
        <rFont val="Calibri"/>
        <family val="2"/>
        <scheme val="minor"/>
      </rPr>
      <t xml:space="preserve"> =</t>
    </r>
  </si>
  <si>
    <r>
      <t>r</t>
    </r>
    <r>
      <rPr>
        <b/>
        <vertAlign val="subscript"/>
        <sz val="16"/>
        <color rgb="FFFF0000"/>
        <rFont val="Calibri"/>
        <family val="2"/>
        <scheme val="minor"/>
      </rPr>
      <t>XY</t>
    </r>
    <r>
      <rPr>
        <b/>
        <sz val="16"/>
        <color rgb="FFFF0000"/>
        <rFont val="Calibri"/>
        <family val="2"/>
        <scheme val="minor"/>
      </rPr>
      <t xml:space="preserve"> =</t>
    </r>
  </si>
  <si>
    <r>
      <t xml:space="preserve">H₀: la muestra se distribuye normalmente  vs.  H₁: la muestra </t>
    </r>
    <r>
      <rPr>
        <b/>
        <i/>
        <sz val="14"/>
        <color rgb="FF0070C0"/>
        <rFont val="Calibri"/>
        <family val="2"/>
        <scheme val="minor"/>
      </rPr>
      <t>no</t>
    </r>
    <r>
      <rPr>
        <b/>
        <sz val="14"/>
        <color rgb="FF0070C0"/>
        <rFont val="Calibri"/>
        <family val="2"/>
        <scheme val="minor"/>
      </rPr>
      <t xml:space="preserve"> se distribuye normalmente</t>
    </r>
  </si>
  <si>
    <t>límite inf =</t>
  </si>
  <si>
    <t>límite sup =</t>
  </si>
  <si>
    <r>
      <t xml:space="preserve">* PARA: </t>
    </r>
    <r>
      <rPr>
        <b/>
        <sz val="14"/>
        <color rgb="FF0070C0"/>
        <rFont val="Symbol"/>
        <family val="1"/>
        <charset val="2"/>
      </rPr>
      <t>r</t>
    </r>
    <r>
      <rPr>
        <b/>
        <vertAlign val="subscript"/>
        <sz val="14"/>
        <color rgb="FF0070C0"/>
        <rFont val="Calibri"/>
        <family val="2"/>
      </rPr>
      <t>0</t>
    </r>
    <r>
      <rPr>
        <b/>
        <sz val="14"/>
        <color rgb="FF0070C0"/>
        <rFont val="Calibri"/>
        <family val="2"/>
      </rPr>
      <t xml:space="preserve"> = 0     </t>
    </r>
    <r>
      <rPr>
        <b/>
        <sz val="14"/>
        <color rgb="FF0070C0"/>
        <rFont val="Symbol"/>
        <family val="1"/>
        <charset val="2"/>
      </rPr>
      <t>Þ</t>
    </r>
  </si>
  <si>
    <r>
      <t xml:space="preserve">* PARA: </t>
    </r>
    <r>
      <rPr>
        <b/>
        <sz val="14"/>
        <color rgb="FF0070C0"/>
        <rFont val="Symbol"/>
        <family val="1"/>
        <charset val="2"/>
      </rPr>
      <t>r</t>
    </r>
    <r>
      <rPr>
        <b/>
        <vertAlign val="subscript"/>
        <sz val="14"/>
        <color rgb="FF0070C0"/>
        <rFont val="Calibri"/>
        <family val="2"/>
      </rPr>
      <t>0</t>
    </r>
    <r>
      <rPr>
        <b/>
        <sz val="14"/>
        <color rgb="FF0070C0"/>
        <rFont val="Calibri"/>
        <family val="2"/>
      </rPr>
      <t xml:space="preserve"> </t>
    </r>
    <r>
      <rPr>
        <b/>
        <sz val="14"/>
        <color rgb="FF0070C0"/>
        <rFont val="Symbol"/>
        <family val="1"/>
        <charset val="2"/>
      </rPr>
      <t>¹</t>
    </r>
    <r>
      <rPr>
        <b/>
        <sz val="14"/>
        <color rgb="FF0070C0"/>
        <rFont val="Calibri"/>
        <family val="2"/>
      </rPr>
      <t xml:space="preserve"> 0     </t>
    </r>
    <r>
      <rPr>
        <b/>
        <sz val="14"/>
        <color rgb="FF0070C0"/>
        <rFont val="Symbol"/>
        <family val="1"/>
        <charset val="2"/>
      </rPr>
      <t>Þ</t>
    </r>
  </si>
  <si>
    <r>
      <rPr>
        <b/>
        <sz val="16"/>
        <color rgb="FFFF0000"/>
        <rFont val="Calibri"/>
        <family val="2"/>
        <scheme val="minor"/>
      </rPr>
      <t>e)</t>
    </r>
    <r>
      <rPr>
        <b/>
        <sz val="16"/>
        <color rgb="FF0070C0"/>
        <rFont val="Calibri"/>
        <family val="2"/>
        <scheme val="minor"/>
      </rPr>
      <t xml:space="preserve"> PRUEBA DE HIPÓTESIS PARA LA DIFERENCIA DE MEDIAS [</t>
    </r>
    <r>
      <rPr>
        <b/>
        <sz val="16"/>
        <color rgb="FF0070C0"/>
        <rFont val="Symbol"/>
        <family val="1"/>
        <charset val="2"/>
      </rPr>
      <t>m</t>
    </r>
    <r>
      <rPr>
        <b/>
        <vertAlign val="subscript"/>
        <sz val="16"/>
        <color rgb="FF0070C0"/>
        <rFont val="Calibri"/>
        <family val="2"/>
        <scheme val="minor"/>
      </rPr>
      <t>1</t>
    </r>
    <r>
      <rPr>
        <b/>
        <sz val="16"/>
        <color rgb="FF0070C0"/>
        <rFont val="Calibri"/>
        <family val="2"/>
        <scheme val="minor"/>
      </rPr>
      <t xml:space="preserve"> - </t>
    </r>
    <r>
      <rPr>
        <b/>
        <sz val="16"/>
        <color rgb="FF0070C0"/>
        <rFont val="Symbol"/>
        <family val="1"/>
        <charset val="2"/>
      </rPr>
      <t>m</t>
    </r>
    <r>
      <rPr>
        <b/>
        <vertAlign val="subscript"/>
        <sz val="16"/>
        <color rgb="FF0070C0"/>
        <rFont val="Calibri"/>
        <family val="2"/>
        <scheme val="minor"/>
      </rPr>
      <t>2</t>
    </r>
    <r>
      <rPr>
        <b/>
        <sz val="16"/>
        <color rgb="FF0070C0"/>
        <rFont val="Calibri"/>
        <family val="2"/>
        <scheme val="minor"/>
      </rPr>
      <t>]</t>
    </r>
    <r>
      <rPr>
        <b/>
        <sz val="16"/>
        <color rgb="FF0070C0"/>
        <rFont val="Symbol"/>
        <family val="1"/>
        <charset val="2"/>
      </rPr>
      <t xml:space="preserve"> </t>
    </r>
    <r>
      <rPr>
        <b/>
        <sz val="16"/>
        <color rgb="FF0070C0"/>
        <rFont val="Calibri"/>
        <family val="2"/>
        <scheme val="minor"/>
      </rPr>
      <t>CON VARIANZAS POBLACIONALES CONOCIDAS</t>
    </r>
  </si>
  <si>
    <r>
      <rPr>
        <b/>
        <sz val="16"/>
        <color rgb="FFFF0000"/>
        <rFont val="Calibri"/>
        <family val="2"/>
        <scheme val="minor"/>
      </rPr>
      <t>f)</t>
    </r>
    <r>
      <rPr>
        <b/>
        <sz val="16"/>
        <color rgb="FF0070C0"/>
        <rFont val="Calibri"/>
        <family val="2"/>
        <scheme val="minor"/>
      </rPr>
      <t xml:space="preserve"> PRUEBA DE HIPÓTESIS PARA LA DIFERENCIA DE MEDIAS [</t>
    </r>
    <r>
      <rPr>
        <b/>
        <sz val="16"/>
        <color rgb="FF0070C0"/>
        <rFont val="Symbol"/>
        <family val="1"/>
        <charset val="2"/>
      </rPr>
      <t>m</t>
    </r>
    <r>
      <rPr>
        <b/>
        <vertAlign val="subscript"/>
        <sz val="16"/>
        <color rgb="FF0070C0"/>
        <rFont val="Calibri"/>
        <family val="2"/>
        <scheme val="minor"/>
      </rPr>
      <t>1</t>
    </r>
    <r>
      <rPr>
        <b/>
        <sz val="16"/>
        <color rgb="FF0070C0"/>
        <rFont val="Calibri"/>
        <family val="2"/>
        <scheme val="minor"/>
      </rPr>
      <t xml:space="preserve"> - </t>
    </r>
    <r>
      <rPr>
        <b/>
        <sz val="16"/>
        <color rgb="FF0070C0"/>
        <rFont val="Symbol"/>
        <family val="1"/>
        <charset val="2"/>
      </rPr>
      <t>m</t>
    </r>
    <r>
      <rPr>
        <b/>
        <vertAlign val="subscript"/>
        <sz val="16"/>
        <color rgb="FF0070C0"/>
        <rFont val="Calibri"/>
        <family val="2"/>
        <scheme val="minor"/>
      </rPr>
      <t>2</t>
    </r>
    <r>
      <rPr>
        <b/>
        <sz val="16"/>
        <color rgb="FF0070C0"/>
        <rFont val="Calibri"/>
        <family val="2"/>
        <scheme val="minor"/>
      </rPr>
      <t>] CON VARIANZAS POBLACIONALES DESCONOCIDAS</t>
    </r>
  </si>
  <si>
    <r>
      <t>* PRUEBA DE HIPÓTESIS PARA LA DIFERENCIA DE MEDIAS [</t>
    </r>
    <r>
      <rPr>
        <b/>
        <sz val="15"/>
        <color rgb="FF0070C0"/>
        <rFont val="Symbol"/>
        <family val="1"/>
        <charset val="2"/>
      </rPr>
      <t>m</t>
    </r>
    <r>
      <rPr>
        <b/>
        <vertAlign val="subscript"/>
        <sz val="15"/>
        <color rgb="FF0070C0"/>
        <rFont val="Calibri"/>
        <family val="2"/>
        <scheme val="minor"/>
      </rPr>
      <t>1</t>
    </r>
    <r>
      <rPr>
        <b/>
        <sz val="15"/>
        <color rgb="FF0070C0"/>
        <rFont val="Calibri"/>
        <family val="2"/>
        <scheme val="minor"/>
      </rPr>
      <t xml:space="preserve"> - </t>
    </r>
    <r>
      <rPr>
        <b/>
        <sz val="15"/>
        <color rgb="FF0070C0"/>
        <rFont val="Symbol"/>
        <family val="1"/>
        <charset val="2"/>
      </rPr>
      <t>m</t>
    </r>
    <r>
      <rPr>
        <b/>
        <vertAlign val="subscript"/>
        <sz val="15"/>
        <color rgb="FF0070C0"/>
        <rFont val="Calibri"/>
        <family val="2"/>
        <scheme val="minor"/>
      </rPr>
      <t>2</t>
    </r>
    <r>
      <rPr>
        <b/>
        <sz val="15"/>
        <color rgb="FF0070C0"/>
        <rFont val="Calibri"/>
        <family val="2"/>
        <scheme val="minor"/>
      </rPr>
      <t xml:space="preserve">] CON VARIANZAS POBLACIONALES DESCONOCIDAS, PERO </t>
    </r>
    <r>
      <rPr>
        <b/>
        <u val="double"/>
        <sz val="15"/>
        <color rgb="FF0070C0"/>
        <rFont val="Calibri"/>
        <family val="2"/>
        <scheme val="minor"/>
      </rPr>
      <t>IGUALES</t>
    </r>
  </si>
  <si>
    <r>
      <t>* PRUEBA DE HIPÓTESIS PARA LA DIFERENCIA DE MEDIAS [</t>
    </r>
    <r>
      <rPr>
        <b/>
        <sz val="15"/>
        <color rgb="FF0070C0"/>
        <rFont val="Symbol"/>
        <family val="1"/>
        <charset val="2"/>
      </rPr>
      <t>m</t>
    </r>
    <r>
      <rPr>
        <b/>
        <vertAlign val="subscript"/>
        <sz val="15"/>
        <color rgb="FF0070C0"/>
        <rFont val="Calibri"/>
        <family val="2"/>
        <scheme val="minor"/>
      </rPr>
      <t>1</t>
    </r>
    <r>
      <rPr>
        <b/>
        <sz val="15"/>
        <color rgb="FF0070C0"/>
        <rFont val="Calibri"/>
        <family val="2"/>
        <scheme val="minor"/>
      </rPr>
      <t xml:space="preserve"> - </t>
    </r>
    <r>
      <rPr>
        <b/>
        <sz val="15"/>
        <color rgb="FF0070C0"/>
        <rFont val="Symbol"/>
        <family val="1"/>
        <charset val="2"/>
      </rPr>
      <t>m</t>
    </r>
    <r>
      <rPr>
        <b/>
        <vertAlign val="subscript"/>
        <sz val="15"/>
        <color rgb="FF0070C0"/>
        <rFont val="Calibri"/>
        <family val="2"/>
        <scheme val="minor"/>
      </rPr>
      <t>2</t>
    </r>
    <r>
      <rPr>
        <b/>
        <sz val="15"/>
        <color rgb="FF0070C0"/>
        <rFont val="Calibri"/>
        <family val="2"/>
        <scheme val="minor"/>
      </rPr>
      <t xml:space="preserve">] CON VARIANZAS POBLACIONALES DESCONOCIDAS, PERO </t>
    </r>
    <r>
      <rPr>
        <b/>
        <u val="double"/>
        <sz val="15"/>
        <color rgb="FF0070C0"/>
        <rFont val="Calibri"/>
        <family val="2"/>
        <scheme val="minor"/>
      </rPr>
      <t>DISTINTAS</t>
    </r>
  </si>
  <si>
    <r>
      <t xml:space="preserve">PRUEBAS DE HIPÓTESIS PARAMÉTRICAS + DISTRIBUCIÓN </t>
    </r>
    <r>
      <rPr>
        <b/>
        <sz val="20"/>
        <color rgb="FFFF0000"/>
        <rFont val="Symbol"/>
        <family val="1"/>
        <charset val="2"/>
      </rPr>
      <t>c</t>
    </r>
    <r>
      <rPr>
        <b/>
        <sz val="20"/>
        <color rgb="FFFF0000"/>
        <rFont val="Calibri"/>
        <family val="2"/>
      </rPr>
      <t>²</t>
    </r>
    <r>
      <rPr>
        <b/>
        <sz val="20"/>
        <color rgb="FFFF0000"/>
        <rFont val="Calibri"/>
        <family val="2"/>
        <scheme val="minor"/>
      </rPr>
      <t xml:space="preserve"> + NORMALIDAD  </t>
    </r>
    <r>
      <rPr>
        <b/>
        <sz val="18"/>
        <rFont val="Calibri"/>
        <family val="2"/>
        <scheme val="minor"/>
      </rPr>
      <t>(v.8.11.23)</t>
    </r>
  </si>
  <si>
    <t>nº parámetros: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</si>
</sst>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000"/>
    <numFmt numFmtId="165" formatCode="0.000"/>
  </numFmts>
  <fonts count="57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  <scheme val="minor"/>
    </font>
    <font>
      <b/>
      <sz val="14"/>
      <color rgb="FFFF0000"/>
      <name val="Symbol"/>
      <family val="1"/>
      <charset val="2"/>
    </font>
    <font>
      <b/>
      <sz val="14"/>
      <name val="Calibri"/>
      <family val="2"/>
      <scheme val="minor"/>
    </font>
    <font>
      <b/>
      <sz val="14"/>
      <color rgb="FF0070C0"/>
      <name val="Symbol"/>
      <family val="1"/>
      <charset val="2"/>
    </font>
    <font>
      <sz val="14"/>
      <color rgb="FFFF0000"/>
      <name val="Calibri"/>
      <family val="2"/>
      <scheme val="minor"/>
    </font>
    <font>
      <sz val="14"/>
      <color theme="1"/>
      <name val="Symbol"/>
      <family val="1"/>
      <charset val="2"/>
    </font>
    <font>
      <b/>
      <i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5"/>
      <color rgb="FF0070C0"/>
      <name val="Symbol"/>
      <family val="1"/>
      <charset val="2"/>
    </font>
    <font>
      <b/>
      <vertAlign val="subscript"/>
      <sz val="15"/>
      <color rgb="FF0070C0"/>
      <name val="Calibri"/>
      <family val="2"/>
      <scheme val="minor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name val="Lucida Handwriting"/>
      <family val="4"/>
    </font>
    <font>
      <b/>
      <sz val="20"/>
      <color rgb="FFFF0000"/>
      <name val="Calibri"/>
      <family val="2"/>
      <scheme val="minor"/>
    </font>
    <font>
      <b/>
      <sz val="14"/>
      <color rgb="FF0070C0"/>
      <name val="Calibri"/>
      <family val="2"/>
    </font>
    <font>
      <b/>
      <sz val="16"/>
      <color rgb="FF0070C0"/>
      <name val="Calibri"/>
      <family val="2"/>
      <scheme val="minor"/>
    </font>
    <font>
      <b/>
      <sz val="16"/>
      <color rgb="FF0070C0"/>
      <name val="Symbol"/>
      <family val="1"/>
      <charset val="2"/>
    </font>
    <font>
      <b/>
      <sz val="16"/>
      <color rgb="FF0070C0"/>
      <name val="Calibri"/>
      <family val="2"/>
    </font>
    <font>
      <b/>
      <vertAlign val="superscript"/>
      <sz val="16"/>
      <color rgb="FF0070C0"/>
      <name val="Symbol"/>
      <family val="1"/>
      <charset val="2"/>
    </font>
    <font>
      <b/>
      <vertAlign val="subscript"/>
      <sz val="16"/>
      <color rgb="FF0070C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Symbol"/>
      <family val="1"/>
      <charset val="2"/>
    </font>
    <font>
      <b/>
      <sz val="10"/>
      <color theme="1"/>
      <name val="Calibri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rgb="FFFF0000"/>
      <name val="Symbol"/>
      <family val="1"/>
      <charset val="2"/>
    </font>
    <font>
      <b/>
      <sz val="20"/>
      <color rgb="FFFF0000"/>
      <name val="Calibri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5"/>
      <color rgb="FF0070C0"/>
      <name val="Calibri"/>
      <family val="2"/>
      <scheme val="minor"/>
    </font>
    <font>
      <b/>
      <vertAlign val="subscript"/>
      <sz val="14"/>
      <color rgb="FF0070C0"/>
      <name val="Calibri"/>
      <family val="2"/>
    </font>
    <font>
      <b/>
      <sz val="16"/>
      <color rgb="FFFF0000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Symbol"/>
      <family val="1"/>
      <charset val="2"/>
    </font>
    <font>
      <b/>
      <vertAlign val="subscript"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Times New Roman"/>
      <family val="1"/>
    </font>
    <font>
      <sz val="16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b/>
      <sz val="14"/>
      <name val="Cambria Math"/>
      <family val="1"/>
    </font>
    <font>
      <b/>
      <i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91">
    <xf numFmtId="0" fontId="0" fillId="0" borderId="0" xfId="0"/>
    <xf numFmtId="0" fontId="4" fillId="0" borderId="0" xfId="0" applyFont="1" applyAlignment="1" applyProtection="1">
      <alignment horizontal="right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0" fillId="4" borderId="0" xfId="0" applyFill="1" applyProtection="1"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5" fillId="4" borderId="0" xfId="0" applyFont="1" applyFill="1" applyProtection="1">
      <protection hidden="1"/>
    </xf>
    <xf numFmtId="0" fontId="0" fillId="4" borderId="0" xfId="0" applyFill="1" applyAlignment="1" applyProtection="1">
      <alignment vertical="center"/>
      <protection hidden="1"/>
    </xf>
    <xf numFmtId="0" fontId="24" fillId="4" borderId="0" xfId="0" applyFont="1" applyFill="1" applyAlignment="1" applyProtection="1">
      <alignment vertical="center"/>
      <protection hidden="1"/>
    </xf>
    <xf numFmtId="0" fontId="24" fillId="4" borderId="0" xfId="0" applyFont="1" applyFill="1" applyAlignment="1" applyProtection="1">
      <alignment horizontal="left" vertical="center"/>
      <protection hidden="1"/>
    </xf>
    <xf numFmtId="0" fontId="0" fillId="4" borderId="0" xfId="0" applyFill="1"/>
    <xf numFmtId="0" fontId="13" fillId="4" borderId="0" xfId="0" applyFont="1" applyFill="1" applyAlignment="1" applyProtection="1">
      <alignment horizontal="left" vertical="center"/>
      <protection hidden="1"/>
    </xf>
    <xf numFmtId="0" fontId="2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14" xfId="0" applyNumberFormat="1" applyFont="1" applyFill="1" applyBorder="1" applyAlignment="1" applyProtection="1">
      <alignment horizontal="center" vertical="center"/>
      <protection locked="0"/>
    </xf>
    <xf numFmtId="0" fontId="2" fillId="3" borderId="13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8" fillId="0" borderId="0" xfId="0" applyFont="1" applyAlignment="1" applyProtection="1">
      <alignment horizontal="left" vertical="center"/>
      <protection hidden="1"/>
    </xf>
    <xf numFmtId="0" fontId="0" fillId="0" borderId="0" xfId="0" applyBorder="1"/>
    <xf numFmtId="0" fontId="2" fillId="5" borderId="0" xfId="0" applyNumberFormat="1" applyFont="1" applyFill="1" applyAlignment="1" applyProtection="1">
      <alignment vertical="center"/>
      <protection hidden="1"/>
    </xf>
    <xf numFmtId="0" fontId="28" fillId="5" borderId="0" xfId="0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4" fillId="5" borderId="0" xfId="0" applyFont="1" applyFill="1" applyAlignment="1" applyProtection="1">
      <alignment horizontal="right" vertical="center"/>
      <protection hidden="1"/>
    </xf>
    <xf numFmtId="0" fontId="2" fillId="5" borderId="0" xfId="0" applyFont="1" applyFill="1" applyProtection="1"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0" fontId="2" fillId="5" borderId="0" xfId="1" applyNumberFormat="1" applyFont="1" applyFill="1" applyAlignment="1" applyProtection="1">
      <alignment vertical="center"/>
      <protection hidden="1"/>
    </xf>
    <xf numFmtId="0" fontId="2" fillId="5" borderId="2" xfId="0" applyNumberFormat="1" applyFont="1" applyFill="1" applyBorder="1" applyAlignment="1" applyProtection="1">
      <alignment horizontal="center" vertical="center"/>
      <protection hidden="1"/>
    </xf>
    <xf numFmtId="165" fontId="4" fillId="5" borderId="0" xfId="0" applyNumberFormat="1" applyFont="1" applyFill="1" applyBorder="1" applyAlignment="1" applyProtection="1">
      <alignment horizontal="left" vertical="center"/>
      <protection hidden="1"/>
    </xf>
    <xf numFmtId="0" fontId="3" fillId="5" borderId="0" xfId="0" applyFont="1" applyFill="1" applyProtection="1">
      <protection hidden="1"/>
    </xf>
    <xf numFmtId="0" fontId="4" fillId="5" borderId="0" xfId="0" applyFont="1" applyFill="1" applyAlignment="1" applyProtection="1">
      <alignment vertical="center"/>
      <protection hidden="1"/>
    </xf>
    <xf numFmtId="164" fontId="2" fillId="5" borderId="1" xfId="0" applyNumberFormat="1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right"/>
      <protection hidden="1"/>
    </xf>
    <xf numFmtId="0" fontId="34" fillId="5" borderId="1" xfId="0" applyFont="1" applyFill="1" applyBorder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right" vertical="center"/>
      <protection hidden="1"/>
    </xf>
    <xf numFmtId="2" fontId="4" fillId="5" borderId="0" xfId="0" applyNumberFormat="1" applyFont="1" applyFill="1" applyBorder="1" applyAlignment="1" applyProtection="1">
      <alignment horizontal="center" vertical="center"/>
      <protection hidden="1"/>
    </xf>
    <xf numFmtId="0" fontId="8" fillId="5" borderId="0" xfId="0" applyFont="1" applyFill="1" applyAlignment="1" applyProtection="1">
      <alignment horizontal="right" vertical="center"/>
      <protection hidden="1"/>
    </xf>
    <xf numFmtId="0" fontId="11" fillId="5" borderId="0" xfId="0" applyFont="1" applyFill="1" applyAlignment="1" applyProtection="1">
      <alignment horizontal="right" vertical="center"/>
      <protection hidden="1"/>
    </xf>
    <xf numFmtId="0" fontId="28" fillId="5" borderId="0" xfId="0" applyFont="1" applyFill="1" applyAlignment="1" applyProtection="1">
      <alignment horizontal="left" vertical="center"/>
      <protection hidden="1"/>
    </xf>
    <xf numFmtId="0" fontId="2" fillId="5" borderId="0" xfId="0" applyFont="1" applyFill="1" applyAlignment="1" applyProtection="1">
      <alignment horizontal="center" vertical="center"/>
      <protection hidden="1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right" vertical="center"/>
      <protection hidden="1"/>
    </xf>
    <xf numFmtId="0" fontId="2" fillId="5" borderId="1" xfId="0" applyNumberFormat="1" applyFont="1" applyFill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4" fillId="7" borderId="5" xfId="0" applyFont="1" applyFill="1" applyBorder="1" applyAlignment="1" applyProtection="1">
      <alignment horizontal="center" vertical="center"/>
      <protection hidden="1"/>
    </xf>
    <xf numFmtId="0" fontId="2" fillId="6" borderId="2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Alignment="1" applyProtection="1">
      <alignment horizontal="left" vertical="center"/>
      <protection hidden="1"/>
    </xf>
    <xf numFmtId="0" fontId="33" fillId="5" borderId="0" xfId="0" applyFont="1" applyFill="1" applyAlignment="1" applyProtection="1">
      <alignment horizontal="left" vertical="center"/>
      <protection hidden="1"/>
    </xf>
    <xf numFmtId="0" fontId="8" fillId="5" borderId="0" xfId="0" applyFont="1" applyFill="1" applyBorder="1" applyAlignment="1" applyProtection="1">
      <alignment horizontal="righ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2" fillId="5" borderId="15" xfId="0" applyNumberFormat="1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Border="1" applyAlignment="1" applyProtection="1">
      <alignment horizontal="left" vertical="center"/>
      <protection hidden="1"/>
    </xf>
    <xf numFmtId="0" fontId="2" fillId="5" borderId="0" xfId="0" applyFont="1" applyFill="1" applyAlignment="1" applyProtection="1">
      <alignment horizontal="center"/>
      <protection hidden="1"/>
    </xf>
    <xf numFmtId="0" fontId="5" fillId="5" borderId="0" xfId="0" applyFont="1" applyFill="1" applyBorder="1" applyAlignment="1" applyProtection="1">
      <alignment horizontal="right" vertical="center"/>
      <protection hidden="1"/>
    </xf>
    <xf numFmtId="0" fontId="2" fillId="5" borderId="0" xfId="0" applyFont="1" applyFill="1" applyAlignment="1" applyProtection="1">
      <protection hidden="1"/>
    </xf>
    <xf numFmtId="0" fontId="4" fillId="5" borderId="0" xfId="0" applyFont="1" applyFill="1" applyBorder="1" applyAlignment="1" applyProtection="1">
      <alignment horizontal="right"/>
      <protection hidden="1"/>
    </xf>
    <xf numFmtId="0" fontId="3" fillId="5" borderId="0" xfId="0" applyFont="1" applyFill="1" applyAlignment="1" applyProtection="1">
      <protection hidden="1"/>
    </xf>
    <xf numFmtId="164" fontId="4" fillId="5" borderId="0" xfId="0" applyNumberFormat="1" applyFont="1" applyFill="1" applyBorder="1" applyAlignment="1" applyProtection="1">
      <alignment horizontal="center"/>
      <protection hidden="1"/>
    </xf>
    <xf numFmtId="164" fontId="3" fillId="5" borderId="0" xfId="0" applyNumberFormat="1" applyFont="1" applyFill="1" applyBorder="1" applyAlignment="1" applyProtection="1">
      <alignment horizontal="left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5" fillId="7" borderId="1" xfId="0" applyFont="1" applyFill="1" applyBorder="1" applyAlignment="1" applyProtection="1">
      <alignment horizontal="center" vertical="center"/>
      <protection hidden="1"/>
    </xf>
    <xf numFmtId="0" fontId="4" fillId="7" borderId="3" xfId="0" applyFont="1" applyFill="1" applyBorder="1" applyAlignment="1" applyProtection="1">
      <alignment horizontal="center" vertical="center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34" fillId="5" borderId="0" xfId="0" applyFont="1" applyFill="1" applyBorder="1" applyAlignment="1" applyProtection="1">
      <alignment horizontal="center" vertical="center"/>
      <protection hidden="1"/>
    </xf>
    <xf numFmtId="0" fontId="2" fillId="8" borderId="2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34" fillId="5" borderId="1" xfId="0" applyNumberFormat="1" applyFont="1" applyFill="1" applyBorder="1" applyAlignment="1" applyProtection="1">
      <alignment horizontal="center" vertical="center"/>
      <protection hidden="1"/>
    </xf>
    <xf numFmtId="0" fontId="2" fillId="3" borderId="2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2" fillId="6" borderId="2" xfId="0" applyNumberFormat="1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Alignment="1" applyProtection="1">
      <alignment horizontal="right" vertical="center"/>
      <protection hidden="1"/>
    </xf>
    <xf numFmtId="0" fontId="2" fillId="5" borderId="4" xfId="0" applyNumberFormat="1" applyFont="1" applyFill="1" applyBorder="1" applyAlignment="1" applyProtection="1">
      <alignment horizontal="center"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3" fillId="5" borderId="11" xfId="0" applyFont="1" applyFill="1" applyBorder="1" applyAlignment="1" applyProtection="1">
      <alignment horizontal="center" vertical="center"/>
      <protection hidden="1"/>
    </xf>
    <xf numFmtId="0" fontId="4" fillId="7" borderId="4" xfId="0" applyFont="1" applyFill="1" applyBorder="1" applyAlignment="1" applyProtection="1">
      <alignment horizontal="center" vertical="center"/>
      <protection hidden="1"/>
    </xf>
    <xf numFmtId="0" fontId="2" fillId="5" borderId="4" xfId="0" applyFont="1" applyFill="1" applyBorder="1" applyAlignment="1" applyProtection="1">
      <alignment horizontal="center" vertical="center"/>
      <protection hidden="1"/>
    </xf>
    <xf numFmtId="0" fontId="2" fillId="5" borderId="2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5" borderId="2" xfId="0" applyFont="1" applyFill="1" applyBorder="1" applyAlignment="1" applyProtection="1">
      <alignment horizontal="center"/>
      <protection hidden="1"/>
    </xf>
    <xf numFmtId="0" fontId="2" fillId="5" borderId="0" xfId="0" applyNumberFormat="1" applyFont="1" applyFill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19" fillId="5" borderId="0" xfId="0" applyFont="1" applyFill="1" applyAlignment="1" applyProtection="1">
      <alignment horizontal="right" vertical="center"/>
      <protection hidden="1"/>
    </xf>
    <xf numFmtId="0" fontId="2" fillId="5" borderId="0" xfId="0" applyFont="1" applyFill="1"/>
    <xf numFmtId="0" fontId="8" fillId="5" borderId="0" xfId="0" applyFont="1" applyFill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0" xfId="0" applyFill="1"/>
    <xf numFmtId="0" fontId="38" fillId="5" borderId="0" xfId="0" applyFont="1" applyFill="1" applyBorder="1" applyAlignment="1">
      <alignment horizontal="center" vertical="center"/>
    </xf>
    <xf numFmtId="0" fontId="38" fillId="5" borderId="0" xfId="0" applyFont="1" applyFill="1" applyBorder="1"/>
    <xf numFmtId="0" fontId="37" fillId="5" borderId="0" xfId="0" applyFont="1" applyFill="1" applyBorder="1" applyAlignment="1">
      <alignment horizontal="center" vertical="center"/>
    </xf>
    <xf numFmtId="0" fontId="37" fillId="5" borderId="0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65" fontId="8" fillId="0" borderId="2" xfId="0" applyNumberFormat="1" applyFont="1" applyBorder="1" applyAlignment="1" applyProtection="1">
      <alignment horizontal="center" vertical="center"/>
      <protection hidden="1"/>
    </xf>
    <xf numFmtId="165" fontId="2" fillId="5" borderId="2" xfId="0" applyNumberFormat="1" applyFont="1" applyFill="1" applyBorder="1" applyAlignment="1" applyProtection="1">
      <alignment horizontal="center" vertical="center"/>
      <protection hidden="1"/>
    </xf>
    <xf numFmtId="0" fontId="4" fillId="5" borderId="2" xfId="0" applyNumberFormat="1" applyFont="1" applyFill="1" applyBorder="1" applyAlignment="1" applyProtection="1">
      <alignment horizontal="center" vertical="center"/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165" fontId="4" fillId="5" borderId="2" xfId="0" applyNumberFormat="1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/>
      <protection hidden="1"/>
    </xf>
    <xf numFmtId="165" fontId="8" fillId="5" borderId="2" xfId="0" applyNumberFormat="1" applyFont="1" applyFill="1" applyBorder="1" applyAlignment="1" applyProtection="1">
      <alignment horizontal="center" vertical="center"/>
      <protection hidden="1"/>
    </xf>
    <xf numFmtId="0" fontId="34" fillId="5" borderId="2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horizontal="center" vertical="center"/>
      <protection hidden="1"/>
    </xf>
    <xf numFmtId="164" fontId="2" fillId="5" borderId="0" xfId="0" applyNumberFormat="1" applyFont="1" applyFill="1" applyAlignment="1" applyProtection="1">
      <alignment horizontal="center" vertical="center"/>
      <protection hidden="1"/>
    </xf>
    <xf numFmtId="0" fontId="2" fillId="5" borderId="0" xfId="0" applyNumberFormat="1" applyFont="1" applyFill="1" applyAlignment="1" applyProtection="1">
      <alignment horizontal="center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34" fillId="5" borderId="0" xfId="0" applyFont="1" applyFill="1"/>
    <xf numFmtId="0" fontId="42" fillId="5" borderId="0" xfId="0" applyFont="1" applyFill="1"/>
    <xf numFmtId="0" fontId="34" fillId="5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right" vertical="center"/>
    </xf>
    <xf numFmtId="0" fontId="38" fillId="5" borderId="0" xfId="0" applyFont="1" applyFill="1"/>
    <xf numFmtId="0" fontId="37" fillId="5" borderId="0" xfId="0" applyFont="1" applyFill="1"/>
    <xf numFmtId="0" fontId="2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2" fillId="0" borderId="0" xfId="0" applyFont="1"/>
    <xf numFmtId="0" fontId="10" fillId="5" borderId="0" xfId="0" applyFont="1" applyFill="1" applyProtection="1">
      <protection hidden="1"/>
    </xf>
    <xf numFmtId="0" fontId="43" fillId="5" borderId="0" xfId="0" applyFont="1" applyFill="1"/>
    <xf numFmtId="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/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3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34" fillId="5" borderId="2" xfId="0" applyFont="1" applyFill="1" applyBorder="1"/>
    <xf numFmtId="0" fontId="0" fillId="5" borderId="0" xfId="0" applyFill="1" applyAlignment="1">
      <alignment horizontal="right" vertical="center"/>
    </xf>
    <xf numFmtId="0" fontId="34" fillId="5" borderId="0" xfId="0" applyFont="1" applyFill="1" applyBorder="1"/>
    <xf numFmtId="0" fontId="10" fillId="5" borderId="0" xfId="0" applyFont="1" applyFill="1" applyBorder="1"/>
    <xf numFmtId="0" fontId="10" fillId="5" borderId="0" xfId="0" applyFont="1" applyFill="1"/>
    <xf numFmtId="0" fontId="10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protection hidden="1"/>
    </xf>
    <xf numFmtId="0" fontId="3" fillId="5" borderId="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6" fillId="0" borderId="0" xfId="0" applyFont="1" applyAlignment="1" applyProtection="1">
      <alignment horizontal="right" vertical="center"/>
      <protection hidden="1"/>
    </xf>
    <xf numFmtId="0" fontId="7" fillId="5" borderId="0" xfId="0" applyFont="1" applyFill="1" applyAlignment="1" applyProtection="1">
      <alignment vertical="center"/>
      <protection hidden="1"/>
    </xf>
    <xf numFmtId="0" fontId="47" fillId="5" borderId="0" xfId="0" applyFont="1" applyFill="1" applyAlignment="1" applyProtection="1">
      <alignment horizontal="right" vertical="center"/>
      <protection hidden="1"/>
    </xf>
    <xf numFmtId="0" fontId="47" fillId="5" borderId="0" xfId="0" applyFont="1" applyFill="1" applyBorder="1" applyAlignment="1" applyProtection="1">
      <alignment horizontal="right" vertical="center"/>
      <protection hidden="1"/>
    </xf>
    <xf numFmtId="0" fontId="47" fillId="5" borderId="0" xfId="0" applyFont="1" applyFill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6" fillId="7" borderId="4" xfId="0" applyFont="1" applyFill="1" applyBorder="1" applyAlignment="1" applyProtection="1">
      <alignment horizontal="right" vertical="center"/>
      <protection hidden="1"/>
    </xf>
    <xf numFmtId="0" fontId="47" fillId="5" borderId="0" xfId="0" applyFont="1" applyFill="1" applyAlignment="1">
      <alignment vertical="center"/>
    </xf>
    <xf numFmtId="0" fontId="3" fillId="0" borderId="0" xfId="0" applyFont="1"/>
    <xf numFmtId="0" fontId="10" fillId="5" borderId="0" xfId="0" applyFont="1" applyFill="1" applyAlignment="1" applyProtection="1">
      <protection hidden="1"/>
    </xf>
    <xf numFmtId="0" fontId="33" fillId="5" borderId="0" xfId="0" applyFont="1" applyFill="1" applyAlignment="1" applyProtection="1">
      <alignment vertical="center"/>
      <protection hidden="1"/>
    </xf>
    <xf numFmtId="0" fontId="38" fillId="5" borderId="0" xfId="0" applyFont="1" applyFill="1" applyAlignment="1" applyProtection="1">
      <protection hidden="1"/>
    </xf>
    <xf numFmtId="0" fontId="50" fillId="5" borderId="0" xfId="0" applyFont="1" applyFill="1" applyAlignment="1" applyProtection="1">
      <protection hidden="1"/>
    </xf>
    <xf numFmtId="0" fontId="38" fillId="5" borderId="0" xfId="0" applyNumberFormat="1" applyFont="1" applyFill="1" applyBorder="1" applyAlignment="1" applyProtection="1">
      <alignment horizontal="center" vertical="center"/>
      <protection hidden="1"/>
    </xf>
    <xf numFmtId="0" fontId="51" fillId="0" borderId="0" xfId="0" applyFont="1" applyAlignment="1">
      <alignment vertical="center"/>
    </xf>
    <xf numFmtId="0" fontId="52" fillId="5" borderId="0" xfId="0" applyFont="1" applyFill="1" applyProtection="1">
      <protection hidden="1"/>
    </xf>
    <xf numFmtId="0" fontId="53" fillId="0" borderId="0" xfId="0" applyFont="1" applyAlignment="1">
      <alignment horizontal="left"/>
    </xf>
    <xf numFmtId="0" fontId="55" fillId="5" borderId="0" xfId="0" applyFont="1" applyFill="1" applyProtection="1">
      <protection hidden="1"/>
    </xf>
    <xf numFmtId="0" fontId="47" fillId="0" borderId="0" xfId="0" applyFont="1"/>
    <xf numFmtId="0" fontId="56" fillId="5" borderId="0" xfId="0" applyFont="1" applyFill="1" applyAlignment="1" applyProtection="1">
      <alignment horizontal="right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left" vertical="center"/>
      <protection hidden="1"/>
    </xf>
    <xf numFmtId="0" fontId="25" fillId="4" borderId="0" xfId="0" applyFont="1" applyFill="1" applyAlignment="1" applyProtection="1">
      <alignment horizontal="right"/>
      <protection hidden="1"/>
    </xf>
    <xf numFmtId="0" fontId="0" fillId="4" borderId="0" xfId="0" applyFill="1" applyAlignment="1" applyProtection="1">
      <alignment vertical="center"/>
      <protection hidden="1"/>
    </xf>
    <xf numFmtId="0" fontId="3" fillId="5" borderId="16" xfId="0" applyFont="1" applyFill="1" applyBorder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left"/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dif medias c_vzas desconocidas'!A1"/><Relationship Id="rId13" Type="http://schemas.openxmlformats.org/officeDocument/2006/relationships/hyperlink" Target="#normalidad!A1"/><Relationship Id="rId3" Type="http://schemas.openxmlformats.org/officeDocument/2006/relationships/hyperlink" Target="#'p_mu c_vza conocida'!A1"/><Relationship Id="rId7" Type="http://schemas.openxmlformats.org/officeDocument/2006/relationships/hyperlink" Target="#'dif medias c_vzas conocidas'!A1"/><Relationship Id="rId12" Type="http://schemas.openxmlformats.org/officeDocument/2006/relationships/hyperlink" Target="#rho!A1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hyperlink" Target="#'dif apareadas'!A1"/><Relationship Id="rId11" Type="http://schemas.openxmlformats.org/officeDocument/2006/relationships/hyperlink" Target="#'tabla de 2 x 2'!A1"/><Relationship Id="rId5" Type="http://schemas.openxmlformats.org/officeDocument/2006/relationships/hyperlink" Target="#'p_una proporci&#243;n'!A1"/><Relationship Id="rId10" Type="http://schemas.openxmlformats.org/officeDocument/2006/relationships/hyperlink" Target="#'bondad de ajuste'!A1"/><Relationship Id="rId4" Type="http://schemas.openxmlformats.org/officeDocument/2006/relationships/hyperlink" Target="#'p_mu c_vza desconocida'!A1"/><Relationship Id="rId9" Type="http://schemas.openxmlformats.org/officeDocument/2006/relationships/hyperlink" Target="#'dif proporciones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180181</xdr:colOff>
      <xdr:row>2</xdr:row>
      <xdr:rowOff>133350</xdr:rowOff>
    </xdr:from>
    <xdr:to>
      <xdr:col>4</xdr:col>
      <xdr:colOff>201076</xdr:colOff>
      <xdr:row>7</xdr:row>
      <xdr:rowOff>304032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lum bright="40000" contrast="40000"/>
        </a:blip>
        <a:stretch>
          <a:fillRect/>
        </a:stretch>
      </xdr:blipFill>
      <xdr:spPr>
        <a:xfrm>
          <a:off x="8457406" y="609600"/>
          <a:ext cx="1963995" cy="157085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4</xdr:col>
      <xdr:colOff>208268</xdr:colOff>
      <xdr:row>4</xdr:row>
      <xdr:rowOff>34701</xdr:rowOff>
    </xdr:from>
    <xdr:to>
      <xdr:col>5</xdr:col>
      <xdr:colOff>552147</xdr:colOff>
      <xdr:row>12</xdr:row>
      <xdr:rowOff>29859</xdr:rowOff>
    </xdr:to>
    <xdr:sp macro="" textlink="">
      <xdr:nvSpPr>
        <xdr:cNvPr id="11" name="Flecha curvada hacia arriba 10"/>
        <xdr:cNvSpPr/>
      </xdr:nvSpPr>
      <xdr:spPr>
        <a:xfrm rot="16200000">
          <a:off x="9574254" y="1765340"/>
          <a:ext cx="2814558" cy="1105879"/>
        </a:xfrm>
        <a:prstGeom prst="curvedUpArrow">
          <a:avLst>
            <a:gd name="adj1" fmla="val 21172"/>
            <a:gd name="adj2" fmla="val 51351"/>
            <a:gd name="adj3" fmla="val 30882"/>
          </a:avLst>
        </a:prstGeom>
        <a:solidFill>
          <a:schemeClr val="tx1">
            <a:lumMod val="65000"/>
            <a:lumOff val="35000"/>
          </a:schemeClr>
        </a:solidFill>
        <a:ln>
          <a:solidFill>
            <a:srgbClr val="7030A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665559</xdr:colOff>
      <xdr:row>10</xdr:row>
      <xdr:rowOff>247650</xdr:rowOff>
    </xdr:from>
    <xdr:to>
      <xdr:col>4</xdr:col>
      <xdr:colOff>361118</xdr:colOff>
      <xdr:row>13</xdr:row>
      <xdr:rowOff>33770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lum bright="40000" contrast="40000"/>
        </a:blip>
        <a:stretch>
          <a:fillRect/>
        </a:stretch>
      </xdr:blipFill>
      <xdr:spPr>
        <a:xfrm>
          <a:off x="9704387" y="3204369"/>
          <a:ext cx="876262" cy="85768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3920</xdr:colOff>
      <xdr:row>3</xdr:row>
      <xdr:rowOff>143644</xdr:rowOff>
    </xdr:from>
    <xdr:to>
      <xdr:col>0</xdr:col>
      <xdr:colOff>5259920</xdr:colOff>
      <xdr:row>4</xdr:row>
      <xdr:rowOff>316365</xdr:rowOff>
    </xdr:to>
    <xdr:sp macro="" textlink="">
      <xdr:nvSpPr>
        <xdr:cNvPr id="3" name="CuadroTexto 2">
          <a:hlinkClick xmlns:r="http://schemas.openxmlformats.org/officeDocument/2006/relationships" r:id="rId3"/>
        </xdr:cNvPr>
        <xdr:cNvSpPr txBox="1">
          <a:spLocks/>
        </xdr:cNvSpPr>
      </xdr:nvSpPr>
      <xdr:spPr>
        <a:xfrm>
          <a:off x="3920" y="810394"/>
          <a:ext cx="5256000" cy="32512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>
              <a:solidFill>
                <a:srgbClr val="FF0000"/>
              </a:solidFill>
            </a:rPr>
            <a:t>a) </a:t>
          </a:r>
          <a:r>
            <a:rPr lang="es-AR" sz="1600" b="1">
              <a:solidFill>
                <a:srgbClr val="0070C0"/>
              </a:solidFill>
            </a:rPr>
            <a:t>PRUEBA DE HIPÓTESIS PARA</a:t>
          </a:r>
          <a:r>
            <a:rPr lang="es-AR" sz="1600" b="1" baseline="0">
              <a:solidFill>
                <a:srgbClr val="0070C0"/>
              </a:solidFill>
            </a:rPr>
            <a:t> </a:t>
          </a:r>
          <a:r>
            <a:rPr lang="es-AR" sz="1600" b="1" baseline="0">
              <a:solidFill>
                <a:srgbClr val="0070C0"/>
              </a:solidFill>
              <a:sym typeface="Symbol" panose="05050102010706020507" pitchFamily="18" charset="2"/>
            </a:rPr>
            <a:t> CUANDO ² ES CONOCIDA</a:t>
          </a:r>
          <a:endParaRPr lang="es-AR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331435</xdr:rowOff>
    </xdr:from>
    <xdr:to>
      <xdr:col>0</xdr:col>
      <xdr:colOff>5616000</xdr:colOff>
      <xdr:row>5</xdr:row>
      <xdr:rowOff>302449</xdr:rowOff>
    </xdr:to>
    <xdr:sp macro="" textlink="">
      <xdr:nvSpPr>
        <xdr:cNvPr id="6" name="CuadroTexto 5">
          <a:hlinkClick xmlns:r="http://schemas.openxmlformats.org/officeDocument/2006/relationships" r:id="rId4"/>
        </xdr:cNvPr>
        <xdr:cNvSpPr txBox="1"/>
      </xdr:nvSpPr>
      <xdr:spPr>
        <a:xfrm>
          <a:off x="0" y="1150585"/>
          <a:ext cx="5616000" cy="32343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b)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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 CUANDO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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² ES DESCONOCIDA</a:t>
          </a:r>
        </a:p>
      </xdr:txBody>
    </xdr:sp>
    <xdr:clientData/>
  </xdr:twoCellAnchor>
  <xdr:twoCellAnchor>
    <xdr:from>
      <xdr:col>0</xdr:col>
      <xdr:colOff>0</xdr:colOff>
      <xdr:row>5</xdr:row>
      <xdr:rowOff>310435</xdr:rowOff>
    </xdr:from>
    <xdr:to>
      <xdr:col>0</xdr:col>
      <xdr:colOff>2988000</xdr:colOff>
      <xdr:row>6</xdr:row>
      <xdr:rowOff>282010</xdr:rowOff>
    </xdr:to>
    <xdr:sp macro="" textlink="">
      <xdr:nvSpPr>
        <xdr:cNvPr id="7" name="CuadroTexto 6">
          <a:hlinkClick xmlns:r="http://schemas.openxmlformats.org/officeDocument/2006/relationships" r:id="rId5"/>
        </xdr:cNvPr>
        <xdr:cNvSpPr txBox="1"/>
      </xdr:nvSpPr>
      <xdr:spPr>
        <a:xfrm>
          <a:off x="0" y="1482010"/>
          <a:ext cx="2988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c)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</a:t>
          </a:r>
          <a:endParaRPr lang="es-AR" sz="16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6</xdr:row>
      <xdr:rowOff>294199</xdr:rowOff>
    </xdr:from>
    <xdr:to>
      <xdr:col>0</xdr:col>
      <xdr:colOff>7956000</xdr:colOff>
      <xdr:row>7</xdr:row>
      <xdr:rowOff>265775</xdr:rowOff>
    </xdr:to>
    <xdr:sp macro="" textlink="">
      <xdr:nvSpPr>
        <xdr:cNvPr id="8" name="CuadroTexto 7">
          <a:hlinkClick xmlns:r="http://schemas.openxmlformats.org/officeDocument/2006/relationships" r:id="rId6"/>
        </xdr:cNvPr>
        <xdr:cNvSpPr txBox="1"/>
      </xdr:nvSpPr>
      <xdr:spPr>
        <a:xfrm>
          <a:off x="0" y="1818199"/>
          <a:ext cx="7956000" cy="3240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d)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MUESTRAS NO INDEPENDIENTES: DIFERENCIAS APAREADAS</a:t>
          </a:r>
        </a:p>
      </xdr:txBody>
    </xdr:sp>
    <xdr:clientData/>
  </xdr:twoCellAnchor>
  <xdr:twoCellAnchor>
    <xdr:from>
      <xdr:col>0</xdr:col>
      <xdr:colOff>0</xdr:colOff>
      <xdr:row>7</xdr:row>
      <xdr:rowOff>281887</xdr:rowOff>
    </xdr:from>
    <xdr:to>
      <xdr:col>3</xdr:col>
      <xdr:colOff>26775</xdr:colOff>
      <xdr:row>8</xdr:row>
      <xdr:rowOff>253462</xdr:rowOff>
    </xdr:to>
    <xdr:sp macro="" textlink="">
      <xdr:nvSpPr>
        <xdr:cNvPr id="9" name="CuadroTexto 8">
          <a:hlinkClick xmlns:r="http://schemas.openxmlformats.org/officeDocument/2006/relationships" r:id="rId7"/>
        </xdr:cNvPr>
        <xdr:cNvSpPr txBox="1"/>
      </xdr:nvSpPr>
      <xdr:spPr>
        <a:xfrm>
          <a:off x="0" y="2158312"/>
          <a:ext cx="9828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e)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LA DIFERENCIA DE MEDIAS [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₁ - ₂] CON VARIANZAS POBLACIONALES CONOCIDAS</a:t>
          </a:r>
          <a:endParaRPr lang="es-AR" sz="16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3918</xdr:colOff>
      <xdr:row>8</xdr:row>
      <xdr:rowOff>265927</xdr:rowOff>
    </xdr:from>
    <xdr:to>
      <xdr:col>3</xdr:col>
      <xdr:colOff>318693</xdr:colOff>
      <xdr:row>9</xdr:row>
      <xdr:rowOff>237502</xdr:rowOff>
    </xdr:to>
    <xdr:sp macro="" textlink="">
      <xdr:nvSpPr>
        <xdr:cNvPr id="10" name="CuadroTexto 9">
          <a:hlinkClick xmlns:r="http://schemas.openxmlformats.org/officeDocument/2006/relationships" r:id="rId8"/>
        </xdr:cNvPr>
        <xdr:cNvSpPr txBox="1"/>
      </xdr:nvSpPr>
      <xdr:spPr>
        <a:xfrm>
          <a:off x="3918" y="2494777"/>
          <a:ext cx="10116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f)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LA DIFERENCIA DE MEDIAS [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₁ - ₂] CON VARIANZAS POBLACIONALES DESCONOCIDAS</a:t>
          </a:r>
          <a:endParaRPr lang="es-AR" sz="16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9</xdr:row>
      <xdr:rowOff>250818</xdr:rowOff>
    </xdr:from>
    <xdr:to>
      <xdr:col>0</xdr:col>
      <xdr:colOff>6480000</xdr:colOff>
      <xdr:row>10</xdr:row>
      <xdr:rowOff>222393</xdr:rowOff>
    </xdr:to>
    <xdr:sp macro="" textlink="">
      <xdr:nvSpPr>
        <xdr:cNvPr id="12" name="CuadroTexto 11">
          <a:hlinkClick xmlns:r="http://schemas.openxmlformats.org/officeDocument/2006/relationships" r:id="rId9"/>
        </xdr:cNvPr>
        <xdr:cNvSpPr txBox="1"/>
      </xdr:nvSpPr>
      <xdr:spPr>
        <a:xfrm>
          <a:off x="0" y="2832093"/>
          <a:ext cx="6480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g)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LA DIFERENCIA DE PROPORCIONES [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₁ - ₂]</a:t>
          </a:r>
          <a:endParaRPr lang="es-AR" sz="16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10</xdr:row>
      <xdr:rowOff>232916</xdr:rowOff>
    </xdr:from>
    <xdr:to>
      <xdr:col>0</xdr:col>
      <xdr:colOff>3168000</xdr:colOff>
      <xdr:row>11</xdr:row>
      <xdr:rowOff>204492</xdr:rowOff>
    </xdr:to>
    <xdr:sp macro="" textlink="">
      <xdr:nvSpPr>
        <xdr:cNvPr id="13" name="CuadroTexto 12">
          <a:hlinkClick xmlns:r="http://schemas.openxmlformats.org/officeDocument/2006/relationships" r:id="rId10"/>
        </xdr:cNvPr>
        <xdr:cNvSpPr txBox="1"/>
      </xdr:nvSpPr>
      <xdr:spPr>
        <a:xfrm>
          <a:off x="0" y="3166616"/>
          <a:ext cx="3168000" cy="3240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h)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BONDAD DE AJUSTE</a:t>
          </a:r>
        </a:p>
      </xdr:txBody>
    </xdr:sp>
    <xdr:clientData/>
  </xdr:twoCellAnchor>
  <xdr:twoCellAnchor>
    <xdr:from>
      <xdr:col>0</xdr:col>
      <xdr:colOff>0</xdr:colOff>
      <xdr:row>11</xdr:row>
      <xdr:rowOff>212219</xdr:rowOff>
    </xdr:from>
    <xdr:to>
      <xdr:col>0</xdr:col>
      <xdr:colOff>3276000</xdr:colOff>
      <xdr:row>12</xdr:row>
      <xdr:rowOff>183793</xdr:rowOff>
    </xdr:to>
    <xdr:sp macro="" textlink="">
      <xdr:nvSpPr>
        <xdr:cNvPr id="14" name="CuadroTexto 13">
          <a:hlinkClick xmlns:r="http://schemas.openxmlformats.org/officeDocument/2006/relationships" r:id="rId11"/>
        </xdr:cNvPr>
        <xdr:cNvSpPr txBox="1"/>
      </xdr:nvSpPr>
      <xdr:spPr>
        <a:xfrm>
          <a:off x="0" y="3498344"/>
          <a:ext cx="3276000" cy="32399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i)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TABLA DE CONTINGENCIA DE 2 × 2</a:t>
          </a:r>
        </a:p>
      </xdr:txBody>
    </xdr:sp>
    <xdr:clientData/>
  </xdr:twoCellAnchor>
  <xdr:twoCellAnchor>
    <xdr:from>
      <xdr:col>0</xdr:col>
      <xdr:colOff>0</xdr:colOff>
      <xdr:row>12</xdr:row>
      <xdr:rowOff>191068</xdr:rowOff>
    </xdr:from>
    <xdr:to>
      <xdr:col>0</xdr:col>
      <xdr:colOff>3924000</xdr:colOff>
      <xdr:row>13</xdr:row>
      <xdr:rowOff>162643</xdr:rowOff>
    </xdr:to>
    <xdr:sp macro="" textlink="">
      <xdr:nvSpPr>
        <xdr:cNvPr id="17" name="CuadroTexto 16">
          <a:hlinkClick xmlns:r="http://schemas.openxmlformats.org/officeDocument/2006/relationships" r:id="rId12"/>
        </xdr:cNvPr>
        <xdr:cNvSpPr txBox="1"/>
      </xdr:nvSpPr>
      <xdr:spPr>
        <a:xfrm>
          <a:off x="0" y="3829618"/>
          <a:ext cx="3924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j)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 DE HIPÓTESIS PARA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  <a:sym typeface="Symbol" panose="05050102010706020507" pitchFamily="18" charset="2"/>
            </a:rPr>
            <a:t> (PEARSON)</a:t>
          </a:r>
          <a:endParaRPr lang="es-AR" sz="16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13</xdr:row>
      <xdr:rowOff>174614</xdr:rowOff>
    </xdr:from>
    <xdr:to>
      <xdr:col>0</xdr:col>
      <xdr:colOff>2772000</xdr:colOff>
      <xdr:row>15</xdr:row>
      <xdr:rowOff>41414</xdr:rowOff>
    </xdr:to>
    <xdr:sp macro="" textlink="">
      <xdr:nvSpPr>
        <xdr:cNvPr id="16" name="CuadroTexto 15">
          <a:hlinkClick xmlns:r="http://schemas.openxmlformats.org/officeDocument/2006/relationships" r:id="rId13"/>
        </xdr:cNvPr>
        <xdr:cNvSpPr txBox="1"/>
      </xdr:nvSpPr>
      <xdr:spPr>
        <a:xfrm>
          <a:off x="0" y="4165589"/>
          <a:ext cx="2772000" cy="324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AR" sz="16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k) </a:t>
          </a:r>
          <a:r>
            <a:rPr lang="es-AR" sz="16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PRUEBAS DE NORMALIDAD </a:t>
          </a:r>
        </a:p>
      </xdr:txBody>
    </xdr:sp>
    <xdr:clientData/>
  </xdr:twoCellAnchor>
  <xdr:oneCellAnchor>
    <xdr:from>
      <xdr:col>0</xdr:col>
      <xdr:colOff>5943600</xdr:colOff>
      <xdr:row>7</xdr:row>
      <xdr:rowOff>42862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1919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2</xdr:row>
      <xdr:rowOff>36150</xdr:rowOff>
    </xdr:to>
    <xdr:pic>
      <xdr:nvPicPr>
        <xdr:cNvPr id="3" name="Imagen 2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6</xdr:col>
      <xdr:colOff>361950</xdr:colOff>
      <xdr:row>7</xdr:row>
      <xdr:rowOff>33337</xdr:rowOff>
    </xdr:from>
    <xdr:ext cx="312714" cy="25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552950" y="1843087"/>
              <a:ext cx="312714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𝛘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  <m:sup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552950" y="1843087"/>
              <a:ext cx="312714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𝛘_(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r>
                <a:rPr lang="es-ES" sz="1400" b="1" i="0">
                  <a:latin typeface="Cambria Math" panose="02040503050406030204" pitchFamily="18" charset="0"/>
                </a:rPr>
                <a:t>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0</xdr:colOff>
      <xdr:row>9</xdr:row>
      <xdr:rowOff>23812</xdr:rowOff>
    </xdr:from>
    <xdr:ext cx="657168" cy="25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4191000" y="2081212"/>
              <a:ext cx="657168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AR" sz="1400" b="1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𝛘</m:t>
                      </m:r>
                    </m:e>
                    <m:sub>
                      <m:sSub>
                        <m:sSubPr>
                          <m:ctrlPr>
                            <a:rPr lang="es-AR" sz="1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400" b="1" i="0">
                              <a:latin typeface="Cambria Math" panose="02040503050406030204" pitchFamily="18" charset="0"/>
                            </a:rPr>
                            <m:t>𝐇</m:t>
                          </m:r>
                        </m:e>
                        <m:sub>
                          <m:r>
                            <a:rPr lang="es-ES" sz="14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</m:sub>
                    <m:sup>
                      <m:r>
                        <a:rPr lang="es-ES" sz="1400" b="1" i="0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  <m:r>
                    <a:rPr lang="es-ES" sz="1400" b="1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AR" sz="1400" b="1" i="0" baseline="-25000"/>
                <a:t>(Yates)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191000" y="2081212"/>
              <a:ext cx="657168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𝛘_(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r>
                <a:rPr lang="es-ES" sz="1400" b="1" i="0">
                  <a:latin typeface="Cambria Math" panose="02040503050406030204" pitchFamily="18" charset="0"/>
                </a:rPr>
                <a:t>^𝟐  </a:t>
              </a:r>
              <a:r>
                <a:rPr lang="es-AR" sz="1400" b="1" i="0" baseline="-25000"/>
                <a:t>(Yates)</a:t>
              </a: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323850</xdr:colOff>
      <xdr:row>6</xdr:row>
      <xdr:rowOff>19050</xdr:rowOff>
    </xdr:from>
    <xdr:ext cx="289631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752475" y="1571625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52475" y="1571625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295275</xdr:colOff>
      <xdr:row>16</xdr:row>
      <xdr:rowOff>19050</xdr:rowOff>
    </xdr:from>
    <xdr:ext cx="31874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428875" y="266700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428875" y="266700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390525</xdr:colOff>
      <xdr:row>16</xdr:row>
      <xdr:rowOff>242887</xdr:rowOff>
    </xdr:from>
    <xdr:ext cx="24500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2552700" y="3338512"/>
              <a:ext cx="2450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𝛍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𝐙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2552700" y="3338512"/>
              <a:ext cx="2450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𝛍_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𝐙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381000</xdr:colOff>
      <xdr:row>19</xdr:row>
      <xdr:rowOff>19050</xdr:rowOff>
    </xdr:from>
    <xdr:ext cx="24500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762000" y="3895725"/>
              <a:ext cx="2450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𝛔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𝐙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762000" y="3895725"/>
              <a:ext cx="24500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𝛔_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𝐙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457200</xdr:colOff>
      <xdr:row>16</xdr:row>
      <xdr:rowOff>23812</xdr:rowOff>
    </xdr:from>
    <xdr:ext cx="1449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838200" y="3043237"/>
              <a:ext cx="1449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0">
                        <a:latin typeface="Cambria Math" panose="02040503050406030204" pitchFamily="18" charset="0"/>
                      </a:rPr>
                      <m:t>𝐙</m:t>
                    </m:r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38200" y="3043237"/>
              <a:ext cx="1449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0</xdr:rowOff>
    </xdr:from>
    <xdr:ext cx="349262" cy="268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5448300" y="714375"/>
              <a:ext cx="349262" cy="268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6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1" i="0">
                                <a:latin typeface="Cambria Math" panose="02040503050406030204" pitchFamily="18" charset="0"/>
                              </a:rPr>
                              <m:t>𝐀</m:t>
                            </m:r>
                          </m:e>
                          <m:sub>
                            <m:r>
                              <a:rPr lang="es-ES" sz="1600" b="1" i="0">
                                <a:latin typeface="Cambria Math" panose="02040503050406030204" pitchFamily="18" charset="0"/>
                              </a:rPr>
                              <m:t>𝐒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6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448300" y="714375"/>
              <a:ext cx="349262" cy="268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𝐙</a:t>
              </a:r>
              <a:r>
                <a:rPr lang="es-AR" sz="1600" b="1" i="0">
                  <a:latin typeface="Cambria Math" panose="02040503050406030204" pitchFamily="18" charset="0"/>
                </a:rPr>
                <a:t>_(</a:t>
              </a:r>
              <a:r>
                <a:rPr lang="es-ES" sz="1600" b="1" i="0">
                  <a:latin typeface="Cambria Math" panose="02040503050406030204" pitchFamily="18" charset="0"/>
                </a:rPr>
                <a:t>𝐀</a:t>
              </a:r>
              <a:r>
                <a:rPr lang="es-AR" sz="1600" b="1" i="0"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latin typeface="Cambria Math" panose="02040503050406030204" pitchFamily="18" charset="0"/>
                </a:rPr>
                <a:t>𝐒 </a:t>
              </a:r>
              <a:r>
                <a:rPr lang="es-AR" sz="1600" b="1" i="0">
                  <a:latin typeface="Cambria Math" panose="02040503050406030204" pitchFamily="18" charset="0"/>
                </a:rPr>
                <a:t>)</a:t>
              </a:r>
              <a:endParaRPr lang="es-AR" sz="1600" b="1" i="0"/>
            </a:p>
          </xdr:txBody>
        </xdr:sp>
      </mc:Fallback>
    </mc:AlternateContent>
    <xdr:clientData/>
  </xdr:oneCellAnchor>
  <xdr:oneCellAnchor>
    <xdr:from>
      <xdr:col>7</xdr:col>
      <xdr:colOff>57150</xdr:colOff>
      <xdr:row>6</xdr:row>
      <xdr:rowOff>0</xdr:rowOff>
    </xdr:from>
    <xdr:ext cx="363753" cy="268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5457825" y="1209675"/>
              <a:ext cx="363753" cy="268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6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600" b="1" i="0">
                                <a:latin typeface="Cambria Math" panose="02040503050406030204" pitchFamily="18" charset="0"/>
                              </a:rPr>
                              <m:t>𝐂</m:t>
                            </m:r>
                          </m:e>
                          <m:sub>
                            <m:r>
                              <a:rPr lang="es-ES" sz="1600" b="1" i="0">
                                <a:latin typeface="Cambria Math" panose="02040503050406030204" pitchFamily="18" charset="0"/>
                              </a:rPr>
                              <m:t>𝐔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6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457825" y="1209675"/>
              <a:ext cx="363753" cy="268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𝐙</a:t>
              </a:r>
              <a:r>
                <a:rPr lang="es-AR" sz="1600" b="1" i="0">
                  <a:latin typeface="Cambria Math" panose="02040503050406030204" pitchFamily="18" charset="0"/>
                </a:rPr>
                <a:t>_(</a:t>
              </a:r>
              <a:r>
                <a:rPr lang="es-ES" sz="1600" b="1" i="0">
                  <a:latin typeface="Cambria Math" panose="02040503050406030204" pitchFamily="18" charset="0"/>
                </a:rPr>
                <a:t>𝐂</a:t>
              </a:r>
              <a:r>
                <a:rPr lang="es-AR" sz="1600" b="1" i="0">
                  <a:latin typeface="Cambria Math" panose="02040503050406030204" pitchFamily="18" charset="0"/>
                </a:rPr>
                <a:t>_</a:t>
              </a:r>
              <a:r>
                <a:rPr lang="es-ES" sz="1600" b="1" i="0">
                  <a:latin typeface="Cambria Math" panose="02040503050406030204" pitchFamily="18" charset="0"/>
                </a:rPr>
                <a:t>𝐔 </a:t>
              </a:r>
              <a:r>
                <a:rPr lang="es-AR" sz="1600" b="1" i="0">
                  <a:latin typeface="Cambria Math" panose="02040503050406030204" pitchFamily="18" charset="0"/>
                </a:rPr>
                <a:t>)</a:t>
              </a:r>
              <a:endParaRPr lang="es-AR" sz="1600" b="1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5</xdr:row>
      <xdr:rowOff>23812</xdr:rowOff>
    </xdr:from>
    <xdr:ext cx="31874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247900" y="1281112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247900" y="1281112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0</xdr:row>
      <xdr:rowOff>0</xdr:rowOff>
    </xdr:from>
    <xdr:to>
      <xdr:col>0</xdr:col>
      <xdr:colOff>360001</xdr:colOff>
      <xdr:row>1</xdr:row>
      <xdr:rowOff>93300</xdr:rowOff>
    </xdr:to>
    <xdr:pic>
      <xdr:nvPicPr>
        <xdr:cNvPr id="5" name="Imagen 4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247650</xdr:colOff>
      <xdr:row>8</xdr:row>
      <xdr:rowOff>119062</xdr:rowOff>
    </xdr:from>
    <xdr:ext cx="235962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628650" y="2119312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28650" y="2119312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200025</xdr:colOff>
      <xdr:row>8</xdr:row>
      <xdr:rowOff>242887</xdr:rowOff>
    </xdr:from>
    <xdr:ext cx="2403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257425" y="2624137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257425" y="2624137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18</xdr:row>
      <xdr:rowOff>33337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800100" y="3367087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00100" y="3367087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20</xdr:row>
      <xdr:rowOff>28575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800100" y="3667125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00100" y="3667125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21</xdr:row>
      <xdr:rowOff>28575</xdr:rowOff>
    </xdr:from>
    <xdr:ext cx="244491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800100" y="3952875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00100" y="3952875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238125</xdr:colOff>
      <xdr:row>18</xdr:row>
      <xdr:rowOff>19050</xdr:rowOff>
    </xdr:from>
    <xdr:ext cx="2345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295525" y="3067050"/>
              <a:ext cx="2345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295525" y="3067050"/>
              <a:ext cx="2345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238125</xdr:colOff>
      <xdr:row>20</xdr:row>
      <xdr:rowOff>28575</xdr:rowOff>
    </xdr:from>
    <xdr:ext cx="23076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2295525" y="3381375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295525" y="3381375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238125</xdr:colOff>
      <xdr:row>21</xdr:row>
      <xdr:rowOff>38100</xdr:rowOff>
    </xdr:from>
    <xdr:ext cx="23076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2295525" y="3638550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295525" y="3638550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47625</xdr:colOff>
      <xdr:row>14</xdr:row>
      <xdr:rowOff>9525</xdr:rowOff>
    </xdr:from>
    <xdr:ext cx="156133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3600450" y="2733675"/>
              <a:ext cx="15613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𝒅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600450" y="2733675"/>
              <a:ext cx="156133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𝒅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5</xdr:row>
      <xdr:rowOff>19050</xdr:rowOff>
    </xdr:from>
    <xdr:ext cx="289631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209800" y="133350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209800" y="133350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1</xdr:rowOff>
    </xdr:from>
    <xdr:to>
      <xdr:col>0</xdr:col>
      <xdr:colOff>360000</xdr:colOff>
      <xdr:row>1</xdr:row>
      <xdr:rowOff>93301</xdr:rowOff>
    </xdr:to>
    <xdr:pic>
      <xdr:nvPicPr>
        <xdr:cNvPr id="5" name="Imagen 4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276225</xdr:colOff>
      <xdr:row>8</xdr:row>
      <xdr:rowOff>42862</xdr:rowOff>
    </xdr:from>
    <xdr:ext cx="206851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57225" y="1852612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57225" y="1852612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𝐭_(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242887</xdr:rowOff>
    </xdr:from>
    <xdr:ext cx="21121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286000" y="2357437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286000" y="2357437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𝐭_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18</xdr:row>
      <xdr:rowOff>33337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800100" y="3367087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00100" y="3367087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20</xdr:row>
      <xdr:rowOff>28575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800100" y="3667125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00100" y="3667125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21</xdr:row>
      <xdr:rowOff>28575</xdr:rowOff>
    </xdr:from>
    <xdr:ext cx="244491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800100" y="3914775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00100" y="3914775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257175</xdr:colOff>
      <xdr:row>18</xdr:row>
      <xdr:rowOff>14287</xdr:rowOff>
    </xdr:from>
    <xdr:ext cx="2003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314575" y="3348037"/>
              <a:ext cx="2003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14575" y="3348037"/>
              <a:ext cx="2003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257175</xdr:colOff>
      <xdr:row>20</xdr:row>
      <xdr:rowOff>28575</xdr:rowOff>
    </xdr:from>
    <xdr:ext cx="2016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2314575" y="3667125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314575" y="3667125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257175</xdr:colOff>
      <xdr:row>21</xdr:row>
      <xdr:rowOff>38100</xdr:rowOff>
    </xdr:from>
    <xdr:ext cx="2016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2314575" y="392430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314575" y="392430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38100</xdr:colOff>
      <xdr:row>14</xdr:row>
      <xdr:rowOff>9525</xdr:rowOff>
    </xdr:from>
    <xdr:ext cx="15613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3590925" y="27336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𝒅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3590925" y="27336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𝒅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</xdr:row>
      <xdr:rowOff>9525</xdr:rowOff>
    </xdr:from>
    <xdr:ext cx="31874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038350" y="12382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038350" y="12382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 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4" name="Imagen 3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247650</xdr:colOff>
      <xdr:row>9</xdr:row>
      <xdr:rowOff>233362</xdr:rowOff>
    </xdr:from>
    <xdr:ext cx="235962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28650" y="2481262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28650" y="2481262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200025</xdr:colOff>
      <xdr:row>9</xdr:row>
      <xdr:rowOff>242887</xdr:rowOff>
    </xdr:from>
    <xdr:ext cx="23596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257425" y="2490787"/>
              <a:ext cx="2359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257425" y="2490787"/>
              <a:ext cx="23596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409575</xdr:colOff>
      <xdr:row>18</xdr:row>
      <xdr:rowOff>33337</xdr:rowOff>
    </xdr:from>
    <xdr:ext cx="24166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790575" y="3205162"/>
              <a:ext cx="24166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790575" y="3205162"/>
              <a:ext cx="24166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𝐩 ̂_𝐂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409575</xdr:colOff>
      <xdr:row>20</xdr:row>
      <xdr:rowOff>28575</xdr:rowOff>
    </xdr:from>
    <xdr:ext cx="23788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790575" y="3743325"/>
              <a:ext cx="2378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790575" y="3743325"/>
              <a:ext cx="2378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𝐩 ̂_𝟏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28575</xdr:rowOff>
    </xdr:from>
    <xdr:ext cx="23788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790575" y="3990975"/>
              <a:ext cx="2378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790575" y="3990975"/>
              <a:ext cx="23788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𝐩 ̂_𝟐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228600</xdr:colOff>
      <xdr:row>18</xdr:row>
      <xdr:rowOff>19050</xdr:rowOff>
    </xdr:from>
    <xdr:ext cx="2294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2286000" y="3429000"/>
              <a:ext cx="2294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286000" y="3429000"/>
              <a:ext cx="2294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228600</xdr:colOff>
      <xdr:row>20</xdr:row>
      <xdr:rowOff>19050</xdr:rowOff>
    </xdr:from>
    <xdr:ext cx="23076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2286000" y="3733800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286000" y="3733800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219075</xdr:colOff>
      <xdr:row>21</xdr:row>
      <xdr:rowOff>47625</xdr:rowOff>
    </xdr:from>
    <xdr:ext cx="23076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2276475" y="4010025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2276475" y="4010025"/>
              <a:ext cx="23076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485775</xdr:colOff>
      <xdr:row>6</xdr:row>
      <xdr:rowOff>4762</xdr:rowOff>
    </xdr:from>
    <xdr:ext cx="1504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66775" y="1509712"/>
              <a:ext cx="1504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𝐩</m:t>
                        </m:r>
                      </m:e>
                    </m:acc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66775" y="1509712"/>
              <a:ext cx="1504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/>
            </a:p>
          </xdr:txBody>
        </xdr:sp>
      </mc:Fallback>
    </mc:AlternateContent>
    <xdr:clientData/>
  </xdr:oneCellAnchor>
  <xdr:oneCellAnchor>
    <xdr:from>
      <xdr:col>1</xdr:col>
      <xdr:colOff>161925</xdr:colOff>
      <xdr:row>7</xdr:row>
      <xdr:rowOff>19050</xdr:rowOff>
    </xdr:from>
    <xdr:ext cx="47173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542925" y="1771650"/>
              <a:ext cx="4717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𝐩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42925" y="1771650"/>
              <a:ext cx="4717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𝟏−𝐩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6</xdr:col>
      <xdr:colOff>142875</xdr:colOff>
      <xdr:row>14</xdr:row>
      <xdr:rowOff>9525</xdr:rowOff>
    </xdr:from>
    <xdr:ext cx="15613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3571875" y="37242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𝒅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571875" y="37242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𝒅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2</xdr:row>
      <xdr:rowOff>14287</xdr:rowOff>
    </xdr:from>
    <xdr:ext cx="171450" cy="228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85775" y="490537"/>
              <a:ext cx="171450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𝐝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85775" y="490537"/>
              <a:ext cx="171450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𝐝 ̅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428625</xdr:colOff>
      <xdr:row>3</xdr:row>
      <xdr:rowOff>4762</xdr:rowOff>
    </xdr:from>
    <xdr:ext cx="2230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28625" y="719137"/>
              <a:ext cx="2230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ES" sz="1400" b="1" i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𝐝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28625" y="719137"/>
              <a:ext cx="2230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𝐒_𝐝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161925</xdr:colOff>
      <xdr:row>5</xdr:row>
      <xdr:rowOff>19050</xdr:rowOff>
    </xdr:from>
    <xdr:ext cx="289631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2286000" y="127635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286000" y="127635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7" name="Imagen 6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276225</xdr:colOff>
      <xdr:row>8</xdr:row>
      <xdr:rowOff>109537</xdr:rowOff>
    </xdr:from>
    <xdr:ext cx="206851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657225" y="2109787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57225" y="2109787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238125</xdr:colOff>
      <xdr:row>9</xdr:row>
      <xdr:rowOff>4762</xdr:rowOff>
    </xdr:from>
    <xdr:ext cx="21121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2295525" y="2366962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2295525" y="2366962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409575</xdr:colOff>
      <xdr:row>18</xdr:row>
      <xdr:rowOff>33337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790575" y="3205162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90575" y="3205162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20</xdr:row>
      <xdr:rowOff>28575</xdr:rowOff>
    </xdr:from>
    <xdr:ext cx="243143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800100" y="3505200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800100" y="3505200"/>
              <a:ext cx="243143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419100</xdr:colOff>
      <xdr:row>21</xdr:row>
      <xdr:rowOff>28575</xdr:rowOff>
    </xdr:from>
    <xdr:ext cx="244491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800100" y="3752850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800100" y="3752850"/>
              <a:ext cx="244491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𝐗 ̅_𝟐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409575</xdr:colOff>
      <xdr:row>16</xdr:row>
      <xdr:rowOff>19050</xdr:rowOff>
    </xdr:from>
    <xdr:ext cx="236283" cy="228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790575" y="2695575"/>
              <a:ext cx="236283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𝐝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790575" y="2695575"/>
              <a:ext cx="236283" cy="228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𝐝 ̅_𝟏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266700</xdr:colOff>
      <xdr:row>18</xdr:row>
      <xdr:rowOff>9525</xdr:rowOff>
    </xdr:from>
    <xdr:ext cx="2054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2324100" y="3057525"/>
              <a:ext cx="2054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2324100" y="3057525"/>
              <a:ext cx="2054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266700</xdr:colOff>
      <xdr:row>20</xdr:row>
      <xdr:rowOff>0</xdr:rowOff>
    </xdr:from>
    <xdr:ext cx="2016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2324100" y="335280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2324100" y="335280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𝟏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266700</xdr:colOff>
      <xdr:row>21</xdr:row>
      <xdr:rowOff>9525</xdr:rowOff>
    </xdr:from>
    <xdr:ext cx="20165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2324100" y="360045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2324100" y="3600450"/>
              <a:ext cx="20165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142875</xdr:colOff>
      <xdr:row>14</xdr:row>
      <xdr:rowOff>9525</xdr:rowOff>
    </xdr:from>
    <xdr:ext cx="15613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3562350" y="29241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𝒅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3562350" y="2924175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𝒅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4</xdr:row>
      <xdr:rowOff>23812</xdr:rowOff>
    </xdr:from>
    <xdr:ext cx="237886" cy="234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362200" y="1033462"/>
              <a:ext cx="237886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𝛔</m:t>
                        </m:r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362200" y="1033462"/>
              <a:ext cx="237886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𝛔_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66675</xdr:colOff>
      <xdr:row>5</xdr:row>
      <xdr:rowOff>28575</xdr:rowOff>
    </xdr:from>
    <xdr:ext cx="237886" cy="234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2352675" y="1285875"/>
              <a:ext cx="237886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𝛔</m:t>
                        </m:r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  <m:sup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352675" y="1285875"/>
              <a:ext cx="237886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𝛔_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𝟐^𝟐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438150</xdr:colOff>
      <xdr:row>2</xdr:row>
      <xdr:rowOff>28575</xdr:rowOff>
    </xdr:from>
    <xdr:ext cx="668580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990975" y="542925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AR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4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990975" y="542925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𝐗</a:t>
              </a:r>
              <a:r>
                <a:rPr lang="es-A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𝟏−𝐗 ̅_𝟐</a:t>
              </a:r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142875</xdr:colOff>
      <xdr:row>5</xdr:row>
      <xdr:rowOff>19050</xdr:rowOff>
    </xdr:from>
    <xdr:ext cx="31874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6276975" y="12763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276975" y="12763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10" name="Imagen 9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1</xdr:col>
      <xdr:colOff>247650</xdr:colOff>
      <xdr:row>8</xdr:row>
      <xdr:rowOff>52387</xdr:rowOff>
    </xdr:from>
    <xdr:ext cx="235962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628650" y="2052637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28650" y="2052637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66675</xdr:colOff>
      <xdr:row>9</xdr:row>
      <xdr:rowOff>4762</xdr:rowOff>
    </xdr:from>
    <xdr:ext cx="2403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2352675" y="2176462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352675" y="2176462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13</xdr:row>
      <xdr:rowOff>19050</xdr:rowOff>
    </xdr:from>
    <xdr:ext cx="65" cy="219163"/>
    <xdr:sp macro="" textlink="">
      <xdr:nvSpPr>
        <xdr:cNvPr id="5" name="CuadroTexto 4"/>
        <xdr:cNvSpPr txBox="1"/>
      </xdr:nvSpPr>
      <xdr:spPr>
        <a:xfrm>
          <a:off x="2266950" y="32004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400" b="1" i="0"/>
        </a:p>
      </xdr:txBody>
    </xdr:sp>
    <xdr:clientData/>
  </xdr:oneCellAnchor>
  <xdr:oneCellAnchor>
    <xdr:from>
      <xdr:col>5</xdr:col>
      <xdr:colOff>180975</xdr:colOff>
      <xdr:row>10</xdr:row>
      <xdr:rowOff>28575</xdr:rowOff>
    </xdr:from>
    <xdr:ext cx="289631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3590925" y="2371725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3590925" y="2371725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8" name="Imagen 7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0</xdr:col>
      <xdr:colOff>352425</xdr:colOff>
      <xdr:row>7</xdr:row>
      <xdr:rowOff>9525</xdr:rowOff>
    </xdr:from>
    <xdr:ext cx="668580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352425" y="1619250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AR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4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52425" y="1619250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𝐗</a:t>
              </a:r>
              <a:r>
                <a:rPr lang="es-A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𝟏−𝐗 ̅_𝟐</a:t>
              </a:r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219075</xdr:colOff>
      <xdr:row>3</xdr:row>
      <xdr:rowOff>33337</xdr:rowOff>
    </xdr:from>
    <xdr:ext cx="226922" cy="234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3867150" y="614362"/>
              <a:ext cx="226922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3867150" y="614362"/>
              <a:ext cx="226922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𝐒_𝟏^𝟐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5</xdr:col>
      <xdr:colOff>219075</xdr:colOff>
      <xdr:row>4</xdr:row>
      <xdr:rowOff>28575</xdr:rowOff>
    </xdr:from>
    <xdr:ext cx="226921" cy="234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3867150" y="857250"/>
              <a:ext cx="226921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𝐒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  <m:sup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3867150" y="857250"/>
              <a:ext cx="226921" cy="234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𝐒_𝟐^𝟐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8</xdr:col>
      <xdr:colOff>485775</xdr:colOff>
      <xdr:row>3</xdr:row>
      <xdr:rowOff>28575</xdr:rowOff>
    </xdr:from>
    <xdr:ext cx="301685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5810250" y="609600"/>
              <a:ext cx="301685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𝐅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5810250" y="609600"/>
              <a:ext cx="301685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𝐅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10</xdr:col>
      <xdr:colOff>57150</xdr:colOff>
      <xdr:row>21</xdr:row>
      <xdr:rowOff>19050</xdr:rowOff>
    </xdr:from>
    <xdr:ext cx="65" cy="219163"/>
    <xdr:sp macro="" textlink="">
      <xdr:nvSpPr>
        <xdr:cNvPr id="17" name="CuadroTexto 16"/>
        <xdr:cNvSpPr txBox="1"/>
      </xdr:nvSpPr>
      <xdr:spPr>
        <a:xfrm>
          <a:off x="2266950" y="2933700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400" b="1" i="0"/>
        </a:p>
      </xdr:txBody>
    </xdr:sp>
    <xdr:clientData/>
  </xdr:oneCellAnchor>
  <xdr:oneCellAnchor>
    <xdr:from>
      <xdr:col>5</xdr:col>
      <xdr:colOff>171450</xdr:colOff>
      <xdr:row>18</xdr:row>
      <xdr:rowOff>28575</xdr:rowOff>
    </xdr:from>
    <xdr:ext cx="289631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3581400" y="346710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3581400" y="3467100"/>
              <a:ext cx="289631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 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0</xdr:col>
      <xdr:colOff>352425</xdr:colOff>
      <xdr:row>15</xdr:row>
      <xdr:rowOff>28575</xdr:rowOff>
    </xdr:from>
    <xdr:ext cx="668580" cy="222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352425" y="3276600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AR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4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𝐗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352425" y="3276600"/>
              <a:ext cx="668580" cy="222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𝐗</a:t>
              </a:r>
              <a:r>
                <a:rPr lang="es-AR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 ̅_</a:t>
              </a:r>
              <a:r>
                <a:rPr lang="es-ES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𝟏−𝐗 ̅_𝟐</a:t>
              </a:r>
              <a:endParaRPr lang="es-AR" sz="1400" b="1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276225</xdr:colOff>
      <xdr:row>9</xdr:row>
      <xdr:rowOff>47625</xdr:rowOff>
    </xdr:from>
    <xdr:ext cx="206851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657225" y="2247900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657225" y="2247900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1</xdr:col>
      <xdr:colOff>276225</xdr:colOff>
      <xdr:row>17</xdr:row>
      <xdr:rowOff>47625</xdr:rowOff>
    </xdr:from>
    <xdr:ext cx="206851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/>
            <xdr:cNvSpPr txBox="1"/>
          </xdr:nvSpPr>
          <xdr:spPr>
            <a:xfrm>
              <a:off x="657225" y="3790950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657225" y="3790950"/>
              <a:ext cx="206851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3</xdr:col>
      <xdr:colOff>333375</xdr:colOff>
      <xdr:row>10</xdr:row>
      <xdr:rowOff>19050</xdr:rowOff>
    </xdr:from>
    <xdr:ext cx="21121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2409825" y="2181225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2409825" y="2181225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3</xdr:col>
      <xdr:colOff>304800</xdr:colOff>
      <xdr:row>18</xdr:row>
      <xdr:rowOff>19050</xdr:rowOff>
    </xdr:from>
    <xdr:ext cx="21121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/>
            <xdr:cNvSpPr txBox="1"/>
          </xdr:nvSpPr>
          <xdr:spPr>
            <a:xfrm>
              <a:off x="2381250" y="3819525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𝐭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2381250" y="3819525"/>
              <a:ext cx="21121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𝐭_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5</xdr:row>
      <xdr:rowOff>38100</xdr:rowOff>
    </xdr:from>
    <xdr:ext cx="318742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076825" y="13144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076825" y="1314450"/>
              <a:ext cx="318742" cy="235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𝐙</a:t>
              </a:r>
              <a:r>
                <a:rPr lang="es-AR" sz="1400" b="1" i="0">
                  <a:latin typeface="Cambria Math" panose="02040503050406030204" pitchFamily="18" charset="0"/>
                </a:rPr>
                <a:t>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 )</a:t>
              </a:r>
              <a:endParaRPr lang="es-AR" sz="1400" b="1" i="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1</xdr:row>
      <xdr:rowOff>93300</xdr:rowOff>
    </xdr:to>
    <xdr:pic>
      <xdr:nvPicPr>
        <xdr:cNvPr id="3" name="Imagen 2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6</xdr:col>
      <xdr:colOff>371475</xdr:colOff>
      <xdr:row>9</xdr:row>
      <xdr:rowOff>228600</xdr:rowOff>
    </xdr:from>
    <xdr:ext cx="235962" cy="311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143375" y="2476500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f>
                          <m:f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400" b="1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𝛂</m:t>
                            </m:r>
                          </m:num>
                          <m:den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143375" y="2476500"/>
              <a:ext cx="235962" cy="311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𝐙_(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𝛂/</a:t>
              </a:r>
              <a:r>
                <a:rPr lang="es-ES" sz="1400" b="1" i="0">
                  <a:latin typeface="Cambria Math" panose="02040503050406030204" pitchFamily="18" charset="0"/>
                </a:rPr>
                <a:t>𝟐)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8</xdr:col>
      <xdr:colOff>209550</xdr:colOff>
      <xdr:row>10</xdr:row>
      <xdr:rowOff>14287</xdr:rowOff>
    </xdr:from>
    <xdr:ext cx="2403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667375" y="2566987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𝐙</m:t>
                        </m:r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𝛂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667375" y="2566987"/>
              <a:ext cx="2403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𝐙_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552450</xdr:colOff>
      <xdr:row>1</xdr:row>
      <xdr:rowOff>233362</xdr:rowOff>
    </xdr:from>
    <xdr:ext cx="23628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324350" y="500062"/>
              <a:ext cx="2362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324350" y="500062"/>
              <a:ext cx="23628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̂_</a:t>
              </a:r>
              <a:r>
                <a:rPr lang="es-ES" sz="1400" b="1" i="0">
                  <a:latin typeface="Cambria Math" panose="02040503050406030204" pitchFamily="18" charset="0"/>
                </a:rPr>
                <a:t>𝟏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6</xdr:col>
      <xdr:colOff>542925</xdr:colOff>
      <xdr:row>2</xdr:row>
      <xdr:rowOff>247650</xdr:rowOff>
    </xdr:from>
    <xdr:ext cx="23628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314825" y="762000"/>
              <a:ext cx="2362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314825" y="762000"/>
              <a:ext cx="2362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̂_</a:t>
              </a:r>
              <a:r>
                <a:rPr lang="es-ES" sz="1400" b="1" i="0">
                  <a:latin typeface="Cambria Math" panose="02040503050406030204" pitchFamily="18" charset="0"/>
                </a:rPr>
                <a:t>𝟐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6</xdr:col>
      <xdr:colOff>142875</xdr:colOff>
      <xdr:row>3</xdr:row>
      <xdr:rowOff>252412</xdr:rowOff>
    </xdr:from>
    <xdr:ext cx="64588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3914775" y="1033462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s-ES" sz="1400" b="1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𝐩</m:t>
                            </m:r>
                          </m:e>
                        </m:acc>
                      </m:e>
                      <m:sub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3914775" y="1033462"/>
              <a:ext cx="64588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̂_</a:t>
              </a:r>
              <a:r>
                <a:rPr lang="es-ES" sz="1400" b="1" i="0">
                  <a:latin typeface="Cambria Math" panose="02040503050406030204" pitchFamily="18" charset="0"/>
                </a:rPr>
                <a:t>𝟏−𝐩 ̂_𝟐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628650</xdr:colOff>
      <xdr:row>4</xdr:row>
      <xdr:rowOff>261937</xdr:rowOff>
    </xdr:from>
    <xdr:ext cx="1504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4400550" y="1309687"/>
              <a:ext cx="1504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𝐩</m:t>
                        </m:r>
                      </m:e>
                    </m:acc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400550" y="1309687"/>
              <a:ext cx="1504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/>
            </a:p>
          </xdr:txBody>
        </xdr:sp>
      </mc:Fallback>
    </mc:AlternateContent>
    <xdr:clientData/>
  </xdr:oneCellAnchor>
  <xdr:oneCellAnchor>
    <xdr:from>
      <xdr:col>6</xdr:col>
      <xdr:colOff>304800</xdr:colOff>
      <xdr:row>5</xdr:row>
      <xdr:rowOff>252412</xdr:rowOff>
    </xdr:from>
    <xdr:ext cx="47173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4076700" y="1566862"/>
              <a:ext cx="471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ES" sz="1400" b="1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𝐩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4076700" y="1566862"/>
              <a:ext cx="47173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400" b="1" i="0">
                  <a:latin typeface="Cambria Math" panose="02040503050406030204" pitchFamily="18" charset="0"/>
                </a:rPr>
                <a:t>𝟏−𝐩 ̂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4</xdr:col>
      <xdr:colOff>885825</xdr:colOff>
      <xdr:row>7</xdr:row>
      <xdr:rowOff>14287</xdr:rowOff>
    </xdr:from>
    <xdr:ext cx="93859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3476625" y="1766887"/>
              <a:ext cx="9385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𝐩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ES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  <m:r>
                      <a:rPr lang="es-ES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s-ES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𝐩</m:t>
                        </m:r>
                      </m:e>
                    </m:acc>
                    <m:r>
                      <a:rPr lang="es-ES" sz="1400" b="1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3476625" y="1766887"/>
              <a:ext cx="93859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𝐩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s-E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(𝟏−𝐩 ̂</a:t>
              </a:r>
              <a:r>
                <a:rPr lang="es-ES" sz="1400" b="1" i="0">
                  <a:latin typeface="Cambria Math" panose="02040503050406030204" pitchFamily="18" charset="0"/>
                </a:rPr>
                <a:t>)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9</xdr:col>
      <xdr:colOff>771525</xdr:colOff>
      <xdr:row>14</xdr:row>
      <xdr:rowOff>19050</xdr:rowOff>
    </xdr:from>
    <xdr:ext cx="156132" cy="235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6667500" y="3124200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𝒅</m:t>
                        </m:r>
                      </m:e>
                    </m:acc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6667500" y="3124200"/>
              <a:ext cx="156132" cy="235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𝒅</a:t>
              </a:r>
              <a:r>
                <a:rPr lang="es-AR" sz="1400" b="1" i="0">
                  <a:latin typeface="Cambria Math" panose="02040503050406030204" pitchFamily="18" charset="0"/>
                </a:rPr>
                <a:t> ̂</a:t>
              </a:r>
              <a:endParaRPr lang="es-AR" sz="1400" b="1" i="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360000</xdr:colOff>
      <xdr:row>2</xdr:row>
      <xdr:rowOff>64725</xdr:rowOff>
    </xdr:to>
    <xdr:pic>
      <xdr:nvPicPr>
        <xdr:cNvPr id="2" name="Imagen 1">
          <a:hlinkClick xmlns:r="http://schemas.openxmlformats.org/officeDocument/2006/relationships" r:id="rId1" tooltip="Volver al índice"/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000" cy="360000"/>
        </a:xfrm>
        <a:prstGeom prst="rect">
          <a:avLst/>
        </a:prstGeom>
      </xdr:spPr>
    </xdr:pic>
    <xdr:clientData/>
  </xdr:twoCellAnchor>
  <xdr:oneCellAnchor>
    <xdr:from>
      <xdr:col>7</xdr:col>
      <xdr:colOff>247650</xdr:colOff>
      <xdr:row>8</xdr:row>
      <xdr:rowOff>23812</xdr:rowOff>
    </xdr:from>
    <xdr:ext cx="312714" cy="25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048250" y="1862137"/>
              <a:ext cx="312714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𝛘</m:t>
                        </m:r>
                      </m:e>
                      <m:sub>
                        <m:sSub>
                          <m:sSubPr>
                            <m:ctrlPr>
                              <a:rPr lang="es-AR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𝐇</m:t>
                            </m:r>
                          </m:e>
                          <m:sub>
                            <m:r>
                              <a:rPr lang="es-ES" sz="1400" b="1" i="0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</m:sub>
                      <m:sup>
                        <m:r>
                          <a:rPr lang="es-ES" sz="14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s-AR" sz="1400" b="1" i="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048250" y="1862137"/>
              <a:ext cx="312714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𝛘_(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r>
                <a:rPr lang="es-ES" sz="1400" b="1" i="0">
                  <a:latin typeface="Cambria Math" panose="02040503050406030204" pitchFamily="18" charset="0"/>
                </a:rPr>
                <a:t>^𝟐</a:t>
              </a:r>
              <a:endParaRPr lang="es-AR" sz="1400" b="1" i="0"/>
            </a:p>
          </xdr:txBody>
        </xdr:sp>
      </mc:Fallback>
    </mc:AlternateContent>
    <xdr:clientData/>
  </xdr:oneCellAnchor>
  <xdr:oneCellAnchor>
    <xdr:from>
      <xdr:col>6</xdr:col>
      <xdr:colOff>247650</xdr:colOff>
      <xdr:row>10</xdr:row>
      <xdr:rowOff>23812</xdr:rowOff>
    </xdr:from>
    <xdr:ext cx="657168" cy="2557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667250" y="2300287"/>
              <a:ext cx="657168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AR" sz="14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s-AR" sz="1400" b="1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𝛘</m:t>
                      </m:r>
                    </m:e>
                    <m:sub>
                      <m:sSub>
                        <m:sSubPr>
                          <m:ctrlPr>
                            <a:rPr lang="es-AR" sz="1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400" b="1" i="0">
                              <a:latin typeface="Cambria Math" panose="02040503050406030204" pitchFamily="18" charset="0"/>
                            </a:rPr>
                            <m:t>𝐇</m:t>
                          </m:r>
                        </m:e>
                        <m:sub>
                          <m:r>
                            <a:rPr lang="es-ES" sz="1400" b="1" i="0"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</m:sub>
                    <m:sup>
                      <m:r>
                        <a:rPr lang="es-ES" sz="1400" b="1" i="0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  <m:r>
                    <a:rPr lang="es-ES" sz="1400" b="1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AR" sz="1400" b="1" i="0" baseline="-25000"/>
                <a:t>(Yates)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667250" y="2300287"/>
              <a:ext cx="657168" cy="2557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𝛘_(</a:t>
              </a:r>
              <a:r>
                <a:rPr lang="es-ES" sz="1400" b="1" i="0">
                  <a:latin typeface="Cambria Math" panose="02040503050406030204" pitchFamily="18" charset="0"/>
                </a:rPr>
                <a:t>𝐇</a:t>
              </a:r>
              <a:r>
                <a:rPr lang="es-AR" sz="1400" b="1" i="0">
                  <a:latin typeface="Cambria Math" panose="02040503050406030204" pitchFamily="18" charset="0"/>
                </a:rPr>
                <a:t>_</a:t>
              </a:r>
              <a:r>
                <a:rPr lang="es-ES" sz="1400" b="1" i="0">
                  <a:latin typeface="Cambria Math" panose="02040503050406030204" pitchFamily="18" charset="0"/>
                </a:rPr>
                <a:t>𝟎</a:t>
              </a:r>
              <a:r>
                <a:rPr lang="es-AR" sz="1400" b="1" i="0">
                  <a:latin typeface="Cambria Math" panose="02040503050406030204" pitchFamily="18" charset="0"/>
                </a:rPr>
                <a:t>)</a:t>
              </a:r>
              <a:r>
                <a:rPr lang="es-ES" sz="1400" b="1" i="0">
                  <a:latin typeface="Cambria Math" panose="02040503050406030204" pitchFamily="18" charset="0"/>
                </a:rPr>
                <a:t>^𝟐  </a:t>
              </a:r>
              <a:r>
                <a:rPr lang="es-AR" sz="1400" b="1" i="0" baseline="-25000"/>
                <a:t>(Yates)</a:t>
              </a:r>
            </a:p>
          </xdr:txBody>
        </xdr:sp>
      </mc:Fallback>
    </mc:AlternateContent>
    <xdr:clientData/>
  </xdr:oneCellAnchor>
  <xdr:oneCellAnchor>
    <xdr:from>
      <xdr:col>3</xdr:col>
      <xdr:colOff>66675</xdr:colOff>
      <xdr:row>3</xdr:row>
      <xdr:rowOff>38100</xdr:rowOff>
    </xdr:from>
    <xdr:ext cx="723900" cy="428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409825" y="581025"/>
              <a:ext cx="723900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AR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𝐟</m:t>
                                    </m:r>
                                  </m:e>
                                  <m:sub>
                                    <m:r>
                                      <a:rPr lang="es-ES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𝐨</m:t>
                                    </m:r>
                                  </m:sub>
                                </m:sSub>
                                <m:r>
                                  <a:rPr lang="es-ES" sz="1100" b="1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𝐟</m:t>
                                    </m:r>
                                  </m:e>
                                  <m:sub>
                                    <m:r>
                                      <a:rPr lang="es-ES" sz="1100" b="1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𝐞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ES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𝐟</m:t>
                            </m:r>
                          </m:e>
                          <m:sub>
                            <m:r>
                              <a:rPr lang="es-ES" sz="1100" b="1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𝐞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100" b="1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409825" y="581025"/>
              <a:ext cx="723900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AR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𝐟</a:t>
              </a:r>
              <a:r>
                <a:rPr lang="es-AR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𝐨−𝐟_𝐞 )</a:t>
              </a:r>
              <a:r>
                <a:rPr lang="es-AR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s-AR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𝐟_𝐞</a:t>
              </a:r>
              <a:r>
                <a:rPr lang="es-AR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4</xdr:col>
      <xdr:colOff>9525</xdr:colOff>
      <xdr:row>3</xdr:row>
      <xdr:rowOff>38100</xdr:rowOff>
    </xdr:from>
    <xdr:ext cx="1181100" cy="428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3333750" y="581025"/>
              <a:ext cx="1181100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AR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𝐟</m:t>
                                        </m:r>
                                      </m:e>
                                      <m:sub>
                                        <m:r>
                                          <a:rPr lang="es-E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𝐨</m:t>
                                        </m:r>
                                      </m:sub>
                                    </m:sSub>
                                    <m:r>
                                      <a:rPr lang="es-ES" sz="1100" b="1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𝐟</m:t>
                                        </m:r>
                                      </m:e>
                                      <m:sub>
                                        <m:r>
                                          <a:rPr lang="es-E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𝐞</m:t>
                                        </m:r>
                                        <m:r>
                                          <a:rPr lang="es-ES" sz="1100" b="1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s-E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E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𝟎</m:t>
                                </m:r>
                                <m:r>
                                  <a:rPr lang="es-E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s-ES" sz="1100" b="1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𝟓</m:t>
                                </m:r>
                              </m:e>
                            </m:d>
                          </m:e>
                          <m:sup>
                            <m:r>
                              <a:rPr lang="es-ES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𝐟</m:t>
                            </m:r>
                          </m:e>
                          <m:sub>
                            <m:r>
                              <a:rPr lang="es-ES" sz="11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𝐞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100" b="1" i="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3333750" y="581025"/>
              <a:ext cx="1181100" cy="428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𝐟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𝐨−𝐟_(𝐞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|−𝟎,𝟓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1" i="0">
                  <a:latin typeface="Cambria Math" panose="02040503050406030204" pitchFamily="18" charset="0"/>
                </a:rPr>
                <a:t>𝟐</a:t>
              </a:r>
              <a:r>
                <a:rPr lang="es-AR" sz="1100" b="1" i="0">
                  <a:latin typeface="Cambria Math" panose="02040503050406030204" pitchFamily="18" charset="0"/>
                </a:rPr>
                <a:t>/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𝐟_𝐞</a:t>
              </a:r>
              <a:r>
                <a:rPr lang="es-A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AR" sz="11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7"/>
  <sheetViews>
    <sheetView showGridLines="0" showRowColHeaders="0" tabSelected="1" zoomScaleNormal="100" workbookViewId="0">
      <selection sqref="A1:C1"/>
    </sheetView>
  </sheetViews>
  <sheetFormatPr baseColWidth="10" defaultRowHeight="15" x14ac:dyDescent="0.25"/>
  <cols>
    <col min="1" max="1" width="124.140625" style="7" bestFit="1" customWidth="1"/>
    <col min="2" max="3" width="11.42578125" style="7"/>
    <col min="4" max="4" width="6.28515625" style="7" customWidth="1"/>
    <col min="5" max="5" width="11.42578125" style="7"/>
    <col min="6" max="6" width="10.140625" style="7" customWidth="1"/>
    <col min="7" max="7" width="7.5703125" style="7" customWidth="1"/>
    <col min="8" max="16384" width="11.42578125" style="7"/>
  </cols>
  <sheetData>
    <row r="1" spans="1:7" ht="24" customHeight="1" x14ac:dyDescent="0.25">
      <c r="A1" s="186" t="s">
        <v>116</v>
      </c>
      <c r="B1" s="186"/>
      <c r="C1" s="186"/>
    </row>
    <row r="2" spans="1:7" ht="14.1" customHeight="1" x14ac:dyDescent="0.25">
      <c r="A2" s="8"/>
    </row>
    <row r="3" spans="1:7" s="9" customFormat="1" ht="15" customHeight="1" x14ac:dyDescent="0.35">
      <c r="A3" s="14" t="s">
        <v>11</v>
      </c>
      <c r="C3" s="11" t="s">
        <v>17</v>
      </c>
    </row>
    <row r="4" spans="1:7" ht="12" customHeight="1" x14ac:dyDescent="0.25">
      <c r="A4" s="10"/>
    </row>
    <row r="5" spans="1:7" s="10" customFormat="1" ht="27.95" customHeight="1" x14ac:dyDescent="0.25">
      <c r="A5" s="13"/>
    </row>
    <row r="6" spans="1:7" s="10" customFormat="1" ht="27.95" customHeight="1" x14ac:dyDescent="0.25">
      <c r="A6" s="13"/>
    </row>
    <row r="7" spans="1:7" s="10" customFormat="1" ht="27.95" customHeight="1" x14ac:dyDescent="0.25">
      <c r="A7" s="13"/>
    </row>
    <row r="8" spans="1:7" s="10" customFormat="1" ht="27.95" customHeight="1" x14ac:dyDescent="0.25">
      <c r="A8" s="13"/>
    </row>
    <row r="9" spans="1:7" s="10" customFormat="1" ht="27.95" customHeight="1" x14ac:dyDescent="0.25">
      <c r="A9" s="13"/>
      <c r="G9" s="12" t="s">
        <v>19</v>
      </c>
    </row>
    <row r="10" spans="1:7" s="10" customFormat="1" ht="27.95" customHeight="1" x14ac:dyDescent="0.25">
      <c r="A10" s="13"/>
    </row>
    <row r="11" spans="1:7" s="10" customFormat="1" ht="27.95" customHeight="1" x14ac:dyDescent="0.25">
      <c r="A11" s="13"/>
      <c r="D11" s="11" t="s">
        <v>18</v>
      </c>
    </row>
    <row r="12" spans="1:7" s="10" customFormat="1" ht="27.95" customHeight="1" x14ac:dyDescent="0.25">
      <c r="A12" s="13"/>
    </row>
    <row r="13" spans="1:7" s="10" customFormat="1" ht="27.95" customHeight="1" x14ac:dyDescent="0.25">
      <c r="A13" s="7"/>
    </row>
    <row r="14" spans="1:7" s="10" customFormat="1" ht="15" customHeight="1" x14ac:dyDescent="0.25"/>
    <row r="15" spans="1:7" s="10" customFormat="1" ht="21" customHeight="1" x14ac:dyDescent="0.4">
      <c r="A15" s="187" t="s">
        <v>26</v>
      </c>
      <c r="B15" s="187"/>
      <c r="C15" s="187"/>
      <c r="D15" s="187"/>
      <c r="E15" s="187"/>
      <c r="F15" s="187"/>
      <c r="G15" s="187"/>
    </row>
    <row r="16" spans="1:7" s="10" customFormat="1" ht="15" customHeight="1" x14ac:dyDescent="0.25">
      <c r="A16" s="188"/>
      <c r="B16" s="188"/>
      <c r="C16" s="188"/>
      <c r="D16" s="188"/>
      <c r="E16" s="188"/>
      <c r="F16" s="188"/>
      <c r="G16" s="188"/>
    </row>
    <row r="17" s="10" customFormat="1" ht="21" customHeight="1" x14ac:dyDescent="0.25"/>
  </sheetData>
  <sheetProtection algorithmName="SHA-512" hashValue="ueZZwRc13Xe1joHfK/bZlWscRgGcNusxR/+vOuvJ6K4zr4YsD6d88MTSpsgekYEndhA82aNV1yQVnzunjGWCGA==" saltValue="uzDHdzeOP9FNdlAvXfBu/g==" spinCount="100000" sheet="1" objects="1" scenarios="1" selectLockedCells="1"/>
  <mergeCells count="3">
    <mergeCell ref="A1:C1"/>
    <mergeCell ref="A15:G15"/>
    <mergeCell ref="A16:G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showRowColHeaders="0" workbookViewId="0">
      <selection activeCell="C6" sqref="C6"/>
    </sheetView>
  </sheetViews>
  <sheetFormatPr baseColWidth="10" defaultRowHeight="18.75" x14ac:dyDescent="0.3"/>
  <cols>
    <col min="1" max="1" width="5.7109375" style="34" customWidth="1"/>
    <col min="2" max="6" width="11.42578125" style="34"/>
    <col min="7" max="7" width="12.28515625" style="34" customWidth="1"/>
    <col min="8" max="8" width="12.7109375" style="34" customWidth="1"/>
    <col min="9" max="9" width="11.7109375" style="34" customWidth="1"/>
    <col min="10" max="10" width="14.7109375" style="34" customWidth="1"/>
    <col min="11" max="11" width="8.28515625" style="34" bestFit="1" customWidth="1"/>
    <col min="12" max="12" width="11.7109375" style="34" customWidth="1"/>
    <col min="13" max="13" width="11.42578125" style="34"/>
    <col min="14" max="14" width="19.7109375" style="34" customWidth="1"/>
    <col min="15" max="16384" width="11.42578125" style="34"/>
  </cols>
  <sheetData>
    <row r="1" spans="2:14" s="58" customFormat="1" ht="21" customHeight="1" x14ac:dyDescent="0.25">
      <c r="B1" s="48" t="s">
        <v>101</v>
      </c>
    </row>
    <row r="2" spans="2:14" ht="5.0999999999999996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2:14" ht="20.100000000000001" customHeight="1" x14ac:dyDescent="0.3">
      <c r="B3" s="55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4" ht="20.100000000000001" customHeight="1" x14ac:dyDescent="0.3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 ht="20.100000000000001" customHeight="1" thickBot="1" x14ac:dyDescent="0.35">
      <c r="B5" s="49"/>
      <c r="C5" s="56" t="s">
        <v>12</v>
      </c>
      <c r="D5" s="56" t="s">
        <v>13</v>
      </c>
      <c r="E5" s="72" t="s">
        <v>10</v>
      </c>
      <c r="F5" s="32"/>
    </row>
    <row r="6" spans="2:14" ht="20.100000000000001" customHeight="1" thickBot="1" x14ac:dyDescent="0.35">
      <c r="B6" s="73" t="s">
        <v>14</v>
      </c>
      <c r="C6" s="22"/>
      <c r="D6" s="23"/>
      <c r="E6" s="89">
        <f>+C6+D6</f>
        <v>0</v>
      </c>
      <c r="K6" s="51" t="s">
        <v>61</v>
      </c>
      <c r="L6" s="77" t="str">
        <f>IF(OR(H8=" ",C13=0,C14=0,D13=0,D14=0,E8=0)," ",SQRT(H8/E8))</f>
        <v xml:space="preserve"> </v>
      </c>
      <c r="M6" s="32"/>
      <c r="N6" s="32"/>
    </row>
    <row r="7" spans="2:14" ht="20.100000000000001" customHeight="1" thickBot="1" x14ac:dyDescent="0.35">
      <c r="B7" s="73" t="s">
        <v>15</v>
      </c>
      <c r="C7" s="24"/>
      <c r="D7" s="25"/>
      <c r="E7" s="89">
        <f>+C7+D7</f>
        <v>0</v>
      </c>
      <c r="F7" s="32"/>
      <c r="G7" s="32"/>
      <c r="H7" s="32"/>
      <c r="I7" s="32"/>
      <c r="J7" s="32"/>
      <c r="M7" s="32"/>
      <c r="N7" s="32"/>
    </row>
    <row r="8" spans="2:14" ht="20.100000000000001" customHeight="1" thickBot="1" x14ac:dyDescent="0.35">
      <c r="B8" s="72" t="s">
        <v>10</v>
      </c>
      <c r="C8" s="71">
        <f>+C6+C7</f>
        <v>0</v>
      </c>
      <c r="D8" s="71">
        <f>+D6+D7</f>
        <v>0</v>
      </c>
      <c r="E8" s="54">
        <f>SUM(E6:E7)</f>
        <v>0</v>
      </c>
      <c r="F8" s="32"/>
      <c r="G8" s="33" t="s">
        <v>16</v>
      </c>
      <c r="H8" s="115" t="str">
        <f>IF(OR(C6="",C7="",D6="",D7="",C13=0,C14=0,D13=0,D14=0,E8=0)," ",(($C$6-$C$13)^2/$C$13)+(($D$6-$D$13)^2/$D$13)+(($C$7-$C$14)^2/$C$14)+(($D$7-$D$14)^2/$D$14))</f>
        <v xml:space="preserve"> </v>
      </c>
      <c r="I8" s="51" t="s">
        <v>4</v>
      </c>
      <c r="J8" s="116" t="str">
        <f>IF(OR(H8=" ",C13=0,C14=0,D13=0,D14=0,E8=0)," ",_xlfn.CHISQ.DIST.RT(H8,1))</f>
        <v xml:space="preserve"> </v>
      </c>
      <c r="K8" s="32"/>
      <c r="L8" s="49"/>
      <c r="M8" s="33" t="s">
        <v>6</v>
      </c>
      <c r="N8" s="82" t="str">
        <f>IF(OR(C13=0,C14=0,D13=0,D14=0,J8=" ",L9&lt;=0,L9&gt;1)," ",IF(J8&gt;=L9,"no rechazo H₀","rechazo H₀"))</f>
        <v xml:space="preserve"> </v>
      </c>
    </row>
    <row r="9" spans="2:14" ht="20.100000000000001" customHeight="1" thickBot="1" x14ac:dyDescent="0.35">
      <c r="B9" s="32"/>
      <c r="C9" s="32"/>
      <c r="D9" s="32"/>
      <c r="E9" s="32"/>
      <c r="F9" s="32"/>
      <c r="K9" s="35" t="s">
        <v>67</v>
      </c>
      <c r="L9" s="18"/>
    </row>
    <row r="10" spans="2:14" ht="20.100000000000001" customHeight="1" thickBot="1" x14ac:dyDescent="0.35">
      <c r="B10" s="55" t="s">
        <v>25</v>
      </c>
      <c r="C10" s="32"/>
      <c r="D10" s="32"/>
      <c r="E10" s="32"/>
      <c r="F10" s="32"/>
      <c r="G10" s="33" t="s">
        <v>16</v>
      </c>
      <c r="H10" s="115" t="str">
        <f>IF(OR(C6="",C7="",D6="",D7="",C13=0,C14=0,D13=0,D14=0,E8=0)," ",((ABS($C$6-$C$13)-0.5)^2/$C$13)+((ABS($D$6-$D$13)-0.5)^2/$D$13)+((ABS($C$7-$C$14)-0.5)^2/$C$14)+((ABS($D$7-$D$14)-0.5)^2/$D$14))</f>
        <v xml:space="preserve"> </v>
      </c>
      <c r="I10" s="51" t="s">
        <v>4</v>
      </c>
      <c r="J10" s="116" t="str">
        <f>IF(OR(H10=" ",C13=0,C14=0,D13=0,D14=0,E8=0)," ",_xlfn.CHISQ.DIST.RT(H10,1))</f>
        <v xml:space="preserve"> </v>
      </c>
      <c r="K10" s="32"/>
      <c r="L10" s="49"/>
      <c r="M10" s="33" t="s">
        <v>6</v>
      </c>
      <c r="N10" s="82" t="str">
        <f>IF(OR(C13=0,C14=0,D13=0,D14=0,J10=" ",L9&lt;=0,L9&gt;1)," ",IF(J10&gt;=L9,"no rechazo H₀","rechazo H₀"))</f>
        <v xml:space="preserve"> </v>
      </c>
    </row>
    <row r="11" spans="2:14" ht="20.100000000000001" customHeight="1" thickBot="1" x14ac:dyDescent="0.35">
      <c r="B11" s="32"/>
      <c r="C11" s="32"/>
      <c r="D11" s="32"/>
      <c r="E11" s="32"/>
    </row>
    <row r="12" spans="2:14" ht="20.100000000000001" customHeight="1" thickBot="1" x14ac:dyDescent="0.35">
      <c r="B12" s="49"/>
      <c r="C12" s="74" t="s">
        <v>12</v>
      </c>
      <c r="D12" s="74" t="s">
        <v>13</v>
      </c>
      <c r="E12" s="72" t="s">
        <v>10</v>
      </c>
      <c r="F12" s="32"/>
      <c r="G12" s="32"/>
      <c r="H12" s="32"/>
      <c r="I12" s="32"/>
      <c r="J12" s="32"/>
      <c r="K12" s="51" t="s">
        <v>88</v>
      </c>
      <c r="L12" s="77" t="str">
        <f>IF(OR(H10=" ",C13=0,C14=0,D13=0,D14=0,E15=0)," ",SQRT(H10/$E$8))</f>
        <v xml:space="preserve"> </v>
      </c>
      <c r="M12" s="32"/>
      <c r="N12" s="32"/>
    </row>
    <row r="13" spans="2:14" ht="20.100000000000001" customHeight="1" thickBot="1" x14ac:dyDescent="0.35">
      <c r="B13" s="73" t="s">
        <v>14</v>
      </c>
      <c r="C13" s="52" t="str">
        <f>IF(E8&lt;=0," ",(C8*E6)/E8)</f>
        <v xml:space="preserve"> </v>
      </c>
      <c r="D13" s="52" t="str">
        <f>IF(E8&lt;=0," ",(D8*E6)/E8)</f>
        <v xml:space="preserve"> </v>
      </c>
      <c r="E13" s="89">
        <f>IF(E8&lt;=0,0,+C13+D13)</f>
        <v>0</v>
      </c>
      <c r="F13" s="32"/>
      <c r="G13" s="32"/>
      <c r="H13" s="32"/>
      <c r="I13" s="32"/>
      <c r="M13" s="32"/>
      <c r="N13" s="32"/>
    </row>
    <row r="14" spans="2:14" ht="20.100000000000001" customHeight="1" thickBot="1" x14ac:dyDescent="0.35">
      <c r="B14" s="73" t="s">
        <v>15</v>
      </c>
      <c r="C14" s="52" t="str">
        <f>IF(E8&lt;=0," ",(C8*E7)/E8)</f>
        <v xml:space="preserve"> </v>
      </c>
      <c r="D14" s="52" t="str">
        <f>IF(E8&lt;=0," ",(D8*E7)/E8)</f>
        <v xml:space="preserve"> </v>
      </c>
      <c r="E14" s="89">
        <f>IF(E8&lt;=0,0,+C14+D14)</f>
        <v>0</v>
      </c>
      <c r="F14" s="32"/>
      <c r="G14" s="33" t="s">
        <v>60</v>
      </c>
      <c r="H14" s="115" t="str">
        <f>IF(OR(C6="",C7="",D6="",D7="",C13=0,C14=0,D13=0,D14=0,E8=0)," ",((C6-D7)^2)/(C6+D7))</f>
        <v xml:space="preserve"> </v>
      </c>
      <c r="I14" s="51" t="s">
        <v>4</v>
      </c>
      <c r="J14" s="116" t="str">
        <f>IF(OR(H14=" ",C13=0,C14=0,D13=0,D14=0,E8=0)," ",_xlfn.CHISQ.DIST.RT(H14,1))</f>
        <v xml:space="preserve"> </v>
      </c>
      <c r="M14" s="33" t="s">
        <v>6</v>
      </c>
      <c r="N14" s="82" t="str">
        <f>IF(OR(C13=0,C14=0,D13=0,D14=0,J14=" ",L15&lt;=0,L15&gt;1)," ",IF(J14&gt;=$L$15,"no rechazo H₀","rechazo H₀"))</f>
        <v xml:space="preserve"> </v>
      </c>
    </row>
    <row r="15" spans="2:14" ht="20.100000000000001" customHeight="1" thickBot="1" x14ac:dyDescent="0.35">
      <c r="B15" s="72" t="s">
        <v>10</v>
      </c>
      <c r="C15" s="54">
        <f>IF(E8&lt;=0,0,+C13+C14)</f>
        <v>0</v>
      </c>
      <c r="D15" s="54">
        <f>IF(E8&lt;=0,0,+D13+D14)</f>
        <v>0</v>
      </c>
      <c r="E15" s="54">
        <f>SUM(E13:E14)</f>
        <v>0</v>
      </c>
      <c r="K15" s="35" t="s">
        <v>67</v>
      </c>
      <c r="L15" s="18"/>
    </row>
    <row r="16" spans="2:14" ht="20.100000000000001" customHeight="1" thickBot="1" x14ac:dyDescent="0.35">
      <c r="B16" s="32"/>
      <c r="C16" s="32"/>
      <c r="D16" s="32"/>
      <c r="E16" s="32"/>
      <c r="G16" s="33" t="s">
        <v>89</v>
      </c>
      <c r="H16" s="115" t="str">
        <f>IF(OR(C6="",C7="",D6="",D7="",C13=0,C14=0,D13=0,D14=0,E8=0)," ",((ABS($C$6-$D$7)-1)^2)/($C$6+$D$7))</f>
        <v xml:space="preserve"> </v>
      </c>
      <c r="I16" s="51" t="s">
        <v>4</v>
      </c>
      <c r="J16" s="116" t="str">
        <f>IF(OR(H16=" ",C13=0,C14=0,D13=0,D14=0,E8=0)," ",_xlfn.CHISQ.DIST.RT(H16,1))</f>
        <v xml:space="preserve"> </v>
      </c>
      <c r="K16" s="32"/>
      <c r="L16" s="32"/>
      <c r="M16" s="33" t="s">
        <v>6</v>
      </c>
      <c r="N16" s="82" t="str">
        <f>IF(OR(C13=0,C14=0,D13=0,D14=0,J16=" ",L15&lt;=0,L15&gt;1)," ",IF(J16&gt;=$L$15,"no rechazo H₀","rechazo H₀"))</f>
        <v xml:space="preserve"> </v>
      </c>
    </row>
    <row r="17" spans="2:13" ht="20.100000000000001" customHeight="1" thickBot="1" x14ac:dyDescent="0.35">
      <c r="B17" s="136"/>
      <c r="C17" s="136"/>
      <c r="D17" s="136"/>
    </row>
    <row r="18" spans="2:13" ht="20.100000000000001" customHeight="1" thickBot="1" x14ac:dyDescent="0.35">
      <c r="B18" s="125" t="s">
        <v>54</v>
      </c>
      <c r="C18" s="125" t="s">
        <v>55</v>
      </c>
      <c r="D18" s="136"/>
      <c r="F18" s="95" t="s">
        <v>38</v>
      </c>
      <c r="G18" s="77" t="str">
        <f>IF(OR(C6="",C7="",D6="",D7="",C13=0,C14=0,D13=0,D14=0,E8=0)," ",(($C$6*$D$7)-($C$7*$D$6))/(($C$6*$D$7)+($C$7*$D$6)))</f>
        <v xml:space="preserve"> </v>
      </c>
      <c r="I18" s="51" t="s">
        <v>56</v>
      </c>
      <c r="J18" s="77" t="str">
        <f>IF(OR(C6="",C7="",D6="",D7="",C13=0,C14=0,D13=0,D14=0,E8=0)," ",($B$19-$C$19)/(1-$C$19))</f>
        <v xml:space="preserve"> </v>
      </c>
      <c r="L18" s="51" t="s">
        <v>53</v>
      </c>
      <c r="M18" s="77" t="str">
        <f>IF(OR(C6="",C7="",D6="",D7="",C13=0,C14=0,D13=0,D14=0,E8=0)," ",(($C$6*$D$7)-($C$7*$D$6))/(SQRT(($C$6*$D$7)+($C$7*$D$6)+(($C$6*$D$6)+($C$7*$D$7)))*SQRT(($C$6*$D$7)+($C$7*$D$6)+(($C$6*$C$7)+($D$6*$D$7)))))</f>
        <v xml:space="preserve"> </v>
      </c>
    </row>
    <row r="19" spans="2:13" ht="20.100000000000001" customHeight="1" x14ac:dyDescent="0.3">
      <c r="B19" s="125" t="str">
        <f>IF(E8=0," ",(C6+D7)/E8)</f>
        <v xml:space="preserve"> </v>
      </c>
      <c r="C19" s="125" t="str">
        <f>IF(E8=0," ",(C8*E6+D8*E7)/POWER(E8,2))</f>
        <v xml:space="preserve"> </v>
      </c>
      <c r="D19" s="136"/>
      <c r="J19" s="33"/>
    </row>
    <row r="20" spans="2:13" x14ac:dyDescent="0.3">
      <c r="B20" s="136"/>
      <c r="C20" s="136"/>
      <c r="D20" s="136"/>
    </row>
  </sheetData>
  <sheetProtection algorithmName="SHA-512" hashValue="lhPsz0JEmkvKHNNBlKfB/FSubJ25oFa29sIj67uy70G/tPGJ3wIZbLhTBCSBQJmm2u35fHGFd82ejZoTWjB+dg==" saltValue="DdDXWVFbu+7b0295BKR7qw==" spinCount="100000" sheet="1" objects="1" scenarios="1" selectLockedCells="1"/>
  <protectedRanges>
    <protectedRange sqref="L9 L15" name="Rango4"/>
    <protectedRange sqref="C6:D7" name="Rango1"/>
  </protectedRanges>
  <dataConsolidate/>
  <dataValidations count="3">
    <dataValidation type="decimal" allowBlank="1" showInputMessage="1" showErrorMessage="1" errorTitle="CUIDADO !!!" error="alfa sólo toma valores en el intervalo [0; 1]" prompt="nivel de significación" sqref="L15">
      <formula1>0</formula1>
      <formula2>1</formula2>
    </dataValidation>
    <dataValidation type="decimal" allowBlank="1" showInputMessage="1" showErrorMessage="1" errorTitle="CUIDADO !!!" error="alfa sólo toma valores en el intervalo [0; 1]" prompt="nivel de significación" sqref="L9">
      <formula1>0</formula1>
      <formula2>1</formula2>
    </dataValidation>
    <dataValidation type="whole" operator="greaterThanOrEqual" allowBlank="1" showInputMessage="1" showErrorMessage="1" error="las frecuencias observadas son siempre números enteros ≥ 0" sqref="C6:D7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showGridLines="0" showRowColHeaders="0" workbookViewId="0">
      <selection activeCell="C3" sqref="C3"/>
    </sheetView>
  </sheetViews>
  <sheetFormatPr baseColWidth="10" defaultRowHeight="15" x14ac:dyDescent="0.25"/>
  <cols>
    <col min="1" max="1" width="5.7109375" customWidth="1"/>
    <col min="3" max="3" width="11.7109375" customWidth="1"/>
    <col min="4" max="4" width="2.7109375" customWidth="1"/>
    <col min="5" max="5" width="11.5703125" bestFit="1" customWidth="1"/>
    <col min="6" max="6" width="16.7109375" customWidth="1"/>
    <col min="7" max="7" width="11.5703125" bestFit="1" customWidth="1"/>
    <col min="9" max="9" width="19.7109375" customWidth="1"/>
    <col min="10" max="10" width="8.140625" customWidth="1"/>
    <col min="11" max="11" width="6.5703125" customWidth="1"/>
    <col min="12" max="12" width="11.7109375" customWidth="1"/>
    <col min="13" max="13" width="10.5703125" customWidth="1"/>
  </cols>
  <sheetData>
    <row r="1" spans="2:14" ht="21" customHeight="1" x14ac:dyDescent="0.25">
      <c r="B1" s="28" t="s">
        <v>102</v>
      </c>
    </row>
    <row r="2" spans="2:14" ht="15.95" customHeight="1" thickBot="1" x14ac:dyDescent="0.3">
      <c r="I2" s="139"/>
      <c r="J2" s="135"/>
      <c r="K2" s="135"/>
      <c r="L2" s="135"/>
      <c r="M2" s="135"/>
      <c r="N2" s="139"/>
    </row>
    <row r="3" spans="2:14" ht="20.100000000000001" customHeight="1" thickBot="1" x14ac:dyDescent="0.35">
      <c r="B3" s="163" t="s">
        <v>1</v>
      </c>
      <c r="C3" s="18"/>
      <c r="E3" s="163" t="s">
        <v>106</v>
      </c>
      <c r="F3" s="18"/>
      <c r="G3" s="3" t="s">
        <v>65</v>
      </c>
      <c r="H3" s="18"/>
      <c r="J3" s="141"/>
      <c r="K3" s="145"/>
      <c r="L3" s="141"/>
      <c r="M3" s="143"/>
      <c r="N3" s="139"/>
    </row>
    <row r="4" spans="2:14" ht="20.100000000000001" customHeight="1" x14ac:dyDescent="0.35">
      <c r="I4" s="171"/>
      <c r="J4" s="140"/>
      <c r="K4" s="143"/>
      <c r="L4" s="181"/>
      <c r="M4" s="144"/>
      <c r="N4" s="139"/>
    </row>
    <row r="5" spans="2:14" s="157" customFormat="1" ht="20.100000000000001" customHeight="1" x14ac:dyDescent="0.25">
      <c r="B5" s="4" t="s">
        <v>110</v>
      </c>
      <c r="D5" s="166" t="s">
        <v>92</v>
      </c>
      <c r="F5" s="5"/>
      <c r="I5" s="167"/>
      <c r="J5" s="168"/>
      <c r="K5" s="147"/>
      <c r="L5" s="177"/>
      <c r="M5" s="147"/>
      <c r="N5" s="167"/>
    </row>
    <row r="6" spans="2:14" ht="9.9499999999999993" customHeight="1" thickBot="1" x14ac:dyDescent="0.3">
      <c r="I6" s="139"/>
      <c r="J6" s="135"/>
      <c r="K6" s="144"/>
      <c r="L6" s="135"/>
      <c r="M6" s="144"/>
      <c r="N6" s="139"/>
    </row>
    <row r="7" spans="2:14" ht="20.100000000000001" customHeight="1" thickBot="1" x14ac:dyDescent="0.4">
      <c r="B7" s="1" t="s">
        <v>7</v>
      </c>
      <c r="C7" s="109" t="str">
        <f>IF(OR(C3&lt;3,F3="",H3="")," ",(F3*SQRT(C3-2))/SQRT(1-F3^2))</f>
        <v xml:space="preserve"> </v>
      </c>
      <c r="E7" s="1" t="s">
        <v>5</v>
      </c>
      <c r="F7" s="112" t="str">
        <f>IF(OR(C3&lt;=2,F3="",H3="")," ",_xlfn.T.DIST.2T(ABS(C7),C9))</f>
        <v xml:space="preserve"> </v>
      </c>
      <c r="H7" s="1" t="s">
        <v>6</v>
      </c>
      <c r="I7" s="81" t="str">
        <f>IF(OR(F7=" ",C3=" ",H3="")," ",IF(F7&gt;=H3,"no rechazo H₀","rechazo H₀"))</f>
        <v xml:space="preserve"> </v>
      </c>
      <c r="J7" s="135"/>
      <c r="K7" s="179"/>
      <c r="L7" s="135"/>
      <c r="M7" s="144"/>
    </row>
    <row r="8" spans="2:14" ht="5.0999999999999996" customHeight="1" thickBot="1" x14ac:dyDescent="0.35">
      <c r="B8" s="1"/>
      <c r="C8" s="110"/>
      <c r="E8" s="1"/>
      <c r="F8" s="6"/>
      <c r="G8" s="3"/>
      <c r="I8" s="1"/>
      <c r="J8" s="135"/>
      <c r="K8" s="144"/>
      <c r="L8" s="135"/>
      <c r="M8" s="144"/>
    </row>
    <row r="9" spans="2:14" ht="21" customHeight="1" thickBot="1" x14ac:dyDescent="0.3">
      <c r="B9" s="1" t="s">
        <v>2</v>
      </c>
      <c r="C9" s="111" t="str">
        <f>IF(OR(C3&lt;=2,F3="")," ",IF(H3=""," ",C3-2))</f>
        <v xml:space="preserve"> </v>
      </c>
      <c r="H9" s="1" t="s">
        <v>108</v>
      </c>
      <c r="I9" s="134" t="str">
        <f>IF(OR(C3&lt;4,F3="",H3="")," ",TANH(ATANH(F3)-ABS((_xlfn.NORM.S.INV(H3/2)/SQRT(C3-3)))))</f>
        <v xml:space="preserve"> </v>
      </c>
      <c r="J9" s="135"/>
      <c r="K9" s="146"/>
      <c r="L9" s="135"/>
      <c r="M9" s="144"/>
    </row>
    <row r="10" spans="2:14" ht="20.100000000000001" customHeight="1" thickBot="1" x14ac:dyDescent="0.3">
      <c r="B10" s="1"/>
      <c r="C10" s="29"/>
      <c r="H10" s="1" t="s">
        <v>109</v>
      </c>
      <c r="I10" s="134" t="str">
        <f>IF(OR(C3&lt;4,F3="",H3="")," ",TANH(ATANH(F3)+ABS((_xlfn.NORM.S.INV(H3/2)/SQRT(C3-3)))))</f>
        <v xml:space="preserve"> </v>
      </c>
      <c r="J10" s="135"/>
      <c r="K10" s="147"/>
      <c r="L10" s="135"/>
      <c r="M10" s="144"/>
    </row>
    <row r="11" spans="2:14" ht="5.0999999999999996" customHeight="1" thickBot="1" x14ac:dyDescent="0.3">
      <c r="B11" s="1"/>
      <c r="C11" s="29"/>
      <c r="H11" s="1"/>
      <c r="J11" s="135"/>
      <c r="K11" s="144"/>
      <c r="L11" s="135"/>
      <c r="M11" s="144"/>
    </row>
    <row r="12" spans="2:14" ht="20.100000000000001" customHeight="1" thickBot="1" x14ac:dyDescent="0.3">
      <c r="B12" s="1"/>
      <c r="C12" s="29"/>
      <c r="H12" s="1" t="s">
        <v>36</v>
      </c>
      <c r="I12" s="133" t="str">
        <f>IF(OR(C3&lt;4,F3="",H3="")," ",+I10-I9)</f>
        <v xml:space="preserve"> </v>
      </c>
      <c r="J12" s="135"/>
      <c r="K12" s="144"/>
      <c r="L12" s="135"/>
      <c r="M12" s="144"/>
    </row>
    <row r="13" spans="2:14" s="157" customFormat="1" ht="20.100000000000001" customHeight="1" x14ac:dyDescent="0.25">
      <c r="B13" s="4" t="s">
        <v>111</v>
      </c>
      <c r="C13" s="165"/>
      <c r="D13" s="166" t="s">
        <v>93</v>
      </c>
      <c r="J13" s="140"/>
      <c r="K13" s="145"/>
      <c r="L13" s="140"/>
      <c r="M13" s="145"/>
    </row>
    <row r="14" spans="2:14" ht="9.9499999999999993" customHeight="1" thickBot="1" x14ac:dyDescent="0.35">
      <c r="J14" s="141"/>
      <c r="K14" s="143"/>
      <c r="L14" s="142"/>
      <c r="M14" s="143"/>
    </row>
    <row r="15" spans="2:14" ht="20.100000000000001" customHeight="1" thickBot="1" x14ac:dyDescent="0.35">
      <c r="B15" s="158" t="s">
        <v>68</v>
      </c>
      <c r="C15" s="18"/>
      <c r="E15" s="1" t="s">
        <v>5</v>
      </c>
      <c r="F15" s="112" t="str">
        <f>IF(OR(C15="",C3&lt;4)," ",IF(F17&lt;0,2*_xlfn.NORM.S.DIST(F17,1),2*(1-_xlfn.NORM.S.DIST(F17,1))))</f>
        <v xml:space="preserve"> </v>
      </c>
      <c r="G15" s="3"/>
      <c r="H15" s="1" t="s">
        <v>6</v>
      </c>
      <c r="I15" s="81" t="str">
        <f>IF(OR(F3="",C3&lt;4,H3="",C15="")," ",IF(F15&gt;=H3,"no rechazo H₀","rechazo H₀"))</f>
        <v xml:space="preserve"> </v>
      </c>
      <c r="J15" s="141"/>
      <c r="K15" s="143"/>
      <c r="L15" s="142"/>
      <c r="M15" s="143"/>
    </row>
    <row r="16" spans="2:14" ht="5.0999999999999996" customHeight="1" thickBot="1" x14ac:dyDescent="0.35">
      <c r="F16" s="113"/>
      <c r="J16" s="142"/>
      <c r="K16" s="143"/>
      <c r="L16" s="142"/>
      <c r="M16" s="142"/>
    </row>
    <row r="17" spans="2:13" ht="20.100000000000001" customHeight="1" thickBot="1" x14ac:dyDescent="0.35">
      <c r="B17" s="26" t="s">
        <v>7</v>
      </c>
      <c r="C17" s="27" t="str">
        <f>IF(OR(C15="",F3=" ")," ",0.5*(LN((1+F3)/(1-F3))))</f>
        <v xml:space="preserve"> </v>
      </c>
      <c r="E17" s="1" t="s">
        <v>7</v>
      </c>
      <c r="F17" s="114" t="str">
        <f>IF(OR(C15="",C3&lt;4,C20="",C17="",C18="")," ",(C17-C18)/C20)</f>
        <v xml:space="preserve"> </v>
      </c>
      <c r="H17" s="1" t="s">
        <v>108</v>
      </c>
      <c r="I17" s="134" t="str">
        <f>IF(OR(C3&lt;4,F3="",H3="",C15="")," ",TANH(ATANH(C15)-ABS((_xlfn.NORM.S.INV(H3/2)/SQRT(C3-3)))))</f>
        <v xml:space="preserve"> </v>
      </c>
      <c r="J17" s="142"/>
      <c r="K17" s="142"/>
      <c r="L17" s="142"/>
      <c r="M17" s="142"/>
    </row>
    <row r="18" spans="2:13" ht="20.100000000000001" customHeight="1" thickBot="1" x14ac:dyDescent="0.35">
      <c r="B18" s="26" t="s">
        <v>7</v>
      </c>
      <c r="C18" s="27" t="str">
        <f>IF(OR(C3="",C15="")," ",0.5*(LN((1+C15)/(1-C15))))</f>
        <v xml:space="preserve"> </v>
      </c>
      <c r="H18" s="1" t="s">
        <v>109</v>
      </c>
      <c r="I18" s="134" t="str">
        <f>IF(OR(C3&lt;4,F3="",H3="",C15="")," ",TANH(ATANH(C15)+ABS((_xlfn.NORM.S.INV(H3/2)/SQRT(C3-3)))))</f>
        <v xml:space="preserve"> </v>
      </c>
      <c r="J18" s="142"/>
      <c r="K18" s="142"/>
      <c r="L18" s="142"/>
      <c r="M18" s="142"/>
    </row>
    <row r="19" spans="2:13" ht="5.0999999999999996" customHeight="1" thickBot="1" x14ac:dyDescent="0.3">
      <c r="B19" s="26"/>
      <c r="H19" s="1"/>
    </row>
    <row r="20" spans="2:13" ht="20.100000000000001" customHeight="1" thickBot="1" x14ac:dyDescent="0.3">
      <c r="B20" s="26" t="s">
        <v>7</v>
      </c>
      <c r="C20" s="27" t="str">
        <f>IF(OR(C15="",C3&lt;4)," ",SQRT(1/(C3-3)))</f>
        <v xml:space="preserve"> </v>
      </c>
      <c r="H20" s="1" t="s">
        <v>36</v>
      </c>
      <c r="I20" s="133" t="str">
        <f>IF(OR(C3&lt;4,F3="",H3="",C15="")," ",+I18-I17)</f>
        <v xml:space="preserve"> </v>
      </c>
    </row>
    <row r="21" spans="2:13" ht="18.75" x14ac:dyDescent="0.25">
      <c r="C21" s="5"/>
    </row>
    <row r="22" spans="2:13" ht="18.75" x14ac:dyDescent="0.3">
      <c r="H22" s="2"/>
    </row>
  </sheetData>
  <sheetProtection algorithmName="SHA-512" hashValue="M6O9aXVoERTmV9Lh/3WNKGLXXnitw3Z6WL0X6rx+wtNRdsArUdmqAR5YKLl2jM/Y2kG1o+ZdAOjB38FYJe/QfQ==" saltValue="nz3fDlRccjP0OLl//RkArQ==" spinCount="100000" sheet="1" objects="1" scenarios="1" selectLockedCells="1"/>
  <protectedRanges>
    <protectedRange sqref="H3 H8" name="Rango5"/>
  </protectedRanges>
  <dataValidations count="4">
    <dataValidation type="decimal" allowBlank="1" showInputMessage="1" showErrorMessage="1" errorTitle="CUIDADO !!!" error="el coeficiente de correlación muestral sólo toma valores en el intervalo [-1;1]" prompt="coeficiente de correlación muestral" sqref="F3">
      <formula1>-1</formula1>
      <formula2>1</formula2>
    </dataValidation>
    <dataValidation type="decimal" allowBlank="1" showInputMessage="1" showErrorMessage="1" errorTitle="CUIDADO !!!" error="alfa sólo toma valores en el intervalo [0; 1]" prompt="nivel de significación" sqref="H3">
      <formula1>0</formula1>
      <formula2>1</formula2>
    </dataValidation>
    <dataValidation type="decimal" allowBlank="1" showInputMessage="1" showErrorMessage="1" errorTitle="CUIDADO !!!" error="el coeficiente de correlación poblacional sólo toma valores en el intervalo [-1; 1]" prompt="coeficiente de correlación poblacional" sqref="C15">
      <formula1>-1</formula1>
      <formula2>1</formula2>
    </dataValidation>
    <dataValidation type="whole" operator="greaterThan" allowBlank="1" showInputMessage="1" showErrorMessage="1" errorTitle="CUIDADO !!!" error="el tamaño muestral debe ser un numero entero ≥ 4" prompt="tamaño muestral" sqref="C3">
      <formula1>3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showRowColHeaders="0" workbookViewId="0">
      <selection activeCell="C3" sqref="C3"/>
    </sheetView>
  </sheetViews>
  <sheetFormatPr baseColWidth="10" defaultRowHeight="15" x14ac:dyDescent="0.25"/>
  <cols>
    <col min="1" max="1" width="5.7109375" style="104" customWidth="1"/>
    <col min="2" max="2" width="8.7109375" style="104" customWidth="1"/>
    <col min="3" max="3" width="12.7109375" style="104" customWidth="1"/>
    <col min="4" max="4" width="1.7109375" style="128" customWidth="1"/>
    <col min="5" max="5" width="14.7109375" style="104" customWidth="1"/>
    <col min="6" max="6" width="17.7109375" style="104" customWidth="1"/>
    <col min="7" max="7" width="1.7109375" style="137" customWidth="1"/>
    <col min="8" max="8" width="9" style="104" bestFit="1" customWidth="1"/>
    <col min="9" max="9" width="17.7109375" style="104" customWidth="1"/>
    <col min="10" max="10" width="32" style="104" bestFit="1" customWidth="1"/>
    <col min="11" max="11" width="17.7109375" style="104" customWidth="1"/>
    <col min="12" max="12" width="11.42578125" style="104" bestFit="1" customWidth="1"/>
    <col min="13" max="13" width="18.7109375" style="104" customWidth="1"/>
    <col min="14" max="14" width="11.42578125" style="104" bestFit="1" customWidth="1"/>
    <col min="15" max="15" width="19.7109375" style="104" customWidth="1"/>
    <col min="16" max="16384" width="11.42578125" style="104"/>
  </cols>
  <sheetData>
    <row r="1" spans="2:15" ht="21" x14ac:dyDescent="0.25">
      <c r="B1" s="48" t="s">
        <v>103</v>
      </c>
      <c r="J1" s="132"/>
      <c r="K1" s="132"/>
      <c r="L1" s="132"/>
      <c r="M1" s="132"/>
      <c r="N1" s="132"/>
    </row>
    <row r="2" spans="2:15" ht="15.75" thickBot="1" x14ac:dyDescent="0.3">
      <c r="J2" s="132"/>
      <c r="K2" s="132"/>
      <c r="L2" s="132"/>
      <c r="M2" s="132"/>
      <c r="N2" s="132"/>
    </row>
    <row r="3" spans="2:15" ht="20.100000000000001" customHeight="1" thickBot="1" x14ac:dyDescent="0.35">
      <c r="B3" s="162" t="s">
        <v>1</v>
      </c>
      <c r="C3" s="138"/>
      <c r="F3" s="164" t="s">
        <v>107</v>
      </c>
      <c r="G3" s="153"/>
      <c r="H3" s="96"/>
      <c r="I3" s="96"/>
      <c r="J3" s="131"/>
      <c r="K3" s="131"/>
      <c r="L3" s="131"/>
      <c r="M3" s="131"/>
      <c r="N3" s="131"/>
      <c r="O3" s="96"/>
    </row>
    <row r="4" spans="2:15" ht="9.9499999999999993" customHeight="1" thickBot="1" x14ac:dyDescent="0.35">
      <c r="B4" s="162"/>
      <c r="C4" s="162"/>
      <c r="G4" s="153"/>
      <c r="H4" s="96"/>
      <c r="I4" s="96"/>
      <c r="J4" s="131"/>
      <c r="K4" s="131"/>
      <c r="L4" s="131"/>
      <c r="M4" s="131"/>
      <c r="N4" s="131"/>
      <c r="O4" s="96"/>
    </row>
    <row r="5" spans="2:15" ht="20.100000000000001" customHeight="1" thickBot="1" x14ac:dyDescent="0.35">
      <c r="B5" s="99"/>
      <c r="C5" s="100"/>
      <c r="E5" s="97" t="s">
        <v>39</v>
      </c>
      <c r="F5" s="98" t="str">
        <f>IF(C8&lt;0," ",IF(C8=""," ",C8^2))</f>
        <v xml:space="preserve"> </v>
      </c>
      <c r="G5" s="153"/>
      <c r="H5" s="97" t="s">
        <v>20</v>
      </c>
      <c r="I5" s="103" t="str">
        <f>IF(OR(C3="",C12="")," ",C27*LN(C28+SQRT(C28^2+1)))</f>
        <v xml:space="preserve"> </v>
      </c>
      <c r="J5" s="97" t="s">
        <v>59</v>
      </c>
      <c r="K5" s="103" t="str">
        <f>IF(OR(C3="",C12="",C17="")," ",I5^2+I7^2)</f>
        <v xml:space="preserve"> </v>
      </c>
      <c r="L5" s="96"/>
      <c r="M5" s="96"/>
    </row>
    <row r="6" spans="2:15" ht="20.100000000000001" customHeight="1" thickBot="1" x14ac:dyDescent="0.35">
      <c r="B6" s="162" t="s">
        <v>69</v>
      </c>
      <c r="C6" s="79"/>
      <c r="E6" s="97"/>
      <c r="F6" s="96"/>
      <c r="G6" s="153"/>
      <c r="H6" s="96"/>
      <c r="I6" s="100"/>
      <c r="J6" s="101"/>
      <c r="K6" s="100"/>
      <c r="L6" s="33" t="s">
        <v>6</v>
      </c>
      <c r="M6" s="81" t="str">
        <f>IF(OR(C3="",C6="",C8="",C10="",C12="",C17="")," ",IF(K7&gt;=C10,"no rechazo H₀","rechazo H₀"))</f>
        <v xml:space="preserve"> </v>
      </c>
    </row>
    <row r="7" spans="2:15" ht="20.100000000000001" customHeight="1" thickBot="1" x14ac:dyDescent="0.35">
      <c r="B7" s="96"/>
      <c r="C7" s="100"/>
      <c r="E7" s="102" t="s">
        <v>9</v>
      </c>
      <c r="F7" s="98" t="str">
        <f>IF(OR(C8="",C3="")," ",C8/SQRT(C3))</f>
        <v xml:space="preserve"> </v>
      </c>
      <c r="G7" s="153"/>
      <c r="H7" s="97" t="s">
        <v>20</v>
      </c>
      <c r="I7" s="103" t="str">
        <f>IF(OR(C12="",C3="",C17="")," ",(1-2/(9*G27)-(G28^(1/3)))/SQRT(2/(9*G27)))</f>
        <v xml:space="preserve"> </v>
      </c>
      <c r="J7" s="33" t="s">
        <v>5</v>
      </c>
      <c r="K7" s="103" t="str">
        <f>IF(OR(C3="",C12="",C17="")," ",CHIDIST(K5,2))</f>
        <v xml:space="preserve"> </v>
      </c>
      <c r="L7" s="96"/>
      <c r="M7" s="96"/>
    </row>
    <row r="8" spans="2:15" ht="20.100000000000001" customHeight="1" thickBot="1" x14ac:dyDescent="0.35">
      <c r="B8" s="162" t="s">
        <v>8</v>
      </c>
      <c r="C8" s="18"/>
      <c r="G8" s="153"/>
      <c r="H8" s="96"/>
      <c r="I8" s="96"/>
      <c r="J8" s="96"/>
      <c r="K8" s="96"/>
      <c r="L8" s="101"/>
      <c r="M8" s="100"/>
      <c r="N8" s="96"/>
      <c r="O8" s="96"/>
    </row>
    <row r="9" spans="2:15" ht="20.100000000000001" customHeight="1" thickBot="1" x14ac:dyDescent="0.35">
      <c r="B9" s="96"/>
      <c r="C9" s="100"/>
      <c r="E9" s="96"/>
      <c r="G9" s="153"/>
      <c r="H9" s="96"/>
      <c r="I9" s="96"/>
      <c r="J9" s="97" t="s">
        <v>58</v>
      </c>
      <c r="K9" s="103" t="str">
        <f>IF(OR(C3="",C12="",C17="")," ",C3*((POWER(C12,2)/6)+(POWER(C17,2)/24)))</f>
        <v xml:space="preserve"> </v>
      </c>
      <c r="L9" s="96"/>
      <c r="M9" s="96"/>
    </row>
    <row r="10" spans="2:15" ht="20.100000000000001" customHeight="1" thickBot="1" x14ac:dyDescent="0.35">
      <c r="B10" s="35" t="s">
        <v>65</v>
      </c>
      <c r="C10" s="18"/>
      <c r="E10" s="131"/>
      <c r="G10" s="153"/>
      <c r="H10" s="127"/>
      <c r="I10" s="127"/>
      <c r="J10" s="130"/>
      <c r="K10" s="129"/>
      <c r="L10" s="33" t="s">
        <v>6</v>
      </c>
      <c r="M10" s="81" t="str">
        <f>IF(OR(C3="",C6="",C8="",C10="",C12="",C17="")," ",IF(K11&gt;=C10,"no rechazo H₀","rechazo H₀"))</f>
        <v xml:space="preserve"> </v>
      </c>
    </row>
    <row r="11" spans="2:15" ht="20.100000000000001" customHeight="1" thickBot="1" x14ac:dyDescent="0.35">
      <c r="B11" s="96"/>
      <c r="C11" s="96"/>
      <c r="E11" s="131"/>
      <c r="J11" s="33" t="s">
        <v>5</v>
      </c>
      <c r="K11" s="103" t="str">
        <f>IF(OR(C3="",C12="",C17="")," ",_xlfn.CHISQ.DIST.RT(K9,2))</f>
        <v xml:space="preserve"> </v>
      </c>
      <c r="L11" s="96"/>
      <c r="M11" s="96"/>
    </row>
    <row r="12" spans="2:15" ht="20.100000000000001" customHeight="1" thickBot="1" x14ac:dyDescent="0.35">
      <c r="B12" s="162" t="s">
        <v>105</v>
      </c>
      <c r="C12" s="79"/>
      <c r="E12" s="102" t="s">
        <v>108</v>
      </c>
      <c r="F12" s="57" t="str">
        <f>IF(OR(C3="",C8="",C10="",C12="")," ",C12-ABS(F7*_xlfn.NORM.S.INV(C10/2)))</f>
        <v xml:space="preserve"> </v>
      </c>
      <c r="J12" s="33"/>
      <c r="K12" s="148"/>
      <c r="L12" s="96"/>
      <c r="M12" s="96"/>
    </row>
    <row r="13" spans="2:15" ht="20.100000000000001" customHeight="1" thickBot="1" x14ac:dyDescent="0.35">
      <c r="E13" s="102" t="s">
        <v>109</v>
      </c>
      <c r="F13" s="57" t="str">
        <f>IF(OR(C3="",C8="",C10="",C12="")," ",C12+ABS(F7*_xlfn.NORM.S.INV(C10/2)))</f>
        <v xml:space="preserve"> </v>
      </c>
      <c r="I13" s="170"/>
      <c r="L13" s="127"/>
      <c r="M13" s="127"/>
      <c r="N13" s="96"/>
      <c r="O13" s="96"/>
    </row>
    <row r="14" spans="2:15" ht="5.0999999999999996" customHeight="1" thickBot="1" x14ac:dyDescent="0.35">
      <c r="E14" s="102"/>
      <c r="J14" s="97"/>
      <c r="K14" s="151"/>
      <c r="L14" s="127"/>
      <c r="M14" s="127"/>
      <c r="N14" s="96"/>
      <c r="O14" s="96"/>
    </row>
    <row r="15" spans="2:15" ht="20.100000000000001" customHeight="1" thickBot="1" x14ac:dyDescent="0.35">
      <c r="E15" s="97" t="s">
        <v>36</v>
      </c>
      <c r="F15" s="149" t="str">
        <f>IF(OR(C3="",C8="",C10="")," ",IF(C12=""," ",F13-F12))</f>
        <v xml:space="preserve"> </v>
      </c>
      <c r="I15" s="170"/>
      <c r="J15" s="97"/>
      <c r="K15" s="151"/>
      <c r="L15" s="127"/>
      <c r="M15" s="127"/>
      <c r="N15" s="96"/>
      <c r="O15" s="96"/>
    </row>
    <row r="16" spans="2:15" ht="5.0999999999999996" customHeight="1" thickBot="1" x14ac:dyDescent="0.3">
      <c r="E16" s="128"/>
      <c r="F16" s="128"/>
      <c r="H16" s="128"/>
      <c r="I16" s="128"/>
      <c r="J16" s="150"/>
      <c r="K16" s="128"/>
      <c r="L16" s="128"/>
      <c r="M16" s="128"/>
    </row>
    <row r="17" spans="1:13" ht="20.100000000000001" customHeight="1" thickBot="1" x14ac:dyDescent="0.3">
      <c r="B17" s="162" t="s">
        <v>104</v>
      </c>
      <c r="C17" s="18"/>
      <c r="E17" s="102" t="s">
        <v>108</v>
      </c>
      <c r="F17" s="57" t="str">
        <f>IF(OR(C3="",C8="",C10="",C17="")," ",C17-ABS(F7*_xlfn.NORM.S.INV(C10/2)))</f>
        <v xml:space="preserve"> </v>
      </c>
      <c r="L17" s="128"/>
      <c r="M17" s="128"/>
    </row>
    <row r="18" spans="1:13" ht="20.100000000000001" customHeight="1" thickBot="1" x14ac:dyDescent="0.3">
      <c r="A18" s="137"/>
      <c r="B18" s="128"/>
      <c r="C18" s="128"/>
      <c r="E18" s="102" t="s">
        <v>109</v>
      </c>
      <c r="F18" s="57" t="str">
        <f>IF(OR(C3="",C8="",C10="",C17="")," ",C17+ABS(F7*_xlfn.NORM.S.INV(C10/2)))</f>
        <v xml:space="preserve"> </v>
      </c>
      <c r="H18" s="128"/>
      <c r="I18" s="128"/>
      <c r="J18" s="128"/>
      <c r="K18" s="128"/>
      <c r="L18" s="128"/>
      <c r="M18" s="128"/>
    </row>
    <row r="19" spans="1:13" ht="5.0999999999999996" customHeight="1" thickBot="1" x14ac:dyDescent="0.3">
      <c r="A19" s="132"/>
      <c r="B19" s="132"/>
      <c r="C19" s="132"/>
      <c r="D19" s="132"/>
      <c r="E19" s="132"/>
      <c r="F19" s="132"/>
      <c r="H19" s="132"/>
      <c r="I19" s="128"/>
      <c r="J19" s="128"/>
      <c r="K19" s="128"/>
      <c r="L19" s="128"/>
      <c r="M19" s="128"/>
    </row>
    <row r="20" spans="1:13" ht="20.100000000000001" customHeight="1" thickBot="1" x14ac:dyDescent="0.35">
      <c r="A20" s="132"/>
      <c r="D20" s="104"/>
      <c r="E20" s="97" t="s">
        <v>36</v>
      </c>
      <c r="F20" s="149" t="str">
        <f>IF(OR(C3="",C8="",C10="",C17="")," ",F18-F17)</f>
        <v xml:space="preserve"> </v>
      </c>
      <c r="I20" s="128"/>
      <c r="J20" s="128"/>
      <c r="K20" s="128"/>
      <c r="L20" s="128"/>
      <c r="M20" s="128"/>
    </row>
    <row r="21" spans="1:13" ht="20.100000000000001" customHeight="1" x14ac:dyDescent="0.25">
      <c r="A21" s="132"/>
      <c r="B21" s="132"/>
      <c r="C21" s="132"/>
      <c r="D21" s="132"/>
      <c r="E21" s="132"/>
      <c r="F21" s="132"/>
      <c r="H21" s="132"/>
      <c r="I21" s="128"/>
      <c r="J21" s="128"/>
      <c r="K21" s="128"/>
      <c r="L21" s="128"/>
      <c r="M21" s="128"/>
    </row>
    <row r="22" spans="1:13" ht="20.100000000000001" customHeight="1" x14ac:dyDescent="0.3">
      <c r="A22" s="132"/>
      <c r="B22" s="105" t="s">
        <v>41</v>
      </c>
      <c r="C22" s="106" t="str">
        <f>IF(C3=""," ",IF(C12=""," ",(C3-2)*C12/(SQRT(C3*(C3-1)))))</f>
        <v xml:space="preserve"> </v>
      </c>
      <c r="D22" s="106"/>
      <c r="E22" s="106"/>
      <c r="F22" s="106"/>
      <c r="H22" s="132"/>
      <c r="I22" s="128"/>
      <c r="J22" s="128"/>
      <c r="K22" s="128"/>
      <c r="L22" s="128"/>
      <c r="M22" s="128"/>
    </row>
    <row r="23" spans="1:13" ht="18.75" x14ac:dyDescent="0.3">
      <c r="A23" s="132"/>
      <c r="B23" s="107" t="s">
        <v>40</v>
      </c>
      <c r="C23" s="106" t="str">
        <f>IF(C3=""," ",IF(C12=""," ",C22*SQRT((C3+1)*(C3+3)/(6*(C3-2)))))</f>
        <v xml:space="preserve"> </v>
      </c>
      <c r="D23" s="106"/>
      <c r="E23" s="106"/>
      <c r="F23" s="105" t="s">
        <v>47</v>
      </c>
      <c r="G23" s="152" t="str">
        <f>IF(C3=""," ",IF(C12=""," ",24*C3*(C3-2)*(C3-3)/((C3+1)^2*(C3+3)*(C3+5))))</f>
        <v xml:space="preserve"> </v>
      </c>
      <c r="H23" s="108"/>
      <c r="I23" s="128"/>
    </row>
    <row r="24" spans="1:13" ht="18.75" x14ac:dyDescent="0.3">
      <c r="A24" s="132"/>
      <c r="B24" s="107" t="s">
        <v>42</v>
      </c>
      <c r="C24" s="106" t="str">
        <f>IF(C3=""," ",IF(C12=""," ",(3*(C3^2+27*C3-70)*(C3+1)*(C3+3))/((C3-2)*(C3+5)*(C3+7)*(C3+9))))</f>
        <v xml:space="preserve"> </v>
      </c>
      <c r="D24" s="106"/>
      <c r="E24" s="108"/>
      <c r="F24" s="107" t="s">
        <v>48</v>
      </c>
      <c r="G24" s="152" t="str">
        <f>IF(C3=""," ",IF(C17=""," ",(C3-2)*(C3-3)*ABS(C17)/((C3+1)*(C3-1)*SQRT(G23))))</f>
        <v xml:space="preserve"> </v>
      </c>
      <c r="H24" s="108"/>
      <c r="I24" s="132"/>
      <c r="J24" s="132"/>
      <c r="K24" s="132"/>
      <c r="L24" s="132"/>
      <c r="M24" s="132"/>
    </row>
    <row r="25" spans="1:13" ht="18.75" x14ac:dyDescent="0.3">
      <c r="A25" s="132"/>
      <c r="B25" s="107" t="s">
        <v>43</v>
      </c>
      <c r="C25" s="106" t="str">
        <f>IF(C3=""," ",IF(C12=""," ",SQRT(2*(C24-1))-1))</f>
        <v xml:space="preserve"> </v>
      </c>
      <c r="D25" s="106"/>
      <c r="E25" s="108"/>
      <c r="F25" s="107" t="s">
        <v>49</v>
      </c>
      <c r="G25" s="152" t="str">
        <f>IF(C3=""," ",IF(C17=""," ",6*(C3^2-5*C3+2)/((C3+7)*(C3+9))))</f>
        <v xml:space="preserve"> </v>
      </c>
      <c r="H25" s="108"/>
      <c r="I25" s="132"/>
      <c r="J25" s="132"/>
      <c r="K25" s="132"/>
      <c r="L25" s="132"/>
      <c r="M25" s="132"/>
    </row>
    <row r="26" spans="1:13" ht="18.75" x14ac:dyDescent="0.3">
      <c r="A26" s="132"/>
      <c r="B26" s="107" t="s">
        <v>44</v>
      </c>
      <c r="C26" s="106" t="str">
        <f>IF(C3=""," ",IF(C12=""," ",SQRT(C25)))</f>
        <v xml:space="preserve"> </v>
      </c>
      <c r="D26" s="106"/>
      <c r="E26" s="108"/>
      <c r="F26" s="107" t="s">
        <v>50</v>
      </c>
      <c r="G26" s="152" t="str">
        <f>IF(C3=""," ",IF(C17=""," ",G25*SQRT(6*(C3+3)*(C3+5)/(C3*(C3-2)*(C3-3)))))</f>
        <v xml:space="preserve"> </v>
      </c>
      <c r="H26" s="108"/>
      <c r="I26" s="132"/>
      <c r="J26" s="132"/>
      <c r="K26" s="132"/>
      <c r="L26" s="132"/>
      <c r="M26" s="132"/>
    </row>
    <row r="27" spans="1:13" ht="18.75" x14ac:dyDescent="0.3">
      <c r="A27" s="132"/>
      <c r="B27" s="107" t="s">
        <v>45</v>
      </c>
      <c r="C27" s="106" t="str">
        <f>IF(C3=""," ",IF(C12=""," ",1/SQRT(LN(C26))))</f>
        <v xml:space="preserve"> </v>
      </c>
      <c r="D27" s="106"/>
      <c r="E27" s="108"/>
      <c r="F27" s="107" t="s">
        <v>51</v>
      </c>
      <c r="G27" s="152" t="str">
        <f>IF(C3=""," ",IF(C17=""," ",6+(8/G26)*((2/G26)+SQRT(1+(4/G26^2)))))</f>
        <v xml:space="preserve"> </v>
      </c>
      <c r="H27" s="132"/>
      <c r="I27" s="132"/>
      <c r="J27" s="132"/>
      <c r="K27" s="132"/>
      <c r="L27" s="132"/>
      <c r="M27" s="132"/>
    </row>
    <row r="28" spans="1:13" ht="18.75" x14ac:dyDescent="0.3">
      <c r="A28" s="132"/>
      <c r="B28" s="107" t="s">
        <v>46</v>
      </c>
      <c r="C28" s="106" t="str">
        <f>IF(C3=""," ",IF(C12=""," ",C23/SQRT(2/(C25-1))))</f>
        <v xml:space="preserve"> </v>
      </c>
      <c r="D28" s="106"/>
      <c r="E28" s="108"/>
      <c r="F28" s="107" t="s">
        <v>52</v>
      </c>
      <c r="G28" s="152" t="str">
        <f>IF(C3=""," ",IF(C17=""," ",(1-2/G27)/(1+(G24*SQRT(2/(G27-4))))))</f>
        <v xml:space="preserve"> </v>
      </c>
      <c r="H28" s="132"/>
      <c r="I28" s="132"/>
      <c r="J28" s="132"/>
      <c r="K28" s="132"/>
      <c r="L28" s="132"/>
      <c r="M28" s="132"/>
    </row>
    <row r="29" spans="1:13" x14ac:dyDescent="0.25">
      <c r="A29" s="132"/>
      <c r="B29" s="132"/>
      <c r="C29" s="132"/>
      <c r="D29" s="132"/>
      <c r="E29" s="132"/>
      <c r="F29" s="132"/>
      <c r="H29" s="132"/>
      <c r="I29" s="132"/>
      <c r="J29" s="132"/>
      <c r="K29" s="132"/>
      <c r="L29" s="132"/>
      <c r="M29" s="132"/>
    </row>
    <row r="30" spans="1:13" x14ac:dyDescent="0.25">
      <c r="A30" s="132"/>
      <c r="B30" s="132"/>
      <c r="C30" s="132"/>
      <c r="D30" s="132"/>
      <c r="E30" s="132"/>
      <c r="F30" s="132"/>
      <c r="H30" s="132"/>
      <c r="I30" s="132"/>
      <c r="J30" s="132"/>
      <c r="K30" s="132"/>
      <c r="L30" s="132"/>
      <c r="M30" s="132"/>
    </row>
    <row r="31" spans="1:13" x14ac:dyDescent="0.25">
      <c r="B31" s="132"/>
      <c r="C31" s="132"/>
      <c r="D31" s="132"/>
      <c r="E31" s="132"/>
      <c r="F31" s="132"/>
      <c r="H31" s="132"/>
      <c r="I31" s="132"/>
      <c r="J31" s="132"/>
      <c r="K31" s="132"/>
      <c r="L31" s="132"/>
      <c r="M31" s="132"/>
    </row>
    <row r="32" spans="1:13" x14ac:dyDescent="0.25">
      <c r="B32" s="132"/>
      <c r="C32" s="132"/>
      <c r="D32" s="132"/>
      <c r="E32" s="132"/>
      <c r="F32" s="132"/>
      <c r="H32" s="132"/>
      <c r="I32" s="132"/>
      <c r="J32" s="132"/>
      <c r="K32" s="132"/>
      <c r="L32" s="132"/>
      <c r="M32" s="132"/>
    </row>
    <row r="33" spans="2:13" x14ac:dyDescent="0.25">
      <c r="B33" s="132"/>
      <c r="C33" s="132"/>
      <c r="D33" s="132"/>
      <c r="E33" s="132"/>
      <c r="F33" s="132"/>
      <c r="H33" s="132"/>
      <c r="I33" s="132"/>
      <c r="J33" s="132"/>
      <c r="K33" s="132"/>
      <c r="L33" s="132"/>
      <c r="M33" s="132"/>
    </row>
    <row r="34" spans="2:13" x14ac:dyDescent="0.25">
      <c r="B34" s="132"/>
      <c r="C34" s="132"/>
      <c r="D34" s="132"/>
      <c r="E34" s="132"/>
      <c r="F34" s="132"/>
      <c r="H34" s="132"/>
      <c r="I34" s="132"/>
      <c r="J34" s="132"/>
      <c r="K34" s="132"/>
      <c r="L34" s="132"/>
      <c r="M34" s="132"/>
    </row>
  </sheetData>
  <sheetProtection algorithmName="SHA-512" hashValue="Gl2Wsc41tst5MphVjB6YpeJar5yIUajRQl8O8eWylPen/T33XPuBUz8aImpdKsGsp+HX1DA6g0K60Fp5cjMCPg==" saltValue="aTOkslZp2lBICgxQLsESDg==" spinCount="100000" sheet="1" objects="1" scenarios="1" selectLockedCells="1"/>
  <protectedRanges>
    <protectedRange sqref="C17:D17" name="Rango6"/>
    <protectedRange sqref="C12 D13:D15" name="Rango5"/>
    <protectedRange sqref="C10:D10" name="Rango4"/>
    <protectedRange sqref="C8:D8" name="Rango3"/>
    <protectedRange sqref="C6:D6" name="Rango2"/>
    <protectedRange sqref="C3:D4" name="Rango1"/>
  </protectedRanges>
  <dataValidations count="9">
    <dataValidation type="decimal" allowBlank="1" showInputMessage="1" showErrorMessage="1" errorTitle="CUIDADO !!!" error="alfa toma valores en el intervalo [0; 1]" sqref="D10">
      <formula1>0</formula1>
      <formula2>1</formula2>
    </dataValidation>
    <dataValidation type="decimal" operator="greaterThanOrEqual" allowBlank="1" showInputMessage="1" showErrorMessage="1" errorTitle="CUIDADO !!!" error="la desviación estándar debe ser &gt;=0" sqref="D8">
      <formula1>0</formula1>
    </dataValidation>
    <dataValidation type="whole" operator="greaterThanOrEqual" allowBlank="1" showInputMessage="1" showErrorMessage="1" errorTitle="CUIDADO !!!" error="el tamaño de la muestra debe ser un número entero &gt;=20" sqref="C4">
      <formula1>20</formula1>
    </dataValidation>
    <dataValidation type="whole" operator="greaterThanOrEqual" allowBlank="1" showInputMessage="1" showErrorMessage="1" errorTitle="CUIDADO !!!" error="el tamaño muestral debe ser un número entero ≥20" prompt="tamaño muestral" sqref="C3">
      <formula1>20</formula1>
    </dataValidation>
    <dataValidation allowBlank="1" showInputMessage="1" showErrorMessage="1" prompt="media muestral" sqref="C6"/>
    <dataValidation type="decimal" operator="greaterThanOrEqual" allowBlank="1" showInputMessage="1" showErrorMessage="1" errorTitle="CUIDADO !!!" error="la desviación estándar muestral debe ser un número ≥ 0" prompt="desviación estándar muestral" sqref="C8">
      <formula1>0</formula1>
    </dataValidation>
    <dataValidation type="decimal" allowBlank="1" showInputMessage="1" showErrorMessage="1" errorTitle="CUIDADO !!!" error="alfa toma valores en el intervalo [0; 1]" prompt="nivel de significación" sqref="C10">
      <formula1>0</formula1>
      <formula2>1</formula2>
    </dataValidation>
    <dataValidation allowBlank="1" showInputMessage="1" showErrorMessage="1" prompt="coeficiente de asimetría muestral" sqref="C12"/>
    <dataValidation allowBlank="1" showInputMessage="1" showErrorMessage="1" prompt="coeficiente de curtosis muestral" sqref="C17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showRowColHeaders="0" zoomScaleNormal="100" workbookViewId="0">
      <selection activeCell="C3" sqref="C3"/>
    </sheetView>
  </sheetViews>
  <sheetFormatPr baseColWidth="10" defaultRowHeight="18.75" x14ac:dyDescent="0.3"/>
  <cols>
    <col min="1" max="1" width="5.7109375" style="34" customWidth="1"/>
    <col min="2" max="2" width="11.7109375" style="34" customWidth="1"/>
    <col min="3" max="3" width="12.7109375" style="34" customWidth="1"/>
    <col min="4" max="4" width="1.7109375" style="34" customWidth="1"/>
    <col min="5" max="5" width="8.7109375" style="34" customWidth="1"/>
    <col min="6" max="6" width="12.7109375" style="34" customWidth="1"/>
    <col min="7" max="7" width="1.7109375" style="34" customWidth="1"/>
    <col min="8" max="8" width="14.7109375" style="42" customWidth="1"/>
    <col min="9" max="10" width="19.7109375" style="34" customWidth="1"/>
    <col min="11" max="11" width="11.42578125" style="34"/>
    <col min="12" max="12" width="11.85546875" style="34" bestFit="1" customWidth="1"/>
    <col min="13" max="16384" width="11.42578125" style="34"/>
  </cols>
  <sheetData>
    <row r="1" spans="1:11" s="32" customFormat="1" ht="21" customHeight="1" x14ac:dyDescent="0.25">
      <c r="A1" s="30"/>
      <c r="B1" s="31" t="s">
        <v>95</v>
      </c>
      <c r="H1" s="33"/>
    </row>
    <row r="2" spans="1:11" ht="19.5" thickBot="1" x14ac:dyDescent="0.35">
      <c r="B2" s="32"/>
      <c r="C2" s="32"/>
      <c r="D2" s="32"/>
      <c r="E2" s="32"/>
      <c r="F2" s="32"/>
      <c r="G2" s="32"/>
      <c r="H2" s="33"/>
      <c r="I2" s="32"/>
      <c r="J2" s="32"/>
    </row>
    <row r="3" spans="1:11" ht="20.100000000000001" customHeight="1" thickBot="1" x14ac:dyDescent="0.35">
      <c r="B3" s="160" t="s">
        <v>69</v>
      </c>
      <c r="C3" s="15"/>
      <c r="D3" s="32"/>
      <c r="E3" s="32"/>
      <c r="F3" s="36"/>
      <c r="G3" s="32"/>
      <c r="H3" s="33"/>
      <c r="I3" s="80" t="s">
        <v>62</v>
      </c>
      <c r="J3" s="80" t="s">
        <v>63</v>
      </c>
    </row>
    <row r="4" spans="1:11" ht="20.100000000000001" customHeight="1" thickBot="1" x14ac:dyDescent="0.35">
      <c r="B4" s="160" t="s">
        <v>80</v>
      </c>
      <c r="C4" s="16"/>
      <c r="D4" s="32"/>
      <c r="E4" s="159"/>
      <c r="F4" s="32"/>
      <c r="G4" s="32"/>
      <c r="H4" s="33" t="s">
        <v>5</v>
      </c>
      <c r="I4" s="37" t="str">
        <f>IF(F6=" "," ",IF(F6&lt;0,_xlfn.NORM.S.DIST($F$6,1),1-_xlfn.NORM.S.DIST(F6,1)))</f>
        <v xml:space="preserve"> </v>
      </c>
      <c r="J4" s="37" t="str">
        <f>IF(F6=" "," ",2*I4)</f>
        <v xml:space="preserve"> </v>
      </c>
    </row>
    <row r="5" spans="1:11" ht="20.100000000000001" customHeight="1" thickBot="1" x14ac:dyDescent="0.35">
      <c r="B5" s="160" t="s">
        <v>81</v>
      </c>
      <c r="C5" s="16"/>
      <c r="D5" s="32"/>
      <c r="E5" s="32"/>
      <c r="F5" s="32"/>
      <c r="G5" s="32"/>
      <c r="H5" s="32"/>
      <c r="I5" s="32"/>
      <c r="J5" s="32"/>
    </row>
    <row r="6" spans="1:11" ht="20.100000000000001" customHeight="1" thickBot="1" x14ac:dyDescent="0.35">
      <c r="B6" s="160" t="s">
        <v>1</v>
      </c>
      <c r="C6" s="17"/>
      <c r="D6" s="32"/>
      <c r="E6" s="33" t="s">
        <v>7</v>
      </c>
      <c r="F6" s="118" t="str">
        <f>IF(OR(C3="",C4="",C5="",C6="",C8=0)," ",(C3-C4)/C8)</f>
        <v xml:space="preserve"> </v>
      </c>
      <c r="G6" s="38"/>
      <c r="H6" s="32"/>
      <c r="I6" s="35" t="s">
        <v>66</v>
      </c>
      <c r="J6" s="18"/>
    </row>
    <row r="7" spans="1:11" ht="5.0999999999999996" customHeight="1" thickBot="1" x14ac:dyDescent="0.35">
      <c r="B7" s="40"/>
      <c r="C7" s="49"/>
      <c r="D7" s="32"/>
      <c r="E7" s="32"/>
      <c r="F7" s="49"/>
      <c r="G7" s="32"/>
      <c r="H7" s="32"/>
      <c r="I7" s="32"/>
      <c r="J7" s="39"/>
    </row>
    <row r="8" spans="1:11" ht="20.100000000000001" customHeight="1" thickBot="1" x14ac:dyDescent="0.35">
      <c r="B8" s="33" t="s">
        <v>9</v>
      </c>
      <c r="C8" s="52" t="str">
        <f>IF(OR(C5="",C6="")," ",C5/SQRT(C6))</f>
        <v xml:space="preserve"> </v>
      </c>
      <c r="D8" s="32"/>
      <c r="E8" s="32"/>
      <c r="F8" s="49"/>
      <c r="G8" s="32"/>
      <c r="H8" s="33" t="s">
        <v>6</v>
      </c>
      <c r="I8" s="81" t="str">
        <f>IF(OR(I4=" ",J6="")," ",IF(I4&gt;=J6,"no rechazo H₀","rechazo H₀"))</f>
        <v xml:space="preserve"> </v>
      </c>
      <c r="J8" s="81" t="str">
        <f>IF(OR(J4=" ",J6="")," ",IF(J4&gt;=J6,"no rechazo H₀","rechazo H₀"))</f>
        <v xml:space="preserve"> </v>
      </c>
    </row>
    <row r="9" spans="1:11" ht="5.0999999999999996" customHeight="1" thickBot="1" x14ac:dyDescent="0.35">
      <c r="C9" s="124"/>
      <c r="F9" s="64"/>
      <c r="H9" s="33"/>
      <c r="I9" s="64"/>
      <c r="J9" s="64"/>
    </row>
    <row r="10" spans="1:11" ht="20.100000000000001" customHeight="1" thickBot="1" x14ac:dyDescent="0.35">
      <c r="B10" s="33" t="s">
        <v>33</v>
      </c>
      <c r="C10" s="78" t="str">
        <f>IF(OR(F6=" ",J6="")," ",ABS(_xlfn.NORM.S.INV(J6/2)))</f>
        <v xml:space="preserve"> </v>
      </c>
      <c r="E10" s="33" t="s">
        <v>7</v>
      </c>
      <c r="F10" s="43" t="str">
        <f>IF(OR(F6=" ",J6="")," ",IF(C3&gt;C4,ABS(_xlfn.NORM.S.INV(J6)),_xlfn.NORM.S.INV(J6)))</f>
        <v xml:space="preserve"> </v>
      </c>
      <c r="H10" s="33" t="s">
        <v>108</v>
      </c>
      <c r="I10" s="57" t="str">
        <f>IF(OR(I4=" ",J6="")," ",C3-ABS(F10)*C8)</f>
        <v xml:space="preserve"> </v>
      </c>
      <c r="J10" s="57" t="str">
        <f>IF(OR(J4=" ",J6="")," ",C3-ABS(C10)*C8)</f>
        <v xml:space="preserve"> </v>
      </c>
      <c r="K10" s="33"/>
    </row>
    <row r="11" spans="1:11" ht="20.100000000000001" customHeight="1" thickBot="1" x14ac:dyDescent="0.35">
      <c r="C11" s="64"/>
      <c r="E11" s="33"/>
      <c r="F11" s="64"/>
      <c r="H11" s="33" t="s">
        <v>109</v>
      </c>
      <c r="I11" s="57" t="str">
        <f>IF(OR(I4=" ",J6="")," ",C3+ABS(F10)*C8)</f>
        <v xml:space="preserve"> </v>
      </c>
      <c r="J11" s="57" t="str">
        <f>IF(OR(J4=" ",J6="")," ",C3+ABS(C10)*C8)</f>
        <v xml:space="preserve"> </v>
      </c>
      <c r="K11" s="33"/>
    </row>
    <row r="12" spans="1:11" ht="5.0999999999999996" customHeight="1" thickBot="1" x14ac:dyDescent="0.35">
      <c r="C12" s="64"/>
      <c r="E12" s="33"/>
      <c r="F12" s="64"/>
      <c r="H12" s="33"/>
      <c r="I12" s="94"/>
      <c r="J12" s="94"/>
      <c r="K12" s="33"/>
    </row>
    <row r="13" spans="1:11" ht="20.100000000000001" customHeight="1" thickBot="1" x14ac:dyDescent="0.35">
      <c r="C13" s="64"/>
      <c r="E13" s="33"/>
      <c r="F13" s="64"/>
      <c r="H13" s="33" t="s">
        <v>36</v>
      </c>
      <c r="I13" s="90" t="str">
        <f>IF(OR(I4=" ",J6="")," ",+I11-I10)</f>
        <v xml:space="preserve"> </v>
      </c>
      <c r="J13" s="90" t="str">
        <f>IF(OR(J4=" ",J6="")," ",+J11-J10)</f>
        <v xml:space="preserve"> </v>
      </c>
      <c r="K13" s="33"/>
    </row>
    <row r="14" spans="1:11" ht="5.0999999999999996" customHeight="1" thickBot="1" x14ac:dyDescent="0.35">
      <c r="C14" s="64"/>
      <c r="E14" s="33"/>
      <c r="F14" s="64"/>
      <c r="H14" s="33"/>
      <c r="I14" s="64"/>
      <c r="J14" s="64"/>
    </row>
    <row r="15" spans="1:11" ht="20.100000000000001" customHeight="1" thickBot="1" x14ac:dyDescent="0.35">
      <c r="C15" s="64"/>
      <c r="E15" s="33"/>
      <c r="F15" s="64"/>
      <c r="H15" s="33" t="s">
        <v>35</v>
      </c>
      <c r="I15" s="91" t="str">
        <f>IF(C5=""," ",IF(I4&lt;J6,ABS((C3-C4)/C5),IF(J4&lt;J6,ABS((C3-C4)/C5)," ")))</f>
        <v xml:space="preserve"> </v>
      </c>
      <c r="J15" s="64"/>
    </row>
    <row r="16" spans="1:11" ht="5.0999999999999996" customHeight="1" thickBot="1" x14ac:dyDescent="0.35">
      <c r="C16" s="64"/>
      <c r="E16" s="33"/>
      <c r="F16" s="64"/>
      <c r="H16" s="33"/>
      <c r="I16" s="49"/>
      <c r="J16" s="49"/>
    </row>
    <row r="17" spans="2:10" ht="20.100000000000001" customHeight="1" thickBot="1" x14ac:dyDescent="0.35">
      <c r="B17" s="160" t="s">
        <v>82</v>
      </c>
      <c r="C17" s="79"/>
      <c r="E17" s="33"/>
      <c r="F17" s="64"/>
      <c r="H17" s="46" t="s">
        <v>31</v>
      </c>
      <c r="I17" s="77" t="str">
        <f>IF(OR(J6="",I4=" ",C17="")," ",1-I19)</f>
        <v xml:space="preserve"> </v>
      </c>
      <c r="J17" s="77" t="str">
        <f>IF(OR(J6="",J4=" ",C17="")," ",1-J19)</f>
        <v xml:space="preserve"> </v>
      </c>
    </row>
    <row r="18" spans="2:10" ht="5.0999999999999996" customHeight="1" thickBot="1" x14ac:dyDescent="0.35">
      <c r="C18" s="64"/>
      <c r="E18" s="33"/>
      <c r="F18" s="64"/>
      <c r="H18" s="33"/>
      <c r="I18" s="49"/>
      <c r="J18" s="49"/>
    </row>
    <row r="19" spans="2:10" ht="20.100000000000001" customHeight="1" thickBot="1" x14ac:dyDescent="0.35">
      <c r="B19" s="33" t="s">
        <v>7</v>
      </c>
      <c r="C19" s="54" t="str">
        <f>IF(OR(J6="",F6=" ",C17="")," ",C4-ABS(F10)*C8)</f>
        <v xml:space="preserve"> </v>
      </c>
      <c r="E19" s="42" t="s">
        <v>32</v>
      </c>
      <c r="F19" s="119" t="str">
        <f>IF(OR(J6="",F6=" ",C17="")," ",(C19-C17)/C8)</f>
        <v xml:space="preserve"> </v>
      </c>
      <c r="H19" s="33" t="s">
        <v>64</v>
      </c>
      <c r="I19" s="76" t="str">
        <f>IF(OR(J6="",I4=" ",C17="")," ",_xlfn.NORM.DIST(C19,C17,C8,1))</f>
        <v xml:space="preserve"> </v>
      </c>
      <c r="J19" s="76" t="str">
        <f>IF(OR(J6="",J4=" ",C17="")," ",_xlfn.NORM.DIST(C21,C17,C8,1)+(1-_xlfn.NORM.DIST(C22,C17,C8,1)))</f>
        <v xml:space="preserve"> </v>
      </c>
    </row>
    <row r="20" spans="2:10" ht="5.0999999999999996" customHeight="1" x14ac:dyDescent="0.3">
      <c r="C20" s="64"/>
      <c r="F20" s="64"/>
      <c r="H20" s="34"/>
    </row>
    <row r="21" spans="2:10" ht="20.100000000000001" customHeight="1" x14ac:dyDescent="0.3">
      <c r="B21" s="42" t="s">
        <v>32</v>
      </c>
      <c r="C21" s="52" t="str">
        <f>IF(OR(J6="",F6=" ",C17="")," ",C4-ABS(C10)*C8)</f>
        <v xml:space="preserve"> </v>
      </c>
      <c r="E21" s="42" t="s">
        <v>32</v>
      </c>
      <c r="F21" s="119" t="str">
        <f>IF(OR(J6="",F6=" ",C17="")," ",(C21-C17)/C8)</f>
        <v xml:space="preserve"> </v>
      </c>
      <c r="H21" s="34"/>
    </row>
    <row r="22" spans="2:10" ht="20.100000000000001" customHeight="1" x14ac:dyDescent="0.3">
      <c r="B22" s="42" t="s">
        <v>32</v>
      </c>
      <c r="C22" s="52" t="str">
        <f>IF(OR(J6="",F6=" ",C17="")," ",C4+ABS(C10)*C8)</f>
        <v xml:space="preserve"> </v>
      </c>
      <c r="E22" s="42" t="s">
        <v>32</v>
      </c>
      <c r="F22" s="119" t="str">
        <f>IF(OR(J6="",F6=" ",C17="")," ",(C22-C17)/C8)</f>
        <v xml:space="preserve"> </v>
      </c>
      <c r="H22" s="34"/>
    </row>
    <row r="23" spans="2:10" x14ac:dyDescent="0.3">
      <c r="H23" s="178"/>
    </row>
    <row r="25" spans="2:10" x14ac:dyDescent="0.3">
      <c r="E25" s="46"/>
    </row>
  </sheetData>
  <sheetProtection algorithmName="SHA-512" hashValue="UJYPvgCgn7l0SZbPMhOecG+mQ1ey/caEvwVWqP6ZOjtqRBnMyFETxFl5B/B0JxO8UcEV5HjFai33FTghGeWu7w==" saltValue="D04N80qhshegS7J5jyhxxA==" spinCount="100000" sheet="1" objects="1" scenarios="1" selectLockedCells="1"/>
  <protectedRanges>
    <protectedRange sqref="C17" name="Rango3"/>
    <protectedRange sqref="J6" name="Rango2"/>
    <protectedRange sqref="C3:C6" name="Rango1_2"/>
  </protectedRanges>
  <dataValidations count="5">
    <dataValidation type="decimal" operator="greaterThanOrEqual" allowBlank="1" showInputMessage="1" showErrorMessage="1" errorTitle="CUIDADO !!!" error="la desviación estándar poblacional debe ser un número ≥ 0" prompt="desviación estándar poblacional" sqref="C5">
      <formula1>0</formula1>
    </dataValidation>
    <dataValidation type="whole" operator="greaterThanOrEqual" allowBlank="1" showInputMessage="1" showErrorMessage="1" errorTitle="CUIDADO !!!" error="el tamaño de la muestra debe ser un numero entero ≥ 2" prompt="tamaño muestral" sqref="C6">
      <formula1>2</formula1>
    </dataValidation>
    <dataValidation type="decimal" allowBlank="1" showInputMessage="1" showErrorMessage="1" errorTitle="CUIDADO !!!" error="alfa sólo toma valores en el intervalo [0; 1]" prompt="nivel de significación" sqref="J6">
      <formula1>0</formula1>
      <formula2>1</formula2>
    </dataValidation>
    <dataValidation allowBlank="1" showInputMessage="1" showErrorMessage="1" prompt="media muestral" sqref="C3"/>
    <dataValidation allowBlank="1" showInputMessage="1" showErrorMessage="1" prompt="parámetro" sqref="C4 C17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RowColHeaders="0" zoomScaleNormal="100" workbookViewId="0">
      <selection activeCell="C3" sqref="C3"/>
    </sheetView>
  </sheetViews>
  <sheetFormatPr baseColWidth="10" defaultRowHeight="18.75" x14ac:dyDescent="0.3"/>
  <cols>
    <col min="1" max="1" width="5.7109375" style="34" customWidth="1"/>
    <col min="2" max="2" width="11.7109375" style="34" customWidth="1"/>
    <col min="3" max="3" width="12.7109375" style="34" customWidth="1"/>
    <col min="4" max="4" width="1.7109375" style="34" customWidth="1"/>
    <col min="5" max="5" width="8.7109375" style="34" customWidth="1"/>
    <col min="6" max="6" width="12.7109375" style="34" customWidth="1"/>
    <col min="7" max="7" width="1.7109375" style="34" customWidth="1"/>
    <col min="8" max="8" width="14.7109375" style="34" customWidth="1"/>
    <col min="9" max="10" width="19.7109375" style="34" customWidth="1"/>
    <col min="11" max="16384" width="11.42578125" style="34"/>
  </cols>
  <sheetData>
    <row r="1" spans="1:10" ht="21" customHeight="1" x14ac:dyDescent="0.3">
      <c r="A1" s="32"/>
      <c r="B1" s="31" t="s">
        <v>96</v>
      </c>
      <c r="C1" s="32"/>
      <c r="D1" s="32"/>
      <c r="E1" s="32"/>
      <c r="F1" s="32"/>
      <c r="G1" s="32"/>
    </row>
    <row r="2" spans="1:10" ht="19.5" thickBot="1" x14ac:dyDescent="0.35"/>
    <row r="3" spans="1:10" ht="20.100000000000001" customHeight="1" thickBot="1" x14ac:dyDescent="0.35">
      <c r="B3" s="160" t="s">
        <v>69</v>
      </c>
      <c r="C3" s="15"/>
      <c r="D3" s="32"/>
      <c r="E3" s="32"/>
      <c r="F3" s="32"/>
      <c r="G3" s="32"/>
      <c r="H3" s="33"/>
      <c r="I3" s="80" t="s">
        <v>62</v>
      </c>
      <c r="J3" s="80" t="s">
        <v>63</v>
      </c>
    </row>
    <row r="4" spans="1:10" ht="20.100000000000001" customHeight="1" thickBot="1" x14ac:dyDescent="0.35">
      <c r="B4" s="160" t="s">
        <v>80</v>
      </c>
      <c r="C4" s="16"/>
      <c r="D4" s="32"/>
      <c r="E4" s="33" t="s">
        <v>2</v>
      </c>
      <c r="F4" s="117" t="str">
        <f>IF(C6&lt;=1,"",IF(C6=""," ",+C6-1))</f>
        <v/>
      </c>
      <c r="G4" s="32"/>
      <c r="H4" s="33" t="s">
        <v>5</v>
      </c>
      <c r="I4" s="37" t="str">
        <f>IF(F6=" "," ",IF(F6&lt;0,_xlfn.T.DIST(F6,F4,1),_xlfn.T.DIST.RT(F6,F4)))</f>
        <v xml:space="preserve"> </v>
      </c>
      <c r="J4" s="37" t="str">
        <f>IF(F6=" "," ",_xlfn.T.DIST.2T(ABS(F6),F4))</f>
        <v xml:space="preserve"> </v>
      </c>
    </row>
    <row r="5" spans="1:10" ht="20.100000000000001" customHeight="1" thickBot="1" x14ac:dyDescent="0.35">
      <c r="B5" s="160" t="s">
        <v>8</v>
      </c>
      <c r="C5" s="16"/>
      <c r="D5" s="32"/>
      <c r="E5" s="32"/>
      <c r="F5" s="49"/>
      <c r="G5" s="32"/>
      <c r="H5" s="32"/>
      <c r="I5" s="32"/>
      <c r="J5" s="32"/>
    </row>
    <row r="6" spans="1:10" ht="20.100000000000001" customHeight="1" thickBot="1" x14ac:dyDescent="0.35">
      <c r="B6" s="160" t="s">
        <v>1</v>
      </c>
      <c r="C6" s="17"/>
      <c r="D6" s="44"/>
      <c r="E6" s="33" t="s">
        <v>7</v>
      </c>
      <c r="F6" s="118" t="str">
        <f>IF(OR(C3="",C4="",C5=0,C6="")," ",(C3-C4)/C8)</f>
        <v xml:space="preserve"> </v>
      </c>
      <c r="G6" s="38"/>
      <c r="H6" s="32"/>
      <c r="I6" s="35" t="s">
        <v>65</v>
      </c>
      <c r="J6" s="18"/>
    </row>
    <row r="7" spans="1:10" ht="5.0999999999999996" customHeight="1" thickBot="1" x14ac:dyDescent="0.35">
      <c r="B7" s="40"/>
      <c r="C7" s="49"/>
      <c r="D7" s="32"/>
      <c r="E7" s="32"/>
      <c r="F7" s="49"/>
      <c r="G7" s="32"/>
      <c r="H7" s="32"/>
      <c r="I7" s="32"/>
      <c r="J7" s="39"/>
    </row>
    <row r="8" spans="1:10" ht="20.100000000000001" customHeight="1" thickBot="1" x14ac:dyDescent="0.35">
      <c r="B8" s="33" t="s">
        <v>9</v>
      </c>
      <c r="C8" s="41" t="str">
        <f>IF(OR(C3="",C4="",C5="",C6="")," ",C5/SQRT(C6))</f>
        <v xml:space="preserve"> </v>
      </c>
      <c r="D8" s="32"/>
      <c r="E8" s="32"/>
      <c r="F8" s="49"/>
      <c r="G8" s="32"/>
      <c r="H8" s="33" t="s">
        <v>6</v>
      </c>
      <c r="I8" s="81" t="str">
        <f>IF(OR(C3="",C4="",C5="",C6="",J6="")," ",IF(I4&gt;=J6,"no rechazo H₀","rechazo H₀"))</f>
        <v xml:space="preserve"> </v>
      </c>
      <c r="J8" s="81" t="str">
        <f>IF(OR(C3="",C4="",C5="",C6="",J6="")," ",IF(J4&gt;=J6,"no rechazo H₀","rechazo H₀"))</f>
        <v xml:space="preserve"> </v>
      </c>
    </row>
    <row r="9" spans="1:10" ht="5.0999999999999996" customHeight="1" thickBot="1" x14ac:dyDescent="0.35">
      <c r="C9" s="64"/>
      <c r="F9" s="49"/>
      <c r="H9" s="84"/>
      <c r="I9" s="49"/>
      <c r="J9" s="49"/>
    </row>
    <row r="10" spans="1:10" ht="20.100000000000001" customHeight="1" thickBot="1" x14ac:dyDescent="0.35">
      <c r="B10" s="33" t="s">
        <v>33</v>
      </c>
      <c r="C10" s="43" t="str">
        <f>IF(OR(F6=" ",J6="")," ",ABS(_xlfn.T.INV.2T(J6,F4)))</f>
        <v xml:space="preserve"> </v>
      </c>
      <c r="E10" s="33" t="s">
        <v>7</v>
      </c>
      <c r="F10" s="43" t="str">
        <f>IF(OR(F6=" ",J6="")," ",IF(C3&gt;C4,ABS(_xlfn.T.INV(J6,F4)),_xlfn.T.INV(J6,F4)))</f>
        <v xml:space="preserve"> </v>
      </c>
      <c r="H10" s="33" t="s">
        <v>108</v>
      </c>
      <c r="I10" s="57" t="str">
        <f>IF(OR(I4=" ",J6="")," ",C3-ABS(F10)*C8)</f>
        <v xml:space="preserve"> </v>
      </c>
      <c r="J10" s="57" t="str">
        <f>IF(OR(J4=" ",J6="")," ",C3-ABS(C10)*C8)</f>
        <v xml:space="preserve"> </v>
      </c>
    </row>
    <row r="11" spans="1:10" ht="20.100000000000001" customHeight="1" thickBot="1" x14ac:dyDescent="0.35">
      <c r="C11" s="64"/>
      <c r="F11" s="49"/>
      <c r="H11" s="33" t="s">
        <v>109</v>
      </c>
      <c r="I11" s="57" t="str">
        <f>IF(OR(I4=" ",J6="")," ",C3+ABS(F10)*C8)</f>
        <v xml:space="preserve"> </v>
      </c>
      <c r="J11" s="57" t="str">
        <f>IF(OR(J4=" ",J6="")," ",C3+ABS(C10)*C8)</f>
        <v xml:space="preserve"> </v>
      </c>
    </row>
    <row r="12" spans="1:10" ht="5.0999999999999996" customHeight="1" thickBot="1" x14ac:dyDescent="0.35">
      <c r="C12" s="64"/>
      <c r="F12" s="49"/>
      <c r="H12" s="33"/>
      <c r="I12" s="49"/>
      <c r="J12" s="49"/>
    </row>
    <row r="13" spans="1:10" ht="20.100000000000001" customHeight="1" thickBot="1" x14ac:dyDescent="0.35">
      <c r="C13" s="64"/>
      <c r="F13" s="49"/>
      <c r="H13" s="33" t="s">
        <v>36</v>
      </c>
      <c r="I13" s="90" t="str">
        <f>IF(OR(I4=" ",J6="")," ",+I11-I10)</f>
        <v xml:space="preserve"> </v>
      </c>
      <c r="J13" s="90" t="str">
        <f>IF(OR(J4=" ",J6="")," ",+J11-J10)</f>
        <v xml:space="preserve"> </v>
      </c>
    </row>
    <row r="14" spans="1:10" ht="5.0999999999999996" customHeight="1" thickBot="1" x14ac:dyDescent="0.35">
      <c r="C14" s="64"/>
      <c r="F14" s="49"/>
      <c r="H14" s="33"/>
      <c r="I14" s="49"/>
      <c r="J14" s="49"/>
    </row>
    <row r="15" spans="1:10" ht="20.100000000000001" customHeight="1" thickBot="1" x14ac:dyDescent="0.35">
      <c r="C15" s="64"/>
      <c r="F15" s="49"/>
      <c r="H15" s="33" t="s">
        <v>35</v>
      </c>
      <c r="I15" s="91" t="str">
        <f>IF(C5=""," ",IF(I4&lt;J6,ABS((C3-C4)/C5),IF(J4&lt;J6,ABS((C3-C4)/C5)," ")))</f>
        <v xml:space="preserve"> </v>
      </c>
      <c r="J15" s="49"/>
    </row>
    <row r="16" spans="1:10" ht="5.0999999999999996" customHeight="1" thickBot="1" x14ac:dyDescent="0.35">
      <c r="C16" s="64"/>
      <c r="F16" s="49"/>
      <c r="H16" s="84"/>
      <c r="I16" s="49"/>
      <c r="J16" s="49"/>
    </row>
    <row r="17" spans="2:10" ht="20.100000000000001" customHeight="1" thickBot="1" x14ac:dyDescent="0.35">
      <c r="B17" s="160" t="s">
        <v>82</v>
      </c>
      <c r="C17" s="18"/>
      <c r="E17" s="33"/>
      <c r="F17" s="49"/>
      <c r="H17" s="46" t="s">
        <v>31</v>
      </c>
      <c r="I17" s="77" t="str">
        <f>IF(OR(I4=" ",C17="",I19=" ")," ",1-I19)</f>
        <v xml:space="preserve"> </v>
      </c>
      <c r="J17" s="77" t="str">
        <f>IF(OR(J4=" ",C17="",J19=" ")," ",1-J19)</f>
        <v xml:space="preserve"> </v>
      </c>
    </row>
    <row r="18" spans="2:10" ht="5.0999999999999996" customHeight="1" thickBot="1" x14ac:dyDescent="0.35">
      <c r="C18" s="64"/>
      <c r="E18" s="33"/>
      <c r="F18" s="49"/>
      <c r="H18" s="33"/>
      <c r="I18" s="49"/>
      <c r="J18" s="49"/>
    </row>
    <row r="19" spans="2:10" ht="20.100000000000001" customHeight="1" thickBot="1" x14ac:dyDescent="0.35">
      <c r="B19" s="33" t="s">
        <v>7</v>
      </c>
      <c r="C19" s="54" t="str">
        <f>IF(OR(F6=" ",C17="",F10=" ")," ",C4-ABS(F10)*C8)</f>
        <v xml:space="preserve"> </v>
      </c>
      <c r="E19" s="42" t="s">
        <v>32</v>
      </c>
      <c r="F19" s="54" t="str">
        <f>IF(OR(F6=" ",C17=" ",C19=" ")," ",(C19-C17)/C8)</f>
        <v xml:space="preserve"> </v>
      </c>
      <c r="H19" s="33" t="s">
        <v>64</v>
      </c>
      <c r="I19" s="76" t="str">
        <f>IF(OR(I4=" ",C17=" ",F19=" ")," ",_xlfn.T.DIST(F19,F4,1))</f>
        <v xml:space="preserve"> </v>
      </c>
      <c r="J19" s="76" t="str">
        <f>IF(OR(J4=" ",C17=" ",F21=" ",F22=" ")," ",_xlfn.T.DIST(F21,F4,1)+(1-_xlfn.T.DIST(F22,F4,1)))</f>
        <v xml:space="preserve"> </v>
      </c>
    </row>
    <row r="20" spans="2:10" ht="5.0999999999999996" customHeight="1" x14ac:dyDescent="0.3">
      <c r="C20" s="64"/>
      <c r="F20" s="49"/>
    </row>
    <row r="21" spans="2:10" ht="20.100000000000001" customHeight="1" x14ac:dyDescent="0.3">
      <c r="B21" s="42" t="s">
        <v>32</v>
      </c>
      <c r="C21" s="54" t="str">
        <f>IF(OR(F6=" ",C17="",F10=" ")," ",C4-ABS(C10)*C8)</f>
        <v xml:space="preserve"> </v>
      </c>
      <c r="E21" s="42" t="s">
        <v>32</v>
      </c>
      <c r="F21" s="54" t="str">
        <f>IF(OR(F6=" ",C17=" ",C19=" ",C21=" ")," ",(C21-C17)/C8)</f>
        <v xml:space="preserve"> </v>
      </c>
    </row>
    <row r="22" spans="2:10" ht="20.100000000000001" customHeight="1" x14ac:dyDescent="0.3">
      <c r="B22" s="42" t="s">
        <v>32</v>
      </c>
      <c r="C22" s="54" t="str">
        <f>IF(OR(F6=" ",C17="",F10=" ")," ",C4+ABS(C10)*C8)</f>
        <v xml:space="preserve"> </v>
      </c>
      <c r="E22" s="42" t="s">
        <v>32</v>
      </c>
      <c r="F22" s="54" t="str">
        <f>IF(OR(F6=" ",C17=" ",C22=" ")," ",(C22-C17)/C8)</f>
        <v xml:space="preserve"> </v>
      </c>
    </row>
  </sheetData>
  <sheetProtection algorithmName="SHA-512" hashValue="QD0XYa0Jy0X8SY7GPoMhzyYaLYArF3jmbnQYTRsHBX4Z5O8GBAh25uF6ys7I/h+G9O5EnTBiG4zLGv3UKixB0Q==" saltValue="N1C1lZA+buSoK48wOo5jJw==" spinCount="100000" sheet="1" objects="1" scenarios="1" selectLockedCells="1"/>
  <protectedRanges>
    <protectedRange sqref="J6" name="Rango2"/>
    <protectedRange sqref="C17" name="Rango3"/>
    <protectedRange sqref="C3:C6" name="Rango1_2_2"/>
  </protectedRanges>
  <dataValidations count="5">
    <dataValidation type="decimal" operator="greaterThanOrEqual" allowBlank="1" showInputMessage="1" showErrorMessage="1" errorTitle="CUIDADO !!!" error="la desviación estándar muestral debe ser un número ≥ 0" prompt="desviación estándar muestral" sqref="C5">
      <formula1>0</formula1>
    </dataValidation>
    <dataValidation type="decimal" allowBlank="1" showInputMessage="1" showErrorMessage="1" errorTitle="CUIDADO !!!" error="alfa sólo toma valores en el intervalo [0; 1]" prompt="nivel de significación" sqref="J6">
      <formula1>0</formula1>
      <formula2>1</formula2>
    </dataValidation>
    <dataValidation type="whole" operator="greaterThanOrEqual" allowBlank="1" showInputMessage="1" showErrorMessage="1" errorTitle="CUIDADO !!!" error="el tamaño de la muestra debe ser un numero entero ≥ 2" prompt="tamaño muestral" sqref="C6">
      <formula1>2</formula1>
    </dataValidation>
    <dataValidation allowBlank="1" showInputMessage="1" showErrorMessage="1" prompt="media muestral" sqref="C3"/>
    <dataValidation allowBlank="1" showInputMessage="1" showErrorMessage="1" prompt="parámetro" sqref="C4 C17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showRowColHeaders="0" zoomScaleNormal="100" workbookViewId="0">
      <selection activeCell="C3" sqref="C3"/>
    </sheetView>
  </sheetViews>
  <sheetFormatPr baseColWidth="10" defaultRowHeight="18.75" x14ac:dyDescent="0.3"/>
  <cols>
    <col min="1" max="1" width="5.7109375" style="34" customWidth="1"/>
    <col min="2" max="2" width="11.7109375" style="34" customWidth="1"/>
    <col min="3" max="3" width="12.7109375" style="34" customWidth="1"/>
    <col min="4" max="4" width="1.7109375" style="34" customWidth="1"/>
    <col min="5" max="5" width="8.85546875" style="34" bestFit="1" customWidth="1"/>
    <col min="6" max="6" width="11.7109375" style="34" customWidth="1"/>
    <col min="7" max="7" width="17.7109375" style="34" customWidth="1"/>
    <col min="8" max="9" width="19.7109375" style="34" customWidth="1"/>
    <col min="10" max="10" width="11.42578125" style="34"/>
    <col min="11" max="11" width="15.140625" style="34" bestFit="1" customWidth="1"/>
    <col min="12" max="16384" width="11.42578125" style="34"/>
  </cols>
  <sheetData>
    <row r="1" spans="2:9" s="32" customFormat="1" ht="21" customHeight="1" x14ac:dyDescent="0.25">
      <c r="B1" s="31" t="s">
        <v>97</v>
      </c>
    </row>
    <row r="2" spans="2:9" ht="20.100000000000001" customHeight="1" thickBot="1" x14ac:dyDescent="0.35">
      <c r="C2" s="39"/>
    </row>
    <row r="3" spans="2:9" ht="20.100000000000001" customHeight="1" thickBot="1" x14ac:dyDescent="0.35">
      <c r="B3" s="160" t="s">
        <v>1</v>
      </c>
      <c r="C3" s="19"/>
      <c r="D3" s="32"/>
      <c r="E3" s="32"/>
      <c r="F3" s="32"/>
      <c r="G3" s="33"/>
      <c r="H3" s="80" t="s">
        <v>62</v>
      </c>
      <c r="I3" s="80" t="s">
        <v>63</v>
      </c>
    </row>
    <row r="4" spans="2:9" ht="20.100000000000001" customHeight="1" thickBot="1" x14ac:dyDescent="0.35">
      <c r="B4" s="160" t="s">
        <v>3</v>
      </c>
      <c r="C4" s="20"/>
      <c r="D4" s="32"/>
      <c r="E4" s="32"/>
      <c r="F4" s="32"/>
      <c r="G4" s="33" t="s">
        <v>5</v>
      </c>
      <c r="H4" s="37" t="str">
        <f>IF(OR(C4&gt;=C3,C4&lt;=0,C3="",C4="",C5="")," ",IF(F6&lt;0,_xlfn.NORM.S.DIST(F6,1),1-_xlfn.NORM.S.DIST(F6,1)))</f>
        <v xml:space="preserve"> </v>
      </c>
      <c r="I4" s="37" t="str">
        <f>IF(OR(C4&gt;=C3,C3=0,C4&lt;=0,C5="")," ",2*H4)</f>
        <v xml:space="preserve"> </v>
      </c>
    </row>
    <row r="5" spans="2:9" ht="20.100000000000001" customHeight="1" thickBot="1" x14ac:dyDescent="0.35">
      <c r="B5" s="160" t="s">
        <v>83</v>
      </c>
      <c r="C5" s="21"/>
      <c r="D5" s="32"/>
      <c r="E5" s="33"/>
      <c r="F5" s="45"/>
      <c r="G5" s="32"/>
      <c r="H5" s="32"/>
      <c r="I5" s="32"/>
    </row>
    <row r="6" spans="2:9" ht="20.100000000000001" customHeight="1" thickBot="1" x14ac:dyDescent="0.35">
      <c r="B6" s="32"/>
      <c r="C6" s="49"/>
      <c r="D6" s="32"/>
      <c r="E6" s="33" t="s">
        <v>7</v>
      </c>
      <c r="F6" s="116" t="str">
        <f>IF(OR(C3=0,C4&lt;=0,C9=0,C3&lt;C4)," ",(C7-C5)/C9)</f>
        <v xml:space="preserve"> </v>
      </c>
      <c r="G6" s="32"/>
      <c r="H6" s="35" t="s">
        <v>65</v>
      </c>
      <c r="I6" s="18"/>
    </row>
    <row r="7" spans="2:9" ht="20.100000000000001" customHeight="1" thickBot="1" x14ac:dyDescent="0.35">
      <c r="B7" s="46" t="s">
        <v>7</v>
      </c>
      <c r="C7" s="52" t="str">
        <f>IF(OR(C3="",C4&lt;=0,C4="")," ",INT(C4)/C3)</f>
        <v xml:space="preserve"> </v>
      </c>
      <c r="D7" s="47"/>
      <c r="E7" s="32"/>
      <c r="F7" s="49"/>
      <c r="G7" s="32"/>
      <c r="H7" s="32"/>
      <c r="I7" s="55"/>
    </row>
    <row r="8" spans="2:9" ht="20.100000000000001" customHeight="1" thickBot="1" x14ac:dyDescent="0.35">
      <c r="B8" s="46" t="s">
        <v>7</v>
      </c>
      <c r="C8" s="52" t="str">
        <f>IF(OR(C4&lt;=0,C3=0,C4="")," ",1-C7)</f>
        <v xml:space="preserve"> </v>
      </c>
      <c r="D8" s="32"/>
      <c r="E8" s="32"/>
      <c r="F8" s="49"/>
      <c r="G8" s="33" t="s">
        <v>6</v>
      </c>
      <c r="H8" s="81" t="str">
        <f>IF(OR(C5="",C4=" ",H4=" ",I6&lt;=0,I6&gt;1)," ",IF(H4&gt;=I6,"no rechazo H₀","rechazo H₀"))</f>
        <v xml:space="preserve"> </v>
      </c>
      <c r="I8" s="81" t="str">
        <f>IF(OR(C5="",I4=" ",I6&lt;=0,I6&gt;1)," ",IF(I4&gt;=I6,"no rechazo H₀","rechazo H₀"))</f>
        <v xml:space="preserve"> </v>
      </c>
    </row>
    <row r="9" spans="2:9" ht="20.100000000000001" customHeight="1" thickBot="1" x14ac:dyDescent="0.35">
      <c r="B9" s="33" t="s">
        <v>9</v>
      </c>
      <c r="C9" s="52" t="str">
        <f>IF(OR(C4&lt;=0,C3=0,C4="",C3&lt;C4)," ",SQRT(C7*C8/C3))</f>
        <v xml:space="preserve"> </v>
      </c>
      <c r="D9" s="32"/>
      <c r="E9" s="32"/>
      <c r="F9" s="49"/>
      <c r="G9" s="32"/>
      <c r="H9" s="49"/>
      <c r="I9" s="49"/>
    </row>
    <row r="10" spans="2:9" ht="20.100000000000001" customHeight="1" thickBot="1" x14ac:dyDescent="0.35">
      <c r="C10" s="64"/>
      <c r="F10" s="49"/>
      <c r="G10" s="33" t="s">
        <v>108</v>
      </c>
      <c r="H10" s="57" t="str">
        <f>IF(OR(H4=" ",I6="")," ",C7-ABS(F11)*C9)</f>
        <v xml:space="preserve"> </v>
      </c>
      <c r="I10" s="57" t="str">
        <f>IF(OR(I4=" ",I6="")," ",C7-ABS(C11)*C9)</f>
        <v xml:space="preserve"> </v>
      </c>
    </row>
    <row r="11" spans="2:9" ht="20.100000000000001" customHeight="1" thickBot="1" x14ac:dyDescent="0.35">
      <c r="B11" s="33" t="s">
        <v>33</v>
      </c>
      <c r="C11" s="43" t="str">
        <f>IF(OR(F6=" ",I6="")," ",ABS(_xlfn.NORM.S.INV(I6/2)))</f>
        <v xml:space="preserve"> </v>
      </c>
      <c r="E11" s="33" t="s">
        <v>7</v>
      </c>
      <c r="F11" s="43" t="str">
        <f>IF(OR(F6=" ",I6="")," ",_xlfn.NORM.S.INV(I6))</f>
        <v xml:space="preserve"> </v>
      </c>
      <c r="G11" s="33" t="s">
        <v>109</v>
      </c>
      <c r="H11" s="57" t="str">
        <f>IF(OR(H4=" ",I6="")," ",C7+ABS(F11)*C9)</f>
        <v xml:space="preserve"> </v>
      </c>
      <c r="I11" s="57" t="str">
        <f>IF(OR(I4=" ",I6="")," ",C7+ABS(C11)*C9)</f>
        <v xml:space="preserve"> </v>
      </c>
    </row>
    <row r="12" spans="2:9" ht="5.0999999999999996" customHeight="1" thickBot="1" x14ac:dyDescent="0.35">
      <c r="B12" s="33"/>
      <c r="C12" s="75"/>
      <c r="E12" s="33"/>
      <c r="F12" s="75"/>
      <c r="G12" s="33"/>
      <c r="H12" s="49"/>
      <c r="I12" s="49"/>
    </row>
    <row r="13" spans="2:9" ht="20.100000000000001" customHeight="1" thickBot="1" x14ac:dyDescent="0.35">
      <c r="B13" s="33"/>
      <c r="C13" s="75"/>
      <c r="E13" s="33"/>
      <c r="F13" s="75"/>
      <c r="G13" s="33" t="s">
        <v>36</v>
      </c>
      <c r="H13" s="90" t="str">
        <f>IF(OR(H4=" ",I6="")," ",+H11-H10)</f>
        <v xml:space="preserve"> </v>
      </c>
      <c r="I13" s="90" t="str">
        <f>IF(OR(I4=" ",I6="")," ",+I11-I10)</f>
        <v xml:space="preserve"> </v>
      </c>
    </row>
    <row r="14" spans="2:9" ht="5.0999999999999996" customHeight="1" thickBot="1" x14ac:dyDescent="0.35">
      <c r="B14" s="33"/>
      <c r="C14" s="75"/>
      <c r="E14" s="33"/>
      <c r="F14" s="75"/>
      <c r="G14" s="33"/>
      <c r="H14" s="50"/>
      <c r="I14" s="50"/>
    </row>
    <row r="15" spans="2:9" ht="20.100000000000001" customHeight="1" thickBot="1" x14ac:dyDescent="0.35">
      <c r="B15" s="33"/>
      <c r="C15" s="75"/>
      <c r="E15" s="33"/>
      <c r="F15" s="75"/>
      <c r="G15" s="33" t="s">
        <v>35</v>
      </c>
      <c r="H15" s="91" t="str">
        <f>IF(OR(H4&lt;I6,I4&lt;I6),ABS(C7-C5)/SQRT(C7*C8)," ")</f>
        <v xml:space="preserve"> </v>
      </c>
      <c r="I15" s="50"/>
    </row>
    <row r="16" spans="2:9" ht="5.0999999999999996" customHeight="1" thickBot="1" x14ac:dyDescent="0.35">
      <c r="C16" s="64"/>
      <c r="F16" s="49"/>
      <c r="H16" s="49"/>
      <c r="I16" s="49"/>
    </row>
    <row r="17" spans="2:9" ht="20.100000000000001" customHeight="1" thickBot="1" x14ac:dyDescent="0.35">
      <c r="B17" s="160" t="s">
        <v>84</v>
      </c>
      <c r="C17" s="18"/>
      <c r="E17" s="33"/>
      <c r="F17" s="49"/>
      <c r="G17" s="46" t="s">
        <v>31</v>
      </c>
      <c r="H17" s="77" t="str">
        <f>IF(OR(I6="",H4=" ",C17="")," ",1-H19)</f>
        <v xml:space="preserve"> </v>
      </c>
      <c r="I17" s="77" t="str">
        <f>IF(OR(I6="",I4=" ",C17="")," ",1-I19)</f>
        <v xml:space="preserve"> </v>
      </c>
    </row>
    <row r="18" spans="2:9" ht="5.0999999999999996" customHeight="1" thickBot="1" x14ac:dyDescent="0.35">
      <c r="C18" s="64"/>
      <c r="E18" s="33"/>
      <c r="F18" s="49"/>
      <c r="G18" s="42"/>
      <c r="H18" s="49"/>
      <c r="I18" s="49"/>
    </row>
    <row r="19" spans="2:9" ht="20.100000000000001" customHeight="1" thickBot="1" x14ac:dyDescent="0.35">
      <c r="B19" s="33" t="s">
        <v>7</v>
      </c>
      <c r="C19" s="54" t="str">
        <f>IF(OR(I6="",F6=" ",C17="")," ",ABS(C5-ABS(F11)*C9))</f>
        <v xml:space="preserve"> </v>
      </c>
      <c r="E19" s="42" t="s">
        <v>32</v>
      </c>
      <c r="F19" s="54" t="str">
        <f>IF(OR(I6="",F6=" ",C17="")," ",(C19-C17)/C9)</f>
        <v xml:space="preserve"> </v>
      </c>
      <c r="G19" s="42" t="s">
        <v>64</v>
      </c>
      <c r="H19" s="76" t="str">
        <f>IF(OR(I6="",H4=" ",C17="")," ",_xlfn.NORM.DIST(C19,C17,C9,1))</f>
        <v xml:space="preserve"> </v>
      </c>
      <c r="I19" s="76" t="str">
        <f>IF(OR(I6="",I4=" ",C17="")," ",_xlfn.NORM.DIST(C21,C17,C9,1)+(1-_xlfn.NORM.DIST(C22,C17,C9,1)))</f>
        <v xml:space="preserve"> </v>
      </c>
    </row>
    <row r="20" spans="2:9" ht="5.0999999999999996" customHeight="1" x14ac:dyDescent="0.3">
      <c r="C20" s="49"/>
      <c r="F20" s="49"/>
    </row>
    <row r="21" spans="2:9" ht="20.100000000000001" customHeight="1" x14ac:dyDescent="0.3">
      <c r="B21" s="42" t="s">
        <v>32</v>
      </c>
      <c r="C21" s="54" t="str">
        <f>IF(OR(I6="",F6=" ",C17="")," ",ABS(C5-ABS(C11)*C9))</f>
        <v xml:space="preserve"> </v>
      </c>
      <c r="E21" s="42" t="s">
        <v>34</v>
      </c>
      <c r="F21" s="54" t="str">
        <f>IF(OR(I6="",F6=" ",C17="")," ",(C21-C17)/C9)</f>
        <v xml:space="preserve"> </v>
      </c>
    </row>
    <row r="22" spans="2:9" ht="20.100000000000001" customHeight="1" x14ac:dyDescent="0.3">
      <c r="B22" s="42" t="s">
        <v>32</v>
      </c>
      <c r="C22" s="54" t="str">
        <f>IF(OR(I6="",F6=" ",C17="")," ",ABS(C5+ABS(C11)*C9))</f>
        <v xml:space="preserve"> </v>
      </c>
      <c r="E22" s="42" t="s">
        <v>32</v>
      </c>
      <c r="F22" s="54" t="str">
        <f>IF(OR(I6="",F6=" ",C17="")," ",(C22-C17)/C9)</f>
        <v xml:space="preserve"> </v>
      </c>
    </row>
    <row r="23" spans="2:9" x14ac:dyDescent="0.3">
      <c r="C23" s="39"/>
    </row>
  </sheetData>
  <sheetProtection algorithmName="SHA-512" hashValue="2yJYOktVxcNGQgSW4eo3nLA3tSqAxXUJYDp902CToYOmHElEH36M73yufIuqbbjL/UlpuF4FarrUTMwXANQ+uw==" saltValue="xCqhKTxSwyN+OPmMx6XXDg==" spinCount="100000" sheet="1" objects="1" scenarios="1" selectLockedCells="1"/>
  <protectedRanges>
    <protectedRange sqref="I6" name="Rango2"/>
    <protectedRange sqref="C3:C5" name="Rango1"/>
    <protectedRange sqref="C17" name="Rango3"/>
  </protectedRanges>
  <dataValidations count="5">
    <dataValidation type="decimal" allowBlank="1" showInputMessage="1" showErrorMessage="1" errorTitle="CUIDADO !!!" error="π₁ toma valores en el intervalo [0; 1]" prompt="parámetro" sqref="C17">
      <formula1>0</formula1>
      <formula2>1</formula2>
    </dataValidation>
    <dataValidation type="decimal" allowBlank="1" showInputMessage="1" showErrorMessage="1" errorTitle="CUIDADO !!!" error="alfa sólo toma valores en el intervalo [0; 1]" prompt="nivel de significación" sqref="I6">
      <formula1>0</formula1>
      <formula2>1</formula2>
    </dataValidation>
    <dataValidation type="whole" operator="greaterThanOrEqual" allowBlank="1" showInputMessage="1" showErrorMessage="1" errorTitle="CUIDADO !!!" error="el tamaño muestral debe ser un numero entero ≥ 2" prompt="tamaño muestral" sqref="C3">
      <formula1>2</formula1>
    </dataValidation>
    <dataValidation type="custom" operator="lessThan" allowBlank="1" showInputMessage="1" showErrorMessage="1" errorTitle="CUIDADO !!!" error="el nº de éxitos debe ser un número entero positivo &lt; n" prompt="nº de éxitos" sqref="C4">
      <formula1>AND(C3&gt;=2,C4&gt;=1,C4&lt;C3)</formula1>
    </dataValidation>
    <dataValidation type="decimal" allowBlank="1" showInputMessage="1" showErrorMessage="1" errorTitle="CUIDADO !!!" error="π toma valores en el intervalo [0; 1]" prompt="parámetro" sqref="C5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showRowColHeaders="0" zoomScaleNormal="100" workbookViewId="0">
      <selection activeCell="C3" sqref="C3"/>
    </sheetView>
  </sheetViews>
  <sheetFormatPr baseColWidth="10" defaultRowHeight="18.75" x14ac:dyDescent="0.3"/>
  <cols>
    <col min="1" max="1" width="5.7109375" style="34" customWidth="1"/>
    <col min="2" max="2" width="11.7109375" style="32" customWidth="1"/>
    <col min="3" max="3" width="12.7109375" style="34" customWidth="1"/>
    <col min="4" max="4" width="1.7109375" style="34" customWidth="1"/>
    <col min="5" max="5" width="8.7109375" style="34" customWidth="1"/>
    <col min="6" max="6" width="11.7109375" style="34" customWidth="1"/>
    <col min="7" max="7" width="17.7109375" style="34" customWidth="1"/>
    <col min="8" max="9" width="19.7109375" style="34" customWidth="1"/>
    <col min="10" max="16384" width="11.42578125" style="34"/>
  </cols>
  <sheetData>
    <row r="1" spans="2:9" s="32" customFormat="1" ht="21" customHeight="1" x14ac:dyDescent="0.25">
      <c r="B1" s="31" t="s">
        <v>98</v>
      </c>
    </row>
    <row r="2" spans="2:9" ht="20.100000000000001" customHeight="1" thickBot="1" x14ac:dyDescent="0.35"/>
    <row r="3" spans="2:9" ht="20.100000000000001" customHeight="1" thickBot="1" x14ac:dyDescent="0.35">
      <c r="B3" s="35" t="s">
        <v>7</v>
      </c>
      <c r="C3" s="15"/>
      <c r="D3" s="32"/>
      <c r="G3" s="33"/>
      <c r="H3" s="80" t="s">
        <v>62</v>
      </c>
      <c r="I3" s="80" t="s">
        <v>63</v>
      </c>
    </row>
    <row r="4" spans="2:9" ht="20.100000000000001" customHeight="1" thickBot="1" x14ac:dyDescent="0.35">
      <c r="B4" s="35" t="s">
        <v>7</v>
      </c>
      <c r="C4" s="16"/>
      <c r="D4" s="32"/>
      <c r="E4" s="33" t="s">
        <v>2</v>
      </c>
      <c r="F4" s="117" t="str">
        <f>IF(C4=""," ",IF(C5=""," ",C5-1))</f>
        <v xml:space="preserve"> </v>
      </c>
      <c r="G4" s="33" t="s">
        <v>5</v>
      </c>
      <c r="H4" s="37" t="str">
        <f>IF(OR(C3="",C4="",C5=0,C4=0)," ",IF(F6&lt;0,_xlfn.T.DIST(F6,F4,1),_xlfn.T.DIST.RT(F6,F4)))</f>
        <v xml:space="preserve"> </v>
      </c>
      <c r="I4" s="37" t="str">
        <f>IF(OR(C3="",C4="",C5=0,C4=0)," ",_xlfn.T.DIST.2T(ABS(F6),F4))</f>
        <v xml:space="preserve"> </v>
      </c>
    </row>
    <row r="5" spans="2:9" ht="20.100000000000001" customHeight="1" thickBot="1" x14ac:dyDescent="0.35">
      <c r="B5" s="160" t="s">
        <v>1</v>
      </c>
      <c r="C5" s="17"/>
      <c r="D5" s="44"/>
      <c r="F5" s="64"/>
      <c r="G5" s="84"/>
      <c r="H5" s="32"/>
      <c r="I5" s="32"/>
    </row>
    <row r="6" spans="2:9" ht="20.100000000000001" customHeight="1" thickBot="1" x14ac:dyDescent="0.35">
      <c r="C6" s="49"/>
      <c r="D6" s="32"/>
      <c r="E6" s="33" t="s">
        <v>7</v>
      </c>
      <c r="F6" s="118" t="str">
        <f>IF(OR(C3="",C4="",C5="",C4=0)," ",C3/C7)</f>
        <v xml:space="preserve"> </v>
      </c>
      <c r="G6" s="84"/>
      <c r="H6" s="35" t="s">
        <v>65</v>
      </c>
      <c r="I6" s="18"/>
    </row>
    <row r="7" spans="2:9" ht="20.100000000000001" customHeight="1" thickBot="1" x14ac:dyDescent="0.35">
      <c r="B7" s="33" t="s">
        <v>9</v>
      </c>
      <c r="C7" s="41" t="str">
        <f>IF(OR(C4="",C5=0)," ",C4/SQRT(C5))</f>
        <v xml:space="preserve"> </v>
      </c>
      <c r="D7" s="32"/>
      <c r="E7" s="32"/>
      <c r="F7" s="49"/>
      <c r="G7" s="84"/>
      <c r="H7" s="32"/>
      <c r="I7" s="39"/>
    </row>
    <row r="8" spans="2:9" ht="20.100000000000001" customHeight="1" thickBot="1" x14ac:dyDescent="0.35">
      <c r="C8" s="49"/>
      <c r="D8" s="32"/>
      <c r="E8" s="32"/>
      <c r="F8" s="49"/>
      <c r="G8" s="33" t="s">
        <v>6</v>
      </c>
      <c r="H8" s="81" t="str">
        <f>IF(OR(H4=" ",I6&lt;=0,I6&gt;1)," ",IF(H4&gt;=I6,"no rechazo H₀","rechazo H₀"))</f>
        <v xml:space="preserve"> </v>
      </c>
      <c r="I8" s="81" t="str">
        <f>IF(OR(I4=" ",I6&lt;=0,I6&gt;1)," ",IF(I4&gt;=I6,"no rechazo H₀","rechazo H₀"))</f>
        <v xml:space="preserve"> </v>
      </c>
    </row>
    <row r="9" spans="2:9" ht="5.0999999999999996" customHeight="1" thickBot="1" x14ac:dyDescent="0.35">
      <c r="C9" s="64"/>
      <c r="F9" s="64"/>
      <c r="G9" s="84"/>
      <c r="H9" s="64"/>
      <c r="I9" s="64"/>
    </row>
    <row r="10" spans="2:9" ht="20.100000000000001" customHeight="1" thickBot="1" x14ac:dyDescent="0.35">
      <c r="B10" s="33" t="s">
        <v>33</v>
      </c>
      <c r="C10" s="43" t="str">
        <f>IF(OR(F6=" ",I6="")," ",_xlfn.T.INV.2T(I6,F4))</f>
        <v xml:space="preserve"> </v>
      </c>
      <c r="E10" s="33" t="s">
        <v>7</v>
      </c>
      <c r="F10" s="43" t="str">
        <f>IF(OR(F6=" ",I6="")," ",IF(C3&gt;0,ABS(_xlfn.T.INV(I6,F4)),_xlfn.T.INV(I6,F4)))</f>
        <v xml:space="preserve"> </v>
      </c>
      <c r="G10" s="33" t="s">
        <v>108</v>
      </c>
      <c r="H10" s="57" t="str">
        <f>IF(OR(H4=" ",I6="")," ",$C$3-ABS(F10)*$C$7)</f>
        <v xml:space="preserve"> </v>
      </c>
      <c r="I10" s="57" t="str">
        <f>IF(OR(I4=" ",I6="")," ",$C$3-ABS(C10)*$C$7)</f>
        <v xml:space="preserve"> </v>
      </c>
    </row>
    <row r="11" spans="2:9" ht="20.100000000000001" customHeight="1" thickBot="1" x14ac:dyDescent="0.35">
      <c r="B11" s="34"/>
      <c r="C11" s="64"/>
      <c r="F11" s="64"/>
      <c r="G11" s="33" t="s">
        <v>109</v>
      </c>
      <c r="H11" s="57" t="str">
        <f>IF(OR(H4=" ",I6="")," ",$C$3+ABS(F10)*$C$7)</f>
        <v xml:space="preserve"> </v>
      </c>
      <c r="I11" s="57" t="str">
        <f>IF(OR(I4=" ",I6="")," ",$C$3+ABS(C10)*$C$7)</f>
        <v xml:space="preserve"> </v>
      </c>
    </row>
    <row r="12" spans="2:9" ht="5.0999999999999996" customHeight="1" thickBot="1" x14ac:dyDescent="0.35">
      <c r="B12" s="34"/>
      <c r="C12" s="64"/>
      <c r="F12" s="64"/>
      <c r="G12" s="33"/>
      <c r="H12" s="64"/>
      <c r="I12" s="64"/>
    </row>
    <row r="13" spans="2:9" ht="20.100000000000001" customHeight="1" thickBot="1" x14ac:dyDescent="0.35">
      <c r="B13" s="34"/>
      <c r="C13" s="64"/>
      <c r="F13" s="64"/>
      <c r="G13" s="33" t="s">
        <v>36</v>
      </c>
      <c r="H13" s="90" t="str">
        <f>IF(OR(H4=" ",I6="")," ",+H11-H10)</f>
        <v xml:space="preserve"> </v>
      </c>
      <c r="I13" s="90" t="str">
        <f>IF(OR(I4=" ",I6="")," ",+I11-I10)</f>
        <v xml:space="preserve"> </v>
      </c>
    </row>
    <row r="14" spans="2:9" ht="5.0999999999999996" customHeight="1" thickBot="1" x14ac:dyDescent="0.35">
      <c r="B14" s="34"/>
      <c r="C14" s="64"/>
      <c r="F14" s="64"/>
      <c r="G14" s="33"/>
      <c r="H14" s="50"/>
      <c r="I14" s="50"/>
    </row>
    <row r="15" spans="2:9" ht="20.100000000000001" customHeight="1" thickBot="1" x14ac:dyDescent="0.35">
      <c r="B15" s="34"/>
      <c r="C15" s="64"/>
      <c r="F15" s="64"/>
      <c r="G15" s="33" t="s">
        <v>35</v>
      </c>
      <c r="H15" s="91" t="str">
        <f>IF(H4&lt;I6,ABS((C3-C4)/C5),IF(I4&lt;I6,ABS(C3/C4)," "))</f>
        <v xml:space="preserve"> </v>
      </c>
      <c r="I15" s="50"/>
    </row>
    <row r="16" spans="2:9" ht="5.0999999999999996" customHeight="1" thickBot="1" x14ac:dyDescent="0.35">
      <c r="C16" s="64"/>
      <c r="F16" s="64"/>
      <c r="G16" s="84"/>
      <c r="H16" s="64"/>
      <c r="I16" s="64"/>
    </row>
    <row r="17" spans="2:9" ht="20.100000000000001" customHeight="1" thickBot="1" x14ac:dyDescent="0.35">
      <c r="B17" s="35" t="s">
        <v>7</v>
      </c>
      <c r="C17" s="18"/>
      <c r="E17" s="33"/>
      <c r="F17" s="64"/>
      <c r="G17" s="46" t="s">
        <v>31</v>
      </c>
      <c r="H17" s="77" t="str">
        <f>IF(OR(H4=" ",C17="")," ",1-H19)</f>
        <v xml:space="preserve"> </v>
      </c>
      <c r="I17" s="77" t="str">
        <f>IF(OR(I4=" ",C17="")," ",1-I19)</f>
        <v xml:space="preserve"> </v>
      </c>
    </row>
    <row r="18" spans="2:9" ht="5.0999999999999996" customHeight="1" thickBot="1" x14ac:dyDescent="0.35">
      <c r="B18" s="34"/>
      <c r="C18" s="64"/>
      <c r="E18" s="33"/>
      <c r="F18" s="64"/>
      <c r="G18" s="33"/>
      <c r="H18" s="49"/>
      <c r="I18" s="49"/>
    </row>
    <row r="19" spans="2:9" ht="20.100000000000001" customHeight="1" thickBot="1" x14ac:dyDescent="0.35">
      <c r="B19" s="33" t="s">
        <v>7</v>
      </c>
      <c r="C19" s="54" t="str">
        <f>IF(OR(F6=" ",C17="")," ",C3-ABS(F10)*C7)</f>
        <v xml:space="preserve"> </v>
      </c>
      <c r="E19" s="42" t="s">
        <v>32</v>
      </c>
      <c r="F19" s="119" t="str">
        <f>IF(OR(F6=" ",C17="")," ",(C19-C17)/C7)</f>
        <v xml:space="preserve"> </v>
      </c>
      <c r="G19" s="33" t="s">
        <v>64</v>
      </c>
      <c r="H19" s="76" t="str">
        <f>IF(OR(H4=" ",C17="")," ",_xlfn.T.DIST(F19,F4,1))</f>
        <v xml:space="preserve"> </v>
      </c>
      <c r="I19" s="76" t="str">
        <f>IF(OR(I4=" ",C17="")," ",_xlfn.T.DIST(F21,F4,1)+(1-_xlfn.T.DIST(F22,F4,1)))</f>
        <v xml:space="preserve"> </v>
      </c>
    </row>
    <row r="20" spans="2:9" ht="5.0999999999999996" customHeight="1" x14ac:dyDescent="0.3">
      <c r="B20" s="34"/>
      <c r="C20" s="64"/>
      <c r="F20" s="64"/>
      <c r="G20" s="84"/>
    </row>
    <row r="21" spans="2:9" ht="20.100000000000001" customHeight="1" x14ac:dyDescent="0.3">
      <c r="B21" s="42" t="s">
        <v>32</v>
      </c>
      <c r="C21" s="54" t="str">
        <f>IF(OR(F6=" ",C17="")," ",C3-ABS(C10)*C7)</f>
        <v xml:space="preserve"> </v>
      </c>
      <c r="E21" s="42" t="s">
        <v>32</v>
      </c>
      <c r="F21" s="119" t="str">
        <f>IF(OR(F6=" ",C17="")," ",(C21-C17)/C7)</f>
        <v xml:space="preserve"> </v>
      </c>
    </row>
    <row r="22" spans="2:9" ht="20.100000000000001" customHeight="1" x14ac:dyDescent="0.3">
      <c r="B22" s="42" t="s">
        <v>32</v>
      </c>
      <c r="C22" s="54" t="str">
        <f>IF(OR(F6=" ",C17="")," ",C3+ABS(C10)*C7)</f>
        <v xml:space="preserve"> </v>
      </c>
      <c r="E22" s="42" t="s">
        <v>32</v>
      </c>
      <c r="F22" s="119" t="str">
        <f>IF(OR(F6=" ",C17="")," ",(C22-C17)/C7)</f>
        <v xml:space="preserve"> </v>
      </c>
    </row>
  </sheetData>
  <sheetProtection algorithmName="SHA-512" hashValue="zT1S/R9EIOpO0QMmr0I83SUNk0yz72o8jjD3EV9LYPIgcf3axV3owgkh3Y4KFdHuWGFAernpyg9DMPsaP6+PaA==" saltValue="Tn68CaolcRFNy2oDUGGDiA==" spinCount="100000" sheet="1" objects="1" scenarios="1" selectLockedCells="1"/>
  <protectedRanges>
    <protectedRange sqref="C17" name="Rango3"/>
    <protectedRange sqref="C3:C5" name="Rango1"/>
    <protectedRange sqref="I6" name="Rango2"/>
  </protectedRanges>
  <dataValidations count="5">
    <dataValidation type="decimal" operator="greaterThanOrEqual" allowBlank="1" showInputMessage="1" showErrorMessage="1" errorTitle="CUIDADO !!!" error="la desviación estándar de la diferencia debe ser número ≥ 0" prompt="desviación estándar de la diferencia" sqref="C4">
      <formula1>0</formula1>
    </dataValidation>
    <dataValidation type="whole" operator="greaterThanOrEqual" allowBlank="1" showInputMessage="1" showErrorMessage="1" errorTitle="CUIDADO !!!" error="el tamaño muestral debe ser un numero entero ≥ 2" prompt="tamaño muestral" sqref="C5">
      <formula1>2</formula1>
    </dataValidation>
    <dataValidation type="decimal" allowBlank="1" showInputMessage="1" showErrorMessage="1" errorTitle="CUIDADO !!!" error="alfa sólo toma valores en el intervalo [0; 1]" prompt="nivel de significación" sqref="I6">
      <formula1>0</formula1>
      <formula2>1</formula2>
    </dataValidation>
    <dataValidation allowBlank="1" showInputMessage="1" showErrorMessage="1" prompt="media de la diferencia" sqref="C3"/>
    <dataValidation allowBlank="1" showInputMessage="1" showErrorMessage="1" prompt="parámetro" sqref="C17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showRowColHeaders="0" zoomScaleNormal="100" workbookViewId="0">
      <selection activeCell="C3" sqref="C3"/>
    </sheetView>
  </sheetViews>
  <sheetFormatPr baseColWidth="10" defaultRowHeight="18.75" x14ac:dyDescent="0.25"/>
  <cols>
    <col min="1" max="1" width="5.7109375" style="32" customWidth="1"/>
    <col min="2" max="2" width="11.7109375" style="32" customWidth="1"/>
    <col min="3" max="3" width="12.7109375" style="32" customWidth="1"/>
    <col min="4" max="4" width="1.7109375" style="49" customWidth="1"/>
    <col min="5" max="5" width="6.85546875" style="32" bestFit="1" customWidth="1"/>
    <col min="6" max="6" width="14.5703125" style="32" customWidth="1"/>
    <col min="7" max="7" width="18.7109375" style="32" customWidth="1"/>
    <col min="8" max="8" width="15.7109375" style="32" customWidth="1"/>
    <col min="9" max="9" width="8.85546875" style="32" customWidth="1"/>
    <col min="10" max="10" width="11.7109375" style="32" customWidth="1"/>
    <col min="11" max="11" width="11.5703125" style="32" bestFit="1" customWidth="1"/>
    <col min="12" max="13" width="19.7109375" style="32" customWidth="1"/>
    <col min="14" max="16384" width="11.42578125" style="32"/>
  </cols>
  <sheetData>
    <row r="1" spans="2:13" ht="21" customHeight="1" x14ac:dyDescent="0.25">
      <c r="B1" s="48" t="s">
        <v>112</v>
      </c>
    </row>
    <row r="2" spans="2:13" ht="19.5" thickBot="1" x14ac:dyDescent="0.3"/>
    <row r="3" spans="2:13" ht="20.100000000000001" customHeight="1" thickBot="1" x14ac:dyDescent="0.3">
      <c r="B3" s="160" t="s">
        <v>70</v>
      </c>
      <c r="C3" s="19"/>
      <c r="D3" s="50"/>
      <c r="G3" s="51" t="s">
        <v>7</v>
      </c>
      <c r="H3" s="52" t="str">
        <f>IF(OR(C3="",C4="")," ",C3-C4)</f>
        <v xml:space="preserve"> </v>
      </c>
      <c r="K3" s="33"/>
      <c r="L3" s="80" t="s">
        <v>62</v>
      </c>
      <c r="M3" s="80" t="s">
        <v>63</v>
      </c>
    </row>
    <row r="4" spans="2:13" ht="20.100000000000001" customHeight="1" thickBot="1" x14ac:dyDescent="0.3">
      <c r="B4" s="160" t="s">
        <v>71</v>
      </c>
      <c r="C4" s="20"/>
      <c r="D4" s="50"/>
      <c r="H4" s="123"/>
      <c r="K4" s="33" t="s">
        <v>5</v>
      </c>
      <c r="L4" s="37" t="str">
        <f>IF(OR(C7="",C8="",C3="",C4="",C5="",C6="",J6=" ")," ",1-_xlfn.NORM.S.DIST(ABS(J6),1))</f>
        <v xml:space="preserve"> </v>
      </c>
      <c r="M4" s="37" t="str">
        <f>IF(OR(C7="",C8="",C3="",C4="",C5="",C6="",J6=" ")," ",2*L4)</f>
        <v xml:space="preserve"> </v>
      </c>
    </row>
    <row r="5" spans="2:13" ht="20.100000000000001" customHeight="1" thickBot="1" x14ac:dyDescent="0.3">
      <c r="B5" s="160" t="s">
        <v>72</v>
      </c>
      <c r="C5" s="20"/>
      <c r="D5" s="53"/>
      <c r="E5" s="46" t="s">
        <v>7</v>
      </c>
      <c r="F5" s="54" t="str">
        <f>IF(C5&lt;=0," ",C5^2)</f>
        <v xml:space="preserve"> </v>
      </c>
      <c r="G5" s="33" t="s">
        <v>86</v>
      </c>
      <c r="H5" s="52" t="str">
        <f>IF(OR(C5=0,C6=0,C7=0)," ",F5/C7)</f>
        <v xml:space="preserve"> </v>
      </c>
    </row>
    <row r="6" spans="2:13" ht="20.100000000000001" customHeight="1" thickBot="1" x14ac:dyDescent="0.3">
      <c r="B6" s="160" t="s">
        <v>73</v>
      </c>
      <c r="C6" s="20"/>
      <c r="D6" s="53"/>
      <c r="E6" s="46" t="s">
        <v>7</v>
      </c>
      <c r="F6" s="54" t="str">
        <f>IF(C6&lt;=0," ",C6^2)</f>
        <v xml:space="preserve"> </v>
      </c>
      <c r="G6" s="33" t="s">
        <v>87</v>
      </c>
      <c r="H6" s="52" t="str">
        <f>IF(OR(C5=0,C6=0,C8=0)," ",F6/C8)</f>
        <v xml:space="preserve"> </v>
      </c>
      <c r="I6" s="33" t="s">
        <v>7</v>
      </c>
      <c r="J6" s="118" t="str">
        <f>IF(OR(C3="",C4="",C5="",C6="",C7="",C8="",C5=0,C6=0,H8=0,)," ",H3/H8)</f>
        <v xml:space="preserve"> </v>
      </c>
      <c r="L6" s="35" t="s">
        <v>65</v>
      </c>
      <c r="M6" s="18"/>
    </row>
    <row r="7" spans="2:13" ht="20.100000000000001" customHeight="1" thickBot="1" x14ac:dyDescent="0.3">
      <c r="B7" s="160" t="s">
        <v>74</v>
      </c>
      <c r="C7" s="20"/>
      <c r="F7" s="49"/>
      <c r="H7" s="123"/>
      <c r="L7" s="55"/>
      <c r="M7" s="49"/>
    </row>
    <row r="8" spans="2:13" ht="20.100000000000001" customHeight="1" thickBot="1" x14ac:dyDescent="0.3">
      <c r="B8" s="160" t="s">
        <v>75</v>
      </c>
      <c r="C8" s="21"/>
      <c r="F8" s="49"/>
      <c r="G8" s="33" t="s">
        <v>0</v>
      </c>
      <c r="H8" s="52" t="str">
        <f>IF(OR(C5=0,C6=0,C7=0,C8=0)," ",SQRT(H5+H6))</f>
        <v xml:space="preserve"> </v>
      </c>
      <c r="K8" s="33" t="s">
        <v>6</v>
      </c>
      <c r="L8" s="81" t="str">
        <f>IF(L4=" "," ",IF(M6&lt;=0," ",IF(M6&gt;1," ",IF(L4&gt;=M6,"no rechazo H₀", "rechazo H₀"))))</f>
        <v xml:space="preserve"> </v>
      </c>
      <c r="M8" s="81" t="str">
        <f>IF(M4=" "," ",IF(M6&lt;=0," ",IF(M6&gt;1," ",IF(M4&gt;=M6,"no rechazo H₀", "rechazo H₀"))))</f>
        <v xml:space="preserve"> </v>
      </c>
    </row>
    <row r="9" spans="2:13" ht="5.0999999999999996" customHeight="1" thickBot="1" x14ac:dyDescent="0.3">
      <c r="C9" s="49"/>
      <c r="D9" s="50"/>
      <c r="F9" s="49"/>
      <c r="L9" s="49"/>
      <c r="M9" s="49"/>
    </row>
    <row r="10" spans="2:13" ht="20.100000000000001" customHeight="1" thickBot="1" x14ac:dyDescent="0.35">
      <c r="B10" s="33" t="s">
        <v>33</v>
      </c>
      <c r="C10" s="43" t="str">
        <f>IF(OR(J6=" ",M6="")," ",ABS(_xlfn.NORM.S.INV(M6/2)))</f>
        <v xml:space="preserve"> </v>
      </c>
      <c r="D10" s="34"/>
      <c r="E10" s="33" t="s">
        <v>7</v>
      </c>
      <c r="F10" s="43" t="str">
        <f>IF(OR(J6=" ",M6="")," ",IF(H3&gt;0,ABS(_xlfn.NORM.S.INV(M6)), _xlfn.NORM.S.INV(M6)))</f>
        <v xml:space="preserve"> </v>
      </c>
      <c r="K10" s="33" t="s">
        <v>108</v>
      </c>
      <c r="L10" s="57" t="str">
        <f>IF(OR(L4=" ",M6="")," ",H3-ABS(F10)*H8)</f>
        <v xml:space="preserve"> </v>
      </c>
      <c r="M10" s="57" t="str">
        <f>IF(OR(M4=" ",M6="")," ",$H$3-ABS(C10)*$H$8)</f>
        <v xml:space="preserve"> </v>
      </c>
    </row>
    <row r="11" spans="2:13" ht="20.100000000000001" customHeight="1" thickBot="1" x14ac:dyDescent="0.35">
      <c r="B11" s="34"/>
      <c r="C11" s="34"/>
      <c r="D11" s="34"/>
      <c r="K11" s="33" t="s">
        <v>109</v>
      </c>
      <c r="L11" s="57" t="str">
        <f>IF(OR(L4=" ",M6="")," ",$H$3+ABS(F10)*$H$8)</f>
        <v xml:space="preserve"> </v>
      </c>
      <c r="M11" s="57" t="str">
        <f>IF(OR(M4=" ",M6="")," ",$H$3+ABS(C10)*$H$8)</f>
        <v xml:space="preserve"> </v>
      </c>
    </row>
    <row r="12" spans="2:13" ht="5.0999999999999996" customHeight="1" thickBot="1" x14ac:dyDescent="0.3">
      <c r="L12" s="49"/>
      <c r="M12" s="49"/>
    </row>
    <row r="13" spans="2:13" ht="19.5" thickBot="1" x14ac:dyDescent="0.3">
      <c r="K13" s="33" t="s">
        <v>36</v>
      </c>
      <c r="L13" s="90" t="str">
        <f>IF(OR(L4=" ",M6="")," ",+L11-L10)</f>
        <v xml:space="preserve"> </v>
      </c>
      <c r="M13" s="90" t="str">
        <f>IF(OR(M4=" ",M6="")," ",+M11-M10)</f>
        <v xml:space="preserve"> </v>
      </c>
    </row>
    <row r="14" spans="2:13" ht="5.0999999999999996" customHeight="1" thickBot="1" x14ac:dyDescent="0.3"/>
    <row r="15" spans="2:13" ht="19.5" thickBot="1" x14ac:dyDescent="0.3">
      <c r="K15" s="33" t="s">
        <v>57</v>
      </c>
      <c r="L15" s="91" t="str">
        <f>IF(OR(C5=0,C6=0)," ",IF(L4&lt;M6,ABS(H3/SQRT((F5+F6)/2)),IF(M4&lt;M6,ABS(H3/SQRT((F5+F6)/2))," ")))</f>
        <v xml:space="preserve"> </v>
      </c>
    </row>
  </sheetData>
  <sheetProtection algorithmName="SHA-512" hashValue="xCVT00jBSj5kam4ClUFQR59Vha2HJSpaX4iUlIVYexgXVsuMWJoSn5X+aZLoTOoF3lyC9kqB+ix3xFCpr2CWEQ==" saltValue="0ctDDsP91RDAqnoRbCcFdw==" spinCount="100000" sheet="1" objects="1" scenarios="1" selectLockedCells="1"/>
  <protectedRanges>
    <protectedRange sqref="M6" name="Rango2"/>
    <protectedRange sqref="C3:D6 C7:C8 D8:D9" name="Rango1"/>
  </protectedRanges>
  <dataValidations count="7">
    <dataValidation type="decimal" operator="greaterThanOrEqual" allowBlank="1" showInputMessage="1" showErrorMessage="1" errorTitle="CUIDADO !!!" error="la desviación estándar poblacional debe ser un número ≥ 0" prompt="desviación estándar poblacional grupo 2" sqref="C6">
      <formula1>0</formula1>
    </dataValidation>
    <dataValidation type="whole" operator="greaterThanOrEqual" allowBlank="1" showInputMessage="1" showErrorMessage="1" errorTitle="CUIDADO !!!" error="el tamaño muestral debe ser un numero entero ≥ 2" prompt="tamaño muestral grupo 2" sqref="C8">
      <formula1>2</formula1>
    </dataValidation>
    <dataValidation type="decimal" allowBlank="1" showInputMessage="1" showErrorMessage="1" errorTitle="CUIDADO !!!" error="alfa sólo toma valores en el intervalo [0; 1]" prompt="nivel de significación" sqref="M6">
      <formula1>0</formula1>
      <formula2>1</formula2>
    </dataValidation>
    <dataValidation allowBlank="1" showInputMessage="1" showErrorMessage="1" prompt="media muestral grupo 1" sqref="C3"/>
    <dataValidation allowBlank="1" showInputMessage="1" showErrorMessage="1" prompt="media muestral grupo 2" sqref="C4"/>
    <dataValidation type="decimal" operator="greaterThanOrEqual" allowBlank="1" showInputMessage="1" showErrorMessage="1" errorTitle="CUIDADO !!!" error="la desviación estándar poblacional debe ser número ≥ 0" prompt="desviación estándar poblacional grupo 1" sqref="C5">
      <formula1>0</formula1>
    </dataValidation>
    <dataValidation type="whole" operator="greaterThanOrEqual" allowBlank="1" showInputMessage="1" showErrorMessage="1" errorTitle="CUIDADO !!!" error="el tamaño muestral debe ser un numero entero ≥ 2" prompt="tamaño muestral grupo 1" sqref="C7">
      <formula1>2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showRowColHeaders="0" zoomScaleNormal="100" workbookViewId="0">
      <selection activeCell="C4" sqref="C4"/>
    </sheetView>
  </sheetViews>
  <sheetFormatPr baseColWidth="10" defaultRowHeight="18.75" x14ac:dyDescent="0.3"/>
  <cols>
    <col min="1" max="1" width="5.7109375" style="34" customWidth="1"/>
    <col min="2" max="2" width="11.7109375" style="34" customWidth="1"/>
    <col min="3" max="3" width="13.7109375" style="34" customWidth="1"/>
    <col min="4" max="4" width="9.85546875" style="34" bestFit="1" customWidth="1"/>
    <col min="5" max="5" width="13.7109375" style="34" customWidth="1"/>
    <col min="6" max="6" width="8.7109375" style="64" customWidth="1"/>
    <col min="7" max="7" width="14.7109375" style="34" customWidth="1"/>
    <col min="8" max="8" width="1.7109375" style="34" customWidth="1"/>
    <col min="9" max="9" width="13.7109375" style="34" customWidth="1"/>
    <col min="10" max="12" width="19.7109375" style="34" customWidth="1"/>
    <col min="13" max="13" width="18.7109375" style="34" customWidth="1"/>
    <col min="14" max="14" width="17.42578125" style="34" bestFit="1" customWidth="1"/>
    <col min="15" max="16" width="19.7109375" style="34" customWidth="1"/>
    <col min="17" max="17" width="18.85546875" style="34" customWidth="1"/>
    <col min="18" max="16384" width="11.42578125" style="34"/>
  </cols>
  <sheetData>
    <row r="1" spans="1:16" s="32" customFormat="1" ht="21" customHeight="1" x14ac:dyDescent="0.25">
      <c r="A1" s="58"/>
      <c r="B1" s="48" t="s">
        <v>113</v>
      </c>
      <c r="F1" s="49"/>
      <c r="M1" s="157"/>
    </row>
    <row r="2" spans="1:16" s="32" customFormat="1" ht="21" customHeight="1" x14ac:dyDescent="0.25">
      <c r="A2" s="58"/>
      <c r="B2" s="59" t="s">
        <v>85</v>
      </c>
      <c r="F2" s="49"/>
    </row>
    <row r="3" spans="1:16" s="32" customFormat="1" ht="3.95" customHeight="1" thickBot="1" x14ac:dyDescent="0.3">
      <c r="A3" s="58"/>
      <c r="F3" s="49"/>
    </row>
    <row r="4" spans="1:16" s="32" customFormat="1" ht="20.100000000000001" customHeight="1" thickBot="1" x14ac:dyDescent="0.3">
      <c r="A4" s="58"/>
      <c r="B4" s="160" t="s">
        <v>74</v>
      </c>
      <c r="C4" s="19"/>
      <c r="D4" s="160" t="s">
        <v>75</v>
      </c>
      <c r="E4" s="19"/>
      <c r="F4" s="60" t="s">
        <v>27</v>
      </c>
      <c r="G4" s="54" t="str">
        <f>IF(C5&lt;=0," ",C5^2)</f>
        <v xml:space="preserve"> </v>
      </c>
      <c r="I4" s="33" t="s">
        <v>16</v>
      </c>
      <c r="J4" s="118" t="str">
        <f>IF(OR(C4="",C5="",C6="",E4="",E5="",E6="",G4=0,G5=0)," ",IF(G4&gt;G5,G4/G5,G5/G4))</f>
        <v xml:space="preserve"> </v>
      </c>
      <c r="K4" s="33" t="s">
        <v>5</v>
      </c>
      <c r="L4" s="37" t="str">
        <f>IF(OR(J4=" ",C4="",E4="",C5="",E5="")," ",_xlfn.F.DIST.RT(J4,C4-1,E4-1))</f>
        <v xml:space="preserve"> </v>
      </c>
    </row>
    <row r="5" spans="1:16" s="32" customFormat="1" ht="20.100000000000001" customHeight="1" thickBot="1" x14ac:dyDescent="0.3">
      <c r="A5" s="58"/>
      <c r="B5" s="160" t="s">
        <v>76</v>
      </c>
      <c r="C5" s="20"/>
      <c r="D5" s="160" t="s">
        <v>77</v>
      </c>
      <c r="E5" s="20"/>
      <c r="F5" s="60" t="s">
        <v>28</v>
      </c>
      <c r="G5" s="54" t="str">
        <f>IF(E5&lt;=0," ",E5^2)</f>
        <v xml:space="preserve"> </v>
      </c>
      <c r="J5" s="122"/>
      <c r="L5" s="49"/>
      <c r="M5" s="33" t="s">
        <v>6</v>
      </c>
      <c r="N5" s="81" t="str">
        <f>IF(OR(J4=" ",J6&lt;0,J6&gt;1,J6="")," ",IF(L4&gt;=L6,"no rechazo H₀","rechazo H₀"))</f>
        <v xml:space="preserve"> </v>
      </c>
    </row>
    <row r="6" spans="1:16" s="32" customFormat="1" ht="20.100000000000001" customHeight="1" thickBot="1" x14ac:dyDescent="0.3">
      <c r="A6" s="58"/>
      <c r="B6" s="161" t="s">
        <v>70</v>
      </c>
      <c r="C6" s="21"/>
      <c r="D6" s="161" t="s">
        <v>71</v>
      </c>
      <c r="E6" s="21"/>
      <c r="F6" s="53"/>
      <c r="G6" s="60"/>
      <c r="H6" s="50"/>
      <c r="I6" s="35" t="s">
        <v>65</v>
      </c>
      <c r="J6" s="18"/>
      <c r="K6" s="33" t="s">
        <v>29</v>
      </c>
      <c r="L6" s="37" t="str">
        <f>IF(J6=""," ",J6/2)</f>
        <v xml:space="preserve"> </v>
      </c>
    </row>
    <row r="7" spans="1:16" s="32" customFormat="1" ht="23.1" customHeight="1" thickBot="1" x14ac:dyDescent="0.3">
      <c r="A7" s="58"/>
      <c r="B7" s="61" t="s">
        <v>114</v>
      </c>
      <c r="F7" s="49"/>
      <c r="N7" s="173" t="str">
        <f>IF($N$5="no rechazo H₀", "&lt;========"," ")</f>
        <v xml:space="preserve"> </v>
      </c>
    </row>
    <row r="8" spans="1:16" ht="20.100000000000001" customHeight="1" thickBot="1" x14ac:dyDescent="4.45">
      <c r="B8" s="51" t="s">
        <v>7</v>
      </c>
      <c r="C8" s="52" t="str">
        <f>IF(OR(C6="",E6="")," ",C6-E6)</f>
        <v xml:space="preserve"> </v>
      </c>
      <c r="D8" s="33" t="s">
        <v>91</v>
      </c>
      <c r="E8" s="52" t="str">
        <f>IF(OR(C4="",E4="",C5=0,E5=0)," ",SQRT(((C4-1)*G4+(E4-1)*G5)/C9))</f>
        <v xml:space="preserve"> </v>
      </c>
      <c r="F8" s="33" t="s">
        <v>9</v>
      </c>
      <c r="G8" s="54" t="str">
        <f>IF(OR(C4="",C4=1,E4&lt;=1,C5=0,E5=0)," ",E8*E9)</f>
        <v xml:space="preserve"> </v>
      </c>
      <c r="H8" s="32"/>
      <c r="I8" s="32"/>
      <c r="J8" s="80" t="s">
        <v>62</v>
      </c>
      <c r="K8" s="80" t="s">
        <v>63</v>
      </c>
      <c r="L8" s="33"/>
      <c r="M8" s="180"/>
    </row>
    <row r="9" spans="1:16" ht="20.100000000000001" customHeight="1" thickBot="1" x14ac:dyDescent="0.35">
      <c r="B9" s="33" t="s">
        <v>2</v>
      </c>
      <c r="C9" s="86" t="str">
        <f>IF(OR(C4="",E4="")," ",C4+E4-2)</f>
        <v xml:space="preserve"> </v>
      </c>
      <c r="D9" s="33" t="s">
        <v>30</v>
      </c>
      <c r="E9" s="52" t="str">
        <f>IF(OR(C4=0,E4=0)," ",SQRT((C4+E4)/(C4*E4)))</f>
        <v xml:space="preserve"> </v>
      </c>
      <c r="G9" s="64"/>
      <c r="I9" s="33" t="s">
        <v>5</v>
      </c>
      <c r="J9" s="37" t="str">
        <f>IF(C4&lt;=1," ",IF(E4&lt;=1," ",IF(C5=0," ",IF(E5=0,"  ",IF(G11=" ","",IF(G11&lt;0,_xlfn.T.DIST(G11,C9,1),_xlfn.T.DIST.RT(G11,C9)))))))</f>
        <v xml:space="preserve"> </v>
      </c>
      <c r="K9" s="62" t="str">
        <f>IF(C4&lt;=1," ",IF(E4&lt;=1," ",IF(C5=0," ",IF(G11=" "," ",IF(E5=0," ",_xlfn.T.DIST.2T(ABS(G11),C9))))))</f>
        <v xml:space="preserve"> </v>
      </c>
    </row>
    <row r="10" spans="1:16" ht="5.0999999999999996" customHeight="1" thickBot="1" x14ac:dyDescent="0.35">
      <c r="C10" s="49"/>
      <c r="D10" s="63"/>
      <c r="E10" s="93"/>
      <c r="F10" s="35"/>
      <c r="G10" s="53"/>
      <c r="H10" s="32"/>
      <c r="J10" s="49"/>
      <c r="K10" s="49"/>
      <c r="L10" s="55"/>
      <c r="M10" s="32"/>
      <c r="P10" s="32"/>
    </row>
    <row r="11" spans="1:16" ht="20.100000000000001" customHeight="1" thickBot="1" x14ac:dyDescent="0.35">
      <c r="B11" s="33" t="s">
        <v>33</v>
      </c>
      <c r="C11" s="43" t="str">
        <f>IF(OR(G11=" ",J6="")," ",ABS(_xlfn.T.INV.2T(J6,C9)))</f>
        <v xml:space="preserve"> </v>
      </c>
      <c r="D11" s="33" t="s">
        <v>7</v>
      </c>
      <c r="E11" s="52" t="str">
        <f>IF(OR(G11=" ",J6="")," ",IF(C8&gt;0,ABS(_xlfn.T.INV(J6,C9)),_xlfn.T.INV(J6,C9)))</f>
        <v xml:space="preserve"> </v>
      </c>
      <c r="F11" s="33" t="s">
        <v>7</v>
      </c>
      <c r="G11" s="118" t="str">
        <f>IF(OR(C4="",E4="",C5="",E5="",C6="",E6="")," ",C8/G8)</f>
        <v xml:space="preserve"> </v>
      </c>
      <c r="H11" s="63"/>
      <c r="I11" s="33" t="s">
        <v>6</v>
      </c>
      <c r="J11" s="81" t="str">
        <f>IF(L4=" "," ",IF(J6&lt;=0," ",IF(J6&gt;1," ",IF(J9&gt;=J6,"no rechazo H₀", "rechazo H₀"))))</f>
        <v xml:space="preserve"> </v>
      </c>
      <c r="K11" s="81" t="str">
        <f>IF(L4=" "," ",IF(J6&lt;=0," ",IF(J6&gt;1," ",IF(K9&gt;=J6,"no rechazo H₀", "rechazo H₀"))))</f>
        <v xml:space="preserve"> </v>
      </c>
      <c r="L11" s="32"/>
    </row>
    <row r="12" spans="1:16" ht="5.0999999999999996" customHeight="1" thickBot="1" x14ac:dyDescent="0.35">
      <c r="B12" s="33"/>
      <c r="C12" s="75"/>
      <c r="D12" s="33"/>
      <c r="E12" s="33"/>
      <c r="F12" s="33"/>
      <c r="G12" s="94"/>
      <c r="H12" s="33"/>
      <c r="I12" s="33"/>
      <c r="J12" s="94"/>
      <c r="K12" s="94"/>
      <c r="L12" s="32"/>
    </row>
    <row r="13" spans="1:16" ht="20.100000000000001" customHeight="1" thickBot="1" x14ac:dyDescent="0.35">
      <c r="B13" s="94"/>
      <c r="C13" s="75"/>
      <c r="D13" s="33"/>
      <c r="E13" s="33"/>
      <c r="F13" s="33"/>
      <c r="G13" s="94"/>
      <c r="H13" s="63"/>
      <c r="I13" s="33" t="s">
        <v>108</v>
      </c>
      <c r="J13" s="83" t="str">
        <f>IF(OR(C6="",E6="",L4=" ",J6="")," ",C8-(ABS(E11)*G8))</f>
        <v xml:space="preserve"> </v>
      </c>
      <c r="K13" s="83" t="str">
        <f>IF(OR(C6="",E6="",L4=" ",J6="")," ",$C$8-(ABS(C11)*$G$8))</f>
        <v xml:space="preserve"> </v>
      </c>
      <c r="L13" s="32"/>
      <c r="M13" s="80" t="s">
        <v>62</v>
      </c>
      <c r="N13" s="80" t="s">
        <v>63</v>
      </c>
    </row>
    <row r="14" spans="1:16" ht="20.100000000000001" customHeight="1" thickBot="1" x14ac:dyDescent="0.35">
      <c r="B14" s="33"/>
      <c r="C14" s="154"/>
      <c r="D14" s="33"/>
      <c r="E14" s="33"/>
      <c r="F14" s="33" t="s">
        <v>90</v>
      </c>
      <c r="G14" s="126" t="str">
        <f>IF(C5=0," ",IF(E5=0," ",IF(J9&lt;J6,ABS(C8/E8)*(1-(3/((4*C9)-1))),IF(K9&lt;J6,ABS(C8/E8)*(1-(3/((4*C9)-1)))," "))))</f>
        <v xml:space="preserve"> </v>
      </c>
      <c r="H14" s="63"/>
      <c r="I14" s="33" t="s">
        <v>109</v>
      </c>
      <c r="J14" s="83" t="str">
        <f>IF(OR(C6="",E6="",L4=" ",J6="")," ",C8+(ABS(E11)*G8))</f>
        <v xml:space="preserve"> </v>
      </c>
      <c r="K14" s="83" t="str">
        <f>IF(OR(C6="",E6="",L4=" ",J6="")," ",$C$8+(ABS(C11)*$G$8))</f>
        <v xml:space="preserve"> </v>
      </c>
      <c r="L14" s="33" t="s">
        <v>37</v>
      </c>
      <c r="M14" s="92" t="str">
        <f>IF(OR(J14=" ",J13=" ")," ",J14-J13)</f>
        <v xml:space="preserve"> </v>
      </c>
      <c r="N14" s="92" t="str">
        <f>IF(OR(K14=" ",K13="")," ",K14-K13)</f>
        <v xml:space="preserve"> </v>
      </c>
    </row>
    <row r="15" spans="1:16" ht="23.1" customHeight="1" thickBot="1" x14ac:dyDescent="0.35">
      <c r="B15" s="61" t="s">
        <v>115</v>
      </c>
      <c r="C15" s="32"/>
      <c r="D15" s="32"/>
      <c r="E15" s="32"/>
      <c r="F15" s="50"/>
      <c r="G15" s="33"/>
      <c r="H15" s="63"/>
      <c r="I15" s="32"/>
      <c r="J15" s="32"/>
      <c r="K15" s="32"/>
      <c r="L15" s="32"/>
      <c r="N15" s="173" t="str">
        <f>IF($N$5="rechazo H₀", "&lt;========"," ")</f>
        <v xml:space="preserve"> </v>
      </c>
    </row>
    <row r="16" spans="1:16" ht="20.100000000000001" customHeight="1" thickBot="1" x14ac:dyDescent="0.35">
      <c r="B16" s="51" t="s">
        <v>7</v>
      </c>
      <c r="C16" s="52" t="str">
        <f>+C8</f>
        <v xml:space="preserve"> </v>
      </c>
      <c r="D16" s="33" t="s">
        <v>9</v>
      </c>
      <c r="E16" s="52" t="str">
        <f>IF(OR(C4="",C5=0,E4="",E5=0)," ",SQRT((G4/C4)+(G5/E4)))</f>
        <v xml:space="preserve"> </v>
      </c>
      <c r="I16" s="32"/>
      <c r="J16" s="80" t="s">
        <v>62</v>
      </c>
      <c r="K16" s="80" t="s">
        <v>63</v>
      </c>
      <c r="L16" s="33"/>
    </row>
    <row r="17" spans="2:14" ht="20.100000000000001" customHeight="1" thickBot="1" x14ac:dyDescent="0.35">
      <c r="B17" s="33" t="s">
        <v>2</v>
      </c>
      <c r="C17" s="86" t="str">
        <f>IF(C4+E4&lt;=4,"  ",IF(C4=0,"  ",IF(C5=0," ",IF(E4=0," ",IF(E5=0," ",ROUND(((((G4/C4)+(G5/E4))^2)  / (((G4/C4)^2/(C4-1))+((G5/E4)^2/(E4-1))))-2,0))))))</f>
        <v xml:space="preserve">  </v>
      </c>
      <c r="D17" s="32"/>
      <c r="E17" s="49"/>
      <c r="I17" s="33" t="s">
        <v>5</v>
      </c>
      <c r="J17" s="37" t="str">
        <f>IF(C4&lt;=1," ",IF(E4&lt;=1," ",IF(C5=0," ",IF(G19=" "," ",IF(E5=0," ",IF(G19&lt;0,_xlfn.T.DIST(G19,C17,1),_xlfn.T.DIST.RT(G19,C17)))))))</f>
        <v xml:space="preserve"> </v>
      </c>
      <c r="K17" s="62" t="str">
        <f>IF(C4&lt;=1," ",IF(E4&lt;=1," ",IF(C5=0," ",IF(G19=" "," ",IF(E5=0,"  ",_xlfn.T.DIST.2T(ABS(G19),C17))))))</f>
        <v xml:space="preserve"> </v>
      </c>
    </row>
    <row r="18" spans="2:14" ht="5.0999999999999996" customHeight="1" thickBot="1" x14ac:dyDescent="0.35">
      <c r="B18" s="35"/>
      <c r="C18" s="49"/>
      <c r="D18" s="32"/>
      <c r="E18" s="49"/>
      <c r="F18" s="53"/>
      <c r="G18" s="63"/>
      <c r="H18" s="32"/>
      <c r="I18" s="35"/>
      <c r="J18" s="53"/>
      <c r="K18" s="49"/>
      <c r="L18" s="32"/>
      <c r="M18" s="32"/>
      <c r="N18" s="39"/>
    </row>
    <row r="19" spans="2:14" ht="20.100000000000001" customHeight="1" thickBot="1" x14ac:dyDescent="0.35">
      <c r="B19" s="33" t="s">
        <v>33</v>
      </c>
      <c r="C19" s="43" t="str">
        <f>IF(G19=" "," ",IF(J6=""," ",ABS(_xlfn.T.INV.2T(J6,C17))))</f>
        <v xml:space="preserve"> </v>
      </c>
      <c r="D19" s="33" t="s">
        <v>7</v>
      </c>
      <c r="E19" s="54" t="str">
        <f>IF(G19=" "," ",IF(J6=""," ",IF(C16&gt;0,ABS(_xlfn.T.INV(J6,C17)),_xlfn.T.INV(J6,C17))))</f>
        <v xml:space="preserve"> </v>
      </c>
      <c r="F19" s="33" t="s">
        <v>7</v>
      </c>
      <c r="G19" s="118" t="str">
        <f>IF(OR(C5=0,E5=0,C16=" ",E16=" ")," ",C16/E16)</f>
        <v xml:space="preserve"> </v>
      </c>
      <c r="H19" s="63"/>
      <c r="I19" s="33" t="s">
        <v>6</v>
      </c>
      <c r="J19" s="81" t="str">
        <f>IF(L4=" "," ",IF(J6&lt;=0," ",IF(J6&gt;1," ",IF(J17&gt;=J6,"no rechazo H₀", "rechazo H₀"))))</f>
        <v xml:space="preserve"> </v>
      </c>
      <c r="K19" s="81" t="str">
        <f>IF(L4=" "," ",IF(J6&lt;=0," ",IF(J6&gt;1," ",IF(K17&gt;=J6,"no rechazo H₀", "rechazo H₀"))))</f>
        <v xml:space="preserve"> </v>
      </c>
      <c r="L19" s="32"/>
      <c r="M19" s="32"/>
    </row>
    <row r="20" spans="2:14" ht="5.0999999999999996" customHeight="1" thickBot="1" x14ac:dyDescent="0.35">
      <c r="G20" s="64"/>
      <c r="J20" s="49"/>
      <c r="K20" s="49"/>
    </row>
    <row r="21" spans="2:14" ht="20.100000000000001" customHeight="1" thickBot="1" x14ac:dyDescent="0.35">
      <c r="G21" s="64"/>
      <c r="I21" s="33" t="s">
        <v>108</v>
      </c>
      <c r="J21" s="57" t="str">
        <f>IF(OR(C6="",E6="",L4=" ",J6="")," ",C16-ABS(E19)*E16)</f>
        <v xml:space="preserve"> </v>
      </c>
      <c r="K21" s="57" t="str">
        <f>IF(OR(C6="",E6="",L4=" ",J6="")," ",$C$16-(ABS(C19)*$E$16))</f>
        <v xml:space="preserve"> </v>
      </c>
      <c r="M21" s="80" t="s">
        <v>62</v>
      </c>
      <c r="N21" s="80" t="s">
        <v>63</v>
      </c>
    </row>
    <row r="22" spans="2:14" ht="20.100000000000001" customHeight="1" thickBot="1" x14ac:dyDescent="0.35">
      <c r="F22" s="33" t="s">
        <v>90</v>
      </c>
      <c r="G22" s="126" t="str">
        <f>IF(C5=0," ",IF(E5=0," ",IF(J17&lt;J6,ABS(C8/E8)*(1-(3/((4*C17)-1))), IF(K17&lt;J6,ABS(C8/E8)*(1-(3/((4*C17)-1)))," "))))</f>
        <v xml:space="preserve"> </v>
      </c>
      <c r="I22" s="33" t="s">
        <v>109</v>
      </c>
      <c r="J22" s="57" t="str">
        <f>IF(OR(C6="",E6="",L4=" ",J6="")," ",C16+ABS(E19)*E16)</f>
        <v xml:space="preserve"> </v>
      </c>
      <c r="K22" s="57" t="str">
        <f>IF(OR(C6="",E6="",L4=" ",J6="")," ",$C$16+(ABS(C19)*$E$16))</f>
        <v xml:space="preserve"> </v>
      </c>
      <c r="L22" s="33" t="s">
        <v>37</v>
      </c>
      <c r="M22" s="92" t="str">
        <f>IF(OR(J22=" ",J21=" ")," ",J22-J21)</f>
        <v xml:space="preserve"> </v>
      </c>
      <c r="N22" s="92" t="str">
        <f>IF(OR(K22=" ",K21=" ")," ",K22-K21)</f>
        <v xml:space="preserve"> </v>
      </c>
    </row>
  </sheetData>
  <sheetProtection algorithmName="SHA-512" hashValue="wMEwa1Zr9MHGYqhte5uv6h8d7xOOrlk9qbnz3ZpE1YM5BPXQvu3EG3TJY8gNG5tsdRxxsU4Vv2sTfZlHZAld8A==" saltValue="HIYpWE6/as1I9nBJfBsxKg==" spinCount="100000" sheet="1" objects="1" scenarios="1" selectLockedCells="1"/>
  <protectedRanges>
    <protectedRange sqref="G10" name="Rango5"/>
    <protectedRange sqref="C6 E6" name="Rango4"/>
    <protectedRange sqref="J6" name="Rango3"/>
    <protectedRange sqref="C5 E5" name="Rango2"/>
    <protectedRange sqref="E4 C4" name="Rango1"/>
  </protectedRanges>
  <dataValidations count="7">
    <dataValidation type="whole" operator="greaterThanOrEqual" allowBlank="1" showInputMessage="1" showErrorMessage="1" errorTitle="CUIDADO !!!" error="el tamaño muestral debe ser un numero entero ≥ 2" prompt="tamaño muestral grupo 2" sqref="E4">
      <formula1>2</formula1>
    </dataValidation>
    <dataValidation type="decimal" operator="greaterThanOrEqual" allowBlank="1" showInputMessage="1" showErrorMessage="1" errorTitle="CUIDADO !!!" error="la desviación estándar muestral debe ser un número ≥ 0" prompt="desviación estándar muestral grupo 2" sqref="E5">
      <formula1>0</formula1>
    </dataValidation>
    <dataValidation type="decimal" allowBlank="1" showInputMessage="1" showErrorMessage="1" errorTitle="CUIDADO !!!" error="alfa sólo toma valores en el intervalo [0; 1]" prompt="nivel de significación" sqref="J6">
      <formula1>0</formula1>
      <formula2>1</formula2>
    </dataValidation>
    <dataValidation type="whole" operator="greaterThanOrEqual" allowBlank="1" showInputMessage="1" showErrorMessage="1" errorTitle="CUIDADO !!!" error="el tamaño muestral debe ser un numero entero ≥ 2" prompt="tamaño muestral grupo 1" sqref="C4">
      <formula1>2</formula1>
    </dataValidation>
    <dataValidation type="decimal" operator="greaterThanOrEqual" allowBlank="1" showInputMessage="1" showErrorMessage="1" errorTitle="CUIDADO !!!" error="la desviación estándar muestral debe ser un número ≥ 0" prompt="desviación estándar muestral grupo 1" sqref="C5">
      <formula1>0</formula1>
    </dataValidation>
    <dataValidation allowBlank="1" showInputMessage="1" showErrorMessage="1" prompt="media muestral grupo 1" sqref="C6"/>
    <dataValidation allowBlank="1" showInputMessage="1" showErrorMessage="1" prompt="media muestral grupo 2" sqref="E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showRowColHeaders="0" zoomScaleNormal="100" workbookViewId="0">
      <selection activeCell="C3" sqref="C3"/>
    </sheetView>
  </sheetViews>
  <sheetFormatPr baseColWidth="10" defaultRowHeight="18.75" x14ac:dyDescent="0.3"/>
  <cols>
    <col min="1" max="1" width="5.7109375" style="34" customWidth="1"/>
    <col min="2" max="2" width="8.7109375" style="34" customWidth="1"/>
    <col min="3" max="3" width="13.7109375" style="34" customWidth="1"/>
    <col min="4" max="4" width="8.7109375" style="34" customWidth="1"/>
    <col min="5" max="5" width="13.7109375" style="34" customWidth="1"/>
    <col min="6" max="6" width="1.7109375" style="34" customWidth="1"/>
    <col min="7" max="7" width="13.5703125" style="34" bestFit="1" customWidth="1"/>
    <col min="8" max="8" width="11.7109375" style="34" customWidth="1"/>
    <col min="9" max="9" width="8.85546875" style="34" bestFit="1" customWidth="1"/>
    <col min="10" max="10" width="11.7109375" style="34" customWidth="1"/>
    <col min="11" max="11" width="15.7109375" style="34" customWidth="1"/>
    <col min="12" max="13" width="19.7109375" style="34" customWidth="1"/>
    <col min="14" max="15" width="16.42578125" style="34" customWidth="1"/>
    <col min="16" max="16384" width="11.42578125" style="34"/>
  </cols>
  <sheetData>
    <row r="1" spans="1:13" s="32" customFormat="1" ht="21" customHeight="1" x14ac:dyDescent="0.25">
      <c r="B1" s="31" t="s">
        <v>99</v>
      </c>
    </row>
    <row r="2" spans="1:13" ht="20.100000000000001" customHeight="1" thickBot="1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20.100000000000001" customHeight="1" thickBot="1" x14ac:dyDescent="0.35">
      <c r="B3" s="160" t="s">
        <v>74</v>
      </c>
      <c r="C3" s="19"/>
      <c r="D3" s="160" t="s">
        <v>78</v>
      </c>
      <c r="E3" s="19"/>
      <c r="F3" s="65"/>
      <c r="G3" s="33" t="s">
        <v>7</v>
      </c>
      <c r="H3" s="52" t="str">
        <f>IF(OR(E3&lt;0,C3="",E3="",E3&gt;C3)," ",INT(E3)/C3)</f>
        <v xml:space="preserve"> </v>
      </c>
      <c r="I3" s="32"/>
      <c r="J3" s="32"/>
      <c r="K3" s="33"/>
      <c r="L3" s="80" t="s">
        <v>62</v>
      </c>
      <c r="M3" s="80" t="s">
        <v>63</v>
      </c>
    </row>
    <row r="4" spans="1:13" ht="20.100000000000001" customHeight="1" thickBot="1" x14ac:dyDescent="0.35">
      <c r="B4" s="160" t="s">
        <v>75</v>
      </c>
      <c r="C4" s="21"/>
      <c r="D4" s="160" t="s">
        <v>79</v>
      </c>
      <c r="E4" s="21"/>
      <c r="F4" s="65"/>
      <c r="G4" s="33" t="s">
        <v>7</v>
      </c>
      <c r="H4" s="52" t="str">
        <f>IF(OR(E4&lt;0,C4="",E4="",E4&gt;C4)," ",INT(E4)/C4)</f>
        <v xml:space="preserve"> </v>
      </c>
      <c r="I4" s="32"/>
      <c r="J4" s="32"/>
      <c r="K4" s="33" t="s">
        <v>5</v>
      </c>
      <c r="L4" s="37" t="str">
        <f>IF(OR(E3&lt;0,E4&lt;0,C4&lt;=E4,C3&lt;=E3,C3="",C4="",E3="",E4="")," ",1-_xlfn.NORM.S.DIST(ABS(J6),1))</f>
        <v xml:space="preserve"> </v>
      </c>
      <c r="M4" s="37" t="str">
        <f>IF(OR(E3&lt;0,E4&lt;0,C4&lt;=E4,C3&lt;=E3,C3="",C4="",E3="",E4="")," ",2*L4)</f>
        <v xml:space="preserve"> </v>
      </c>
    </row>
    <row r="5" spans="1:13" ht="20.100000000000001" customHeight="1" thickBot="1" x14ac:dyDescent="0.35">
      <c r="B5" s="32"/>
      <c r="D5" s="32"/>
      <c r="E5" s="32"/>
      <c r="F5" s="32"/>
      <c r="G5" s="33" t="s">
        <v>7</v>
      </c>
      <c r="H5" s="52" t="str">
        <f>IF(OR(H3=" ",H4=" ")," ",H3-H4)</f>
        <v xml:space="preserve"> </v>
      </c>
      <c r="I5" s="32"/>
      <c r="J5" s="32"/>
      <c r="K5" s="32"/>
      <c r="L5" s="49"/>
      <c r="M5" s="49"/>
    </row>
    <row r="6" spans="1:13" ht="20.100000000000001" customHeight="1" thickBot="1" x14ac:dyDescent="0.35">
      <c r="A6" s="176"/>
      <c r="B6" s="176"/>
      <c r="C6" s="176"/>
      <c r="D6" s="32"/>
      <c r="E6" s="32"/>
      <c r="F6" s="32"/>
      <c r="G6" s="33" t="s">
        <v>7</v>
      </c>
      <c r="H6" s="52" t="str">
        <f>IF(OR(C3="",C4="",E3="",E4="",E3&gt;C3,E4&gt;C4)," ",(INT(E3)+INT(E4))/(C3+C4))</f>
        <v xml:space="preserve"> </v>
      </c>
      <c r="I6" s="33" t="s">
        <v>7</v>
      </c>
      <c r="J6" s="120" t="str">
        <f>IF(OR(E3&lt;0,E4&lt;0,C4&lt;=E4,C3&lt;=E3,C3="",C4="",E3="",E4="")," ",H5/H10)</f>
        <v xml:space="preserve"> </v>
      </c>
      <c r="K6" s="32"/>
      <c r="L6" s="35" t="s">
        <v>65</v>
      </c>
      <c r="M6" s="18"/>
    </row>
    <row r="7" spans="1:13" ht="20.100000000000001" customHeight="1" thickBot="1" x14ac:dyDescent="0.35">
      <c r="C7" s="55"/>
      <c r="D7" s="32"/>
      <c r="E7" s="32"/>
      <c r="F7" s="32"/>
      <c r="G7" s="33" t="s">
        <v>7</v>
      </c>
      <c r="H7" s="52" t="str">
        <f>IF(OR(C3="",C4="",E3="",E4="",H6=" ")," ",1-H6)</f>
        <v xml:space="preserve"> </v>
      </c>
      <c r="I7" s="32"/>
      <c r="J7" s="32"/>
      <c r="K7" s="32"/>
      <c r="L7" s="122"/>
      <c r="M7" s="49"/>
    </row>
    <row r="8" spans="1:13" ht="20.100000000000001" customHeight="1" thickBot="1" x14ac:dyDescent="0.35">
      <c r="B8" s="32"/>
      <c r="C8" s="32"/>
      <c r="D8" s="32"/>
      <c r="E8" s="32"/>
      <c r="F8" s="32"/>
      <c r="G8" s="33" t="s">
        <v>7</v>
      </c>
      <c r="H8" s="52" t="str">
        <f>IF(OR(C3="",C4="",E3="",E4="",H7=" ")," ",H6*H7)</f>
        <v xml:space="preserve"> </v>
      </c>
      <c r="I8" s="32"/>
      <c r="J8" s="32"/>
      <c r="K8" s="33" t="s">
        <v>6</v>
      </c>
      <c r="L8" s="81" t="str">
        <f>IF(OR(C4&lt;=E4,C3&lt;=E3,J6=" ",M6&lt;=0,M6&gt;1)," ",IF(L4&gt;=M6,"no rechazo H₀","rechazo H₀"))</f>
        <v xml:space="preserve"> </v>
      </c>
      <c r="M8" s="81" t="str">
        <f>IF(OR(C4&lt;=E4,C3&lt;=E3,J6=" ",M6&lt;=0,M6&gt;1)," ",IF(M4&gt;=M6,"no rechazo H₀","rechazo H₀"))</f>
        <v xml:space="preserve"> </v>
      </c>
    </row>
    <row r="9" spans="1:13" ht="20.100000000000001" customHeight="1" thickBot="1" x14ac:dyDescent="0.35">
      <c r="B9" s="32"/>
      <c r="C9" s="32"/>
      <c r="D9" s="32"/>
      <c r="E9" s="32"/>
      <c r="F9" s="32"/>
      <c r="G9" s="33" t="s">
        <v>30</v>
      </c>
      <c r="H9" s="52" t="str">
        <f>IF(OR(C3="",C4="",E3="",E4="",E3&gt;C3,E4&gt;C4)," ",(C3+C4)/(C3*C4))</f>
        <v xml:space="preserve"> </v>
      </c>
      <c r="I9" s="32"/>
      <c r="J9" s="32"/>
      <c r="K9" s="32"/>
      <c r="L9" s="49"/>
      <c r="M9" s="49"/>
    </row>
    <row r="10" spans="1:13" ht="20.100000000000001" customHeight="1" thickBot="1" x14ac:dyDescent="0.35">
      <c r="G10" s="33" t="s">
        <v>9</v>
      </c>
      <c r="H10" s="119" t="str">
        <f>IF(OR(E3&lt;1,E4&lt;1,C3="",C4="",E3="",E4="",H8=" ",H9=" ")," ",SQRT(H8*H9))</f>
        <v xml:space="preserve"> </v>
      </c>
      <c r="K10" s="33" t="s">
        <v>108</v>
      </c>
      <c r="L10" s="57" t="str">
        <f>IF(OR(C4&lt;=E4,C3&lt;=E3,J6=" ",M6="")," ",$H$5-(ABS(J11)*H10))</f>
        <v xml:space="preserve"> </v>
      </c>
      <c r="M10" s="57" t="str">
        <f>IF(OR(C4&lt;=E4,C3&lt;=E3,J6=" ",M6="")," ",H5-(ABS(H11)*H10))</f>
        <v xml:space="preserve"> </v>
      </c>
    </row>
    <row r="11" spans="1:13" ht="20.100000000000001" customHeight="1" thickBot="1" x14ac:dyDescent="0.35">
      <c r="G11" s="33" t="s">
        <v>33</v>
      </c>
      <c r="H11" s="43" t="str">
        <f>IF(OR(C4&lt;=E4,C3&lt;=E3,J6=" ",M6="")," ",ABS(_xlfn.NORM.S.INV($M$6/2)))</f>
        <v xml:space="preserve"> </v>
      </c>
      <c r="I11" s="33" t="s">
        <v>7</v>
      </c>
      <c r="J11" s="121" t="str">
        <f>IF(OR(C4&lt;=E4,C3&lt;=E3,J6=" ",M6="")," ",IF(H5&gt;0,ABS(_xlfn.NORM.S.INV(M6)),_xlfn.NORM.S.INV(M6)))</f>
        <v xml:space="preserve"> </v>
      </c>
      <c r="K11" s="33" t="s">
        <v>109</v>
      </c>
      <c r="L11" s="57" t="str">
        <f>IF(OR(C4&lt;=E4,C3&lt;=E3,J6=" ",M6="")," ",H5+(ABS(J11)*H10))</f>
        <v xml:space="preserve"> </v>
      </c>
      <c r="M11" s="57" t="str">
        <f>IF(OR(C4&lt;=E4,C3&lt;=E3,J6=" ",M6="")," ",H5+(ABS(H11)*H10))</f>
        <v xml:space="preserve"> </v>
      </c>
    </row>
    <row r="12" spans="1:13" ht="5.0999999999999996" customHeight="1" thickBot="1" x14ac:dyDescent="0.35">
      <c r="L12" s="64"/>
      <c r="M12" s="64"/>
    </row>
    <row r="13" spans="1:13" ht="19.5" thickBot="1" x14ac:dyDescent="0.35">
      <c r="K13" s="33" t="s">
        <v>36</v>
      </c>
      <c r="L13" s="92" t="str">
        <f>IF(OR(C4&lt;=E4,C3&lt;=E3,J6=" ",M6="")," ",L11-L10)</f>
        <v xml:space="preserve"> </v>
      </c>
      <c r="M13" s="92" t="str">
        <f>IF(OR(C4&lt;=E4,C3&lt;=E3,J6=" ",M6="")," ",M11-M10)</f>
        <v xml:space="preserve"> </v>
      </c>
    </row>
    <row r="14" spans="1:13" ht="5.0999999999999996" customHeight="1" thickBot="1" x14ac:dyDescent="0.35"/>
    <row r="15" spans="1:13" ht="19.5" thickBot="1" x14ac:dyDescent="0.35">
      <c r="I15" s="49"/>
      <c r="K15" s="33" t="s">
        <v>35</v>
      </c>
      <c r="L15" s="91" t="str">
        <f>IF(OR(C4&lt;=E4,C3&lt;=E3,E3="",E4="")," ",IF(L4&lt;M6,ABS((H3-H4)/SQRT(H8)),IF(M4&lt;M6,ABS((H3-H4)/SQRT(H8))," ")))</f>
        <v xml:space="preserve"> </v>
      </c>
    </row>
  </sheetData>
  <sheetProtection algorithmName="SHA-512" hashValue="EaBj1uIkff1Ehwo0mUDtqwf687Ur3LoUWOlpf4D+t4D/m+tMBxWvvHkXlC383AwPY71J79Ca+RBCafLAj9VeVw==" saltValue="K4RQM32zJdoB4kByoTVbWA==" spinCount="100000" sheet="1" objects="1" scenarios="1" selectLockedCells="1"/>
  <protectedRanges>
    <protectedRange sqref="C3:C4" name="Rango1"/>
    <protectedRange sqref="E3:E4" name="Rango2"/>
    <protectedRange sqref="M6" name="Rango3"/>
    <protectedRange sqref="F3:F4" name="Rango1_1"/>
  </protectedRanges>
  <dataValidations count="5">
    <dataValidation type="decimal" allowBlank="1" showInputMessage="1" showErrorMessage="1" errorTitle="CUIDADO !!!" error="alfa sólo toma valores en el intervalo [0; 1]" prompt="nivel de significación" sqref="M6">
      <formula1>0</formula1>
      <formula2>1</formula2>
    </dataValidation>
    <dataValidation type="whole" operator="greaterThanOrEqual" allowBlank="1" showInputMessage="1" showErrorMessage="1" errorTitle="CUIDADO !!!" error="el tamaño muestral debe ser un numero entero ≥ 2" prompt="tamaño muestral grupo 2" sqref="C4">
      <formula1>2</formula1>
    </dataValidation>
    <dataValidation type="custom" operator="lessThan" allowBlank="1" showInputMessage="1" showErrorMessage="1" errorTitle="CUIDADO !!!" error="el nº de éxitos debe ser un número entero &lt; n₂" prompt="nº de éxitos grupo 2" sqref="E4">
      <formula1>AND(E4&lt;C4,E4&gt;=1)</formula1>
    </dataValidation>
    <dataValidation type="custom" operator="lessThan" allowBlank="1" showInputMessage="1" showErrorMessage="1" errorTitle="CUIDADO !!!" error="el nº de éxitos debe ser un número entero &lt; n₁" prompt="nº de éxitos grupo 1" sqref="E3">
      <formula1>AND(E3&lt;C3,E3&gt;=1)</formula1>
    </dataValidation>
    <dataValidation type="whole" operator="greaterThanOrEqual" allowBlank="1" showInputMessage="1" showErrorMessage="1" errorTitle="CUIDADO !!!" error="el tamaño muestral debe ser un numero entero ≥ 2" prompt="tamaño muestral grupo 1" sqref="C3">
      <formula1>2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'dif proporciones'!A6:C6</xm:f>
              <xm:sqref>D6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>
      <selection activeCell="B5" sqref="B5"/>
    </sheetView>
  </sheetViews>
  <sheetFormatPr baseColWidth="10" defaultRowHeight="18.75" x14ac:dyDescent="0.3"/>
  <cols>
    <col min="1" max="1" width="5.7109375" style="34" customWidth="1"/>
    <col min="2" max="3" width="14.7109375" style="34" customWidth="1"/>
    <col min="4" max="4" width="11.7109375" style="34" customWidth="1"/>
    <col min="5" max="5" width="23.5703125" style="34" customWidth="1"/>
    <col min="6" max="6" width="1.7109375" style="34" customWidth="1"/>
    <col min="7" max="7" width="5.7109375" style="34" bestFit="1" customWidth="1"/>
    <col min="8" max="8" width="10.28515625" style="34" customWidth="1"/>
    <col min="9" max="9" width="12.7109375" style="34" customWidth="1"/>
    <col min="10" max="10" width="1.7109375" style="34" customWidth="1"/>
    <col min="11" max="11" width="11.42578125" style="34"/>
    <col min="12" max="12" width="14.7109375" style="34" customWidth="1"/>
    <col min="13" max="13" width="8.28515625" style="34" bestFit="1" customWidth="1"/>
    <col min="14" max="14" width="10.7109375" style="34" customWidth="1"/>
    <col min="15" max="15" width="11.42578125" style="34" bestFit="1" customWidth="1"/>
    <col min="16" max="16" width="19.7109375" style="34" customWidth="1"/>
    <col min="17" max="16384" width="11.42578125" style="34"/>
  </cols>
  <sheetData>
    <row r="1" spans="1:16" s="32" customFormat="1" ht="21" customHeight="1" x14ac:dyDescent="0.25">
      <c r="B1" s="31" t="s">
        <v>100</v>
      </c>
    </row>
    <row r="2" spans="1:16" s="32" customFormat="1" ht="2.25" customHeight="1" x14ac:dyDescent="0.25">
      <c r="B2" s="31"/>
    </row>
    <row r="3" spans="1:16" ht="20.100000000000001" customHeight="1" x14ac:dyDescent="0.3">
      <c r="A3" s="66"/>
      <c r="B3" s="189" t="s">
        <v>21</v>
      </c>
      <c r="C3" s="189"/>
      <c r="D3" s="32"/>
      <c r="E3" s="32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ht="39" customHeight="1" thickBot="1" x14ac:dyDescent="0.35">
      <c r="A4" s="66"/>
      <c r="B4" s="156" t="s">
        <v>22</v>
      </c>
      <c r="C4" s="87" t="s">
        <v>23</v>
      </c>
      <c r="D4" s="88"/>
      <c r="E4" s="169" t="s">
        <v>94</v>
      </c>
      <c r="F4" s="66"/>
      <c r="G4" s="190"/>
      <c r="H4" s="66"/>
      <c r="I4" s="66"/>
      <c r="J4" s="66"/>
      <c r="K4" s="66"/>
      <c r="L4" s="66"/>
      <c r="M4" s="66"/>
      <c r="N4" s="66"/>
      <c r="O4" s="66"/>
      <c r="P4" s="66"/>
    </row>
    <row r="5" spans="1:16" ht="20.100000000000001" customHeight="1" thickBot="1" x14ac:dyDescent="0.35">
      <c r="A5" s="182" t="str">
        <f>IF(B5="","",1)</f>
        <v/>
      </c>
      <c r="B5" s="183"/>
      <c r="C5" s="19"/>
      <c r="D5" s="85" t="str">
        <f>IF(C5&lt;=0," ",((B5-C5)^2)/C5)</f>
        <v xml:space="preserve"> </v>
      </c>
      <c r="E5" s="52" t="str">
        <f>IF(C5&lt;=0," ",((ABS(B5-C5)-0.5)^2)/C5)</f>
        <v xml:space="preserve"> </v>
      </c>
      <c r="F5" s="155" t="s">
        <v>117</v>
      </c>
      <c r="H5" s="66"/>
      <c r="I5" s="18"/>
      <c r="L5" s="66"/>
      <c r="M5" s="66"/>
      <c r="N5" s="66"/>
      <c r="O5" s="66"/>
      <c r="P5" s="66"/>
    </row>
    <row r="6" spans="1:16" ht="20.100000000000001" customHeight="1" x14ac:dyDescent="0.3">
      <c r="A6" s="182" t="str">
        <f>IF(B6="","",2)</f>
        <v/>
      </c>
      <c r="B6" s="184"/>
      <c r="C6" s="20"/>
      <c r="D6" s="85" t="str">
        <f t="shared" ref="D6:D18" si="0">IF(C6&lt;=0," ",((B6-C6)^2)/C6)</f>
        <v xml:space="preserve"> </v>
      </c>
      <c r="E6" s="52" t="str">
        <f t="shared" ref="E6:E18" si="1">IF(C6&lt;=0," ",((ABS(B6-C6)-0.5)^2)/C6)</f>
        <v xml:space="preserve"> 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ht="20.100000000000001" customHeight="1" x14ac:dyDescent="0.3">
      <c r="A7" s="182" t="str">
        <f>IF(B7="","",3)</f>
        <v/>
      </c>
      <c r="B7" s="184"/>
      <c r="C7" s="20"/>
      <c r="D7" s="85" t="str">
        <f t="shared" si="0"/>
        <v xml:space="preserve"> </v>
      </c>
      <c r="E7" s="52" t="str">
        <f t="shared" si="1"/>
        <v xml:space="preserve"> </v>
      </c>
      <c r="F7" s="66"/>
      <c r="G7" s="67" t="s">
        <v>2</v>
      </c>
      <c r="H7" s="117" t="str">
        <f>IF(I7&lt;0," ",I7)</f>
        <v xml:space="preserve"> </v>
      </c>
      <c r="I7" s="174" t="str">
        <f>IF(OR(B19=0,C19=0)," ",COUNT(B5:B18)-I5-1)</f>
        <v xml:space="preserve"> </v>
      </c>
      <c r="J7" s="66"/>
      <c r="K7" s="66"/>
      <c r="L7" s="66"/>
      <c r="M7" s="66"/>
      <c r="N7" s="66"/>
      <c r="O7" s="66"/>
      <c r="P7" s="66"/>
    </row>
    <row r="8" spans="1:16" ht="20.100000000000001" customHeight="1" thickBot="1" x14ac:dyDescent="0.35">
      <c r="A8" s="182" t="str">
        <f>IF(B8="","",4)</f>
        <v/>
      </c>
      <c r="B8" s="184"/>
      <c r="C8" s="20"/>
      <c r="D8" s="85" t="str">
        <f t="shared" si="0"/>
        <v xml:space="preserve"> </v>
      </c>
      <c r="E8" s="52" t="str">
        <f t="shared" si="1"/>
        <v xml:space="preserve"> 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20.100000000000001" customHeight="1" thickBot="1" x14ac:dyDescent="0.35">
      <c r="A9" s="182" t="str">
        <f>IF(B9="","",5)</f>
        <v/>
      </c>
      <c r="B9" s="184"/>
      <c r="C9" s="20"/>
      <c r="D9" s="85" t="str">
        <f t="shared" si="0"/>
        <v xml:space="preserve"> </v>
      </c>
      <c r="E9" s="52" t="str">
        <f t="shared" si="1"/>
        <v xml:space="preserve"> </v>
      </c>
      <c r="F9" s="66"/>
      <c r="G9" s="32"/>
      <c r="H9" s="33" t="s">
        <v>16</v>
      </c>
      <c r="I9" s="115" t="str">
        <f>IF(OR(I7&lt;=0,B19=0,B19&lt;&gt;C19)," ",SUM(D5:D18))</f>
        <v xml:space="preserve"> </v>
      </c>
      <c r="J9" s="32"/>
      <c r="K9" s="51" t="s">
        <v>4</v>
      </c>
      <c r="L9" s="116" t="str">
        <f>IF(OR(H7=0,I5&gt;H7,B19&lt;&gt;C19,B19=0),"",_xlfn.CHISQ.DIST.RT(I9,H7))</f>
        <v/>
      </c>
      <c r="M9" s="66"/>
      <c r="N9" s="66"/>
      <c r="O9" s="33" t="s">
        <v>6</v>
      </c>
      <c r="P9" s="82" t="str">
        <f>IF(OR(L9="",N10&lt;=0,N10&gt;1)," ",IF(L9&gt;=N10,"no rechazo H₀","rechazo H₀"))</f>
        <v xml:space="preserve"> </v>
      </c>
    </row>
    <row r="10" spans="1:16" ht="20.100000000000001" customHeight="1" thickBot="1" x14ac:dyDescent="0.35">
      <c r="A10" s="182" t="str">
        <f>IF(B10="","",6)</f>
        <v/>
      </c>
      <c r="B10" s="184"/>
      <c r="C10" s="20"/>
      <c r="D10" s="85" t="str">
        <f t="shared" si="0"/>
        <v xml:space="preserve"> </v>
      </c>
      <c r="E10" s="52" t="str">
        <f t="shared" si="1"/>
        <v xml:space="preserve"> </v>
      </c>
      <c r="F10" s="66"/>
      <c r="G10" s="32"/>
      <c r="H10" s="32"/>
      <c r="I10" s="49"/>
      <c r="J10" s="32"/>
      <c r="K10" s="32"/>
      <c r="L10" s="49"/>
      <c r="M10" s="35" t="s">
        <v>67</v>
      </c>
      <c r="N10" s="18"/>
      <c r="O10" s="32"/>
      <c r="P10" s="32"/>
    </row>
    <row r="11" spans="1:16" ht="20.100000000000001" customHeight="1" thickBot="1" x14ac:dyDescent="0.35">
      <c r="A11" s="182" t="str">
        <f>IF(B11="","",7)</f>
        <v/>
      </c>
      <c r="B11" s="184"/>
      <c r="C11" s="20"/>
      <c r="D11" s="85" t="str">
        <f t="shared" si="0"/>
        <v xml:space="preserve"> </v>
      </c>
      <c r="E11" s="52" t="str">
        <f t="shared" si="1"/>
        <v xml:space="preserve"> </v>
      </c>
      <c r="F11" s="66"/>
      <c r="G11" s="32"/>
      <c r="H11" s="33" t="s">
        <v>16</v>
      </c>
      <c r="I11" s="115" t="str">
        <f>IF(OR(I7&lt;=0,C19=0,C19&lt;&gt;B19)," ",SUM(E5:E18))</f>
        <v xml:space="preserve"> </v>
      </c>
      <c r="J11" s="32"/>
      <c r="K11" s="51" t="s">
        <v>4</v>
      </c>
      <c r="L11" s="116" t="str">
        <f>IF(OR(H7=0,I5&gt;H7,B19&lt;&gt;C19,B19=0),"",_xlfn.CHISQ.DIST.RT(I11,H7))</f>
        <v/>
      </c>
      <c r="M11" s="66"/>
      <c r="N11" s="66"/>
      <c r="O11" s="33" t="s">
        <v>6</v>
      </c>
      <c r="P11" s="82" t="str">
        <f>IF(OR(L11="",N10&lt;=0,N10&gt;1)," ",IF(L11&gt;=N10,"no rechazo H₀","rechazo H₀"))</f>
        <v xml:space="preserve"> </v>
      </c>
    </row>
    <row r="12" spans="1:16" ht="20.100000000000001" customHeight="1" x14ac:dyDescent="0.3">
      <c r="A12" s="182" t="str">
        <f>IF(B12="","",8)</f>
        <v/>
      </c>
      <c r="B12" s="184"/>
      <c r="C12" s="20"/>
      <c r="D12" s="85" t="str">
        <f t="shared" si="0"/>
        <v xml:space="preserve"> </v>
      </c>
      <c r="E12" s="52" t="str">
        <f t="shared" si="1"/>
        <v xml:space="preserve"> 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16" ht="20.100000000000001" customHeight="1" x14ac:dyDescent="0.3">
      <c r="A13" s="182" t="str">
        <f>IF(B13="","",9)</f>
        <v/>
      </c>
      <c r="B13" s="184"/>
      <c r="C13" s="20"/>
      <c r="D13" s="85" t="str">
        <f t="shared" si="0"/>
        <v xml:space="preserve"> </v>
      </c>
      <c r="E13" s="52" t="str">
        <f t="shared" si="1"/>
        <v xml:space="preserve"> </v>
      </c>
      <c r="F13" s="66"/>
      <c r="G13" s="66"/>
      <c r="H13" s="172"/>
      <c r="I13" s="172"/>
      <c r="J13" s="172"/>
      <c r="K13" s="172"/>
      <c r="L13" s="172"/>
      <c r="M13" s="66"/>
      <c r="N13" s="68"/>
      <c r="O13" s="66"/>
      <c r="P13" s="66"/>
    </row>
    <row r="14" spans="1:16" ht="20.100000000000001" customHeight="1" x14ac:dyDescent="0.3">
      <c r="A14" s="182" t="str">
        <f>IF(B14="","",10)</f>
        <v/>
      </c>
      <c r="B14" s="184"/>
      <c r="C14" s="20"/>
      <c r="D14" s="85" t="str">
        <f t="shared" si="0"/>
        <v xml:space="preserve"> </v>
      </c>
      <c r="E14" s="52" t="str">
        <f t="shared" si="1"/>
        <v xml:space="preserve"> </v>
      </c>
      <c r="F14" s="66"/>
      <c r="G14" s="66"/>
      <c r="H14" s="172"/>
      <c r="I14" s="172"/>
      <c r="J14" s="172"/>
      <c r="K14" s="172"/>
      <c r="L14" s="172"/>
      <c r="M14" s="66"/>
      <c r="N14" s="66"/>
      <c r="O14" s="66"/>
      <c r="P14" s="66"/>
    </row>
    <row r="15" spans="1:16" ht="20.100000000000001" customHeight="1" x14ac:dyDescent="0.3">
      <c r="A15" s="182" t="str">
        <f>IF(B15="","",11)</f>
        <v/>
      </c>
      <c r="B15" s="184"/>
      <c r="C15" s="20"/>
      <c r="D15" s="85" t="str">
        <f t="shared" si="0"/>
        <v xml:space="preserve"> </v>
      </c>
      <c r="E15" s="52" t="str">
        <f t="shared" si="1"/>
        <v xml:space="preserve"> </v>
      </c>
      <c r="F15" s="66"/>
      <c r="G15" s="66"/>
      <c r="H15" s="175"/>
      <c r="I15" s="172"/>
      <c r="J15" s="172"/>
      <c r="K15" s="172"/>
      <c r="L15" s="172"/>
      <c r="M15" s="66"/>
      <c r="N15" s="66"/>
      <c r="O15" s="66"/>
      <c r="P15" s="66"/>
    </row>
    <row r="16" spans="1:16" ht="20.100000000000001" customHeight="1" x14ac:dyDescent="0.3">
      <c r="A16" s="182" t="str">
        <f>IF(B16="","",12)</f>
        <v/>
      </c>
      <c r="B16" s="184"/>
      <c r="C16" s="20"/>
      <c r="D16" s="85" t="str">
        <f t="shared" si="0"/>
        <v xml:space="preserve"> </v>
      </c>
      <c r="E16" s="52" t="str">
        <f t="shared" si="1"/>
        <v xml:space="preserve"> </v>
      </c>
      <c r="F16" s="66"/>
      <c r="G16" s="66"/>
      <c r="H16" s="175"/>
      <c r="I16" s="172"/>
      <c r="J16" s="172"/>
      <c r="K16" s="172"/>
      <c r="L16" s="172"/>
      <c r="M16" s="66"/>
      <c r="N16" s="66"/>
      <c r="O16" s="66"/>
      <c r="P16" s="66"/>
    </row>
    <row r="17" spans="1:16" ht="20.100000000000001" customHeight="1" x14ac:dyDescent="0.3">
      <c r="A17" s="182" t="str">
        <f>IF(B17="","",13)</f>
        <v/>
      </c>
      <c r="B17" s="184"/>
      <c r="C17" s="20"/>
      <c r="D17" s="85" t="str">
        <f t="shared" si="0"/>
        <v xml:space="preserve"> </v>
      </c>
      <c r="E17" s="52" t="str">
        <f t="shared" si="1"/>
        <v xml:space="preserve"> </v>
      </c>
      <c r="F17" s="66"/>
      <c r="G17" s="66"/>
      <c r="H17" s="172"/>
      <c r="I17" s="172"/>
      <c r="J17" s="172"/>
      <c r="K17" s="172"/>
      <c r="L17" s="172"/>
      <c r="M17" s="66"/>
      <c r="N17" s="66"/>
      <c r="O17" s="66"/>
      <c r="P17" s="66"/>
    </row>
    <row r="18" spans="1:16" ht="20.100000000000001" customHeight="1" thickBot="1" x14ac:dyDescent="0.35">
      <c r="A18" s="182" t="str">
        <f>IF(B18="","",14)</f>
        <v/>
      </c>
      <c r="B18" s="185"/>
      <c r="C18" s="21"/>
      <c r="D18" s="85" t="str">
        <f t="shared" si="0"/>
        <v xml:space="preserve"> </v>
      </c>
      <c r="E18" s="52" t="str">
        <f t="shared" si="1"/>
        <v xml:space="preserve"> </v>
      </c>
      <c r="F18" s="66"/>
      <c r="G18" s="66"/>
      <c r="H18" s="172"/>
      <c r="I18" s="172"/>
      <c r="J18" s="172"/>
      <c r="K18" s="172"/>
      <c r="L18" s="172"/>
      <c r="M18" s="66"/>
      <c r="N18" s="66"/>
      <c r="O18" s="66"/>
      <c r="P18" s="66"/>
    </row>
    <row r="19" spans="1:16" ht="20.100000000000001" customHeight="1" x14ac:dyDescent="0.3">
      <c r="A19" s="72" t="s">
        <v>10</v>
      </c>
      <c r="B19" s="86">
        <f>SUM(B5:B18)</f>
        <v>0</v>
      </c>
      <c r="C19" s="86">
        <f t="shared" ref="C19" si="2">SUM(C5:C18)</f>
        <v>0</v>
      </c>
      <c r="D19" s="70" t="str">
        <f>IF(B19&lt;&gt;C19,"  CUIDADO !!!... La suma de las 'frecuencias observadas' tiene que ser igual a la suma de las 'frecuencias esperadas'. "," ")</f>
        <v xml:space="preserve"> </v>
      </c>
      <c r="E19" s="69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 x14ac:dyDescent="0.3">
      <c r="A20" s="136"/>
      <c r="B20" s="136"/>
      <c r="C20" s="136"/>
      <c r="D20" s="136"/>
      <c r="E20" s="136"/>
      <c r="F20" s="39"/>
      <c r="G20" s="136"/>
      <c r="H20" s="136"/>
      <c r="I20" s="136"/>
    </row>
    <row r="21" spans="1:16" x14ac:dyDescent="0.3">
      <c r="A21" s="136"/>
      <c r="B21" s="136"/>
      <c r="C21" s="136"/>
      <c r="D21" s="136"/>
      <c r="E21" s="136"/>
      <c r="F21" s="136"/>
      <c r="G21" s="136"/>
      <c r="H21" s="136"/>
      <c r="I21" s="136"/>
    </row>
    <row r="22" spans="1:16" x14ac:dyDescent="0.3">
      <c r="A22" s="136"/>
      <c r="B22" s="136"/>
      <c r="C22" s="136"/>
      <c r="D22" s="136"/>
      <c r="E22" s="136"/>
      <c r="F22" s="136"/>
      <c r="G22" s="136"/>
      <c r="H22" s="136"/>
      <c r="I22" s="136"/>
    </row>
    <row r="23" spans="1:16" x14ac:dyDescent="0.3">
      <c r="A23" s="136"/>
      <c r="B23" s="136"/>
      <c r="C23" s="136"/>
      <c r="D23" s="136"/>
      <c r="E23" s="136"/>
      <c r="F23" s="136"/>
      <c r="G23" s="136"/>
      <c r="H23" s="136"/>
      <c r="I23" s="136"/>
    </row>
    <row r="24" spans="1:16" x14ac:dyDescent="0.3">
      <c r="A24" s="136"/>
      <c r="B24" s="136"/>
      <c r="C24" s="136"/>
      <c r="D24" s="136"/>
      <c r="E24" s="136"/>
      <c r="F24" s="136"/>
      <c r="G24" s="136"/>
      <c r="H24" s="136"/>
      <c r="I24" s="136"/>
    </row>
    <row r="25" spans="1:16" x14ac:dyDescent="0.3">
      <c r="A25" s="136"/>
      <c r="B25" s="136"/>
      <c r="C25" s="136"/>
      <c r="D25" s="136"/>
      <c r="E25" s="136"/>
      <c r="F25" s="136"/>
      <c r="G25" s="136"/>
      <c r="H25" s="136"/>
      <c r="I25" s="136"/>
    </row>
    <row r="26" spans="1:16" x14ac:dyDescent="0.3">
      <c r="A26" s="136"/>
      <c r="B26" s="136"/>
      <c r="C26" s="136"/>
      <c r="D26" s="136"/>
      <c r="E26" s="136"/>
      <c r="F26" s="136"/>
      <c r="G26" s="136"/>
      <c r="H26" s="136"/>
      <c r="I26" s="136"/>
    </row>
    <row r="27" spans="1:16" x14ac:dyDescent="0.3">
      <c r="A27" s="136"/>
      <c r="B27" s="136"/>
      <c r="C27" s="136"/>
      <c r="D27" s="136"/>
      <c r="E27" s="136"/>
      <c r="F27" s="136"/>
      <c r="G27" s="136"/>
      <c r="H27" s="136"/>
      <c r="I27" s="136"/>
    </row>
  </sheetData>
  <sheetProtection algorithmName="SHA-512" hashValue="pnw7pCk83Ipo0/eMPemLrA1djtaTs/WOadKtVHYW/SM+/0IiZOpBXMIWQ6tab5dRCy1SMrU8lWwbCHJ40mi1Hg==" saltValue="eCnl6tsW8NBop6DsbH+/GQ==" spinCount="100000" sheet="1" objects="1" scenarios="1" selectLockedCells="1"/>
  <protectedRanges>
    <protectedRange sqref="I5" name="Rango3"/>
    <protectedRange sqref="N10" name="Rango4_1"/>
    <protectedRange sqref="B5:C18" name="Rango1"/>
  </protectedRanges>
  <mergeCells count="1">
    <mergeCell ref="B3:C3"/>
  </mergeCells>
  <dataValidations count="4">
    <dataValidation type="decimal" allowBlank="1" showInputMessage="1" showErrorMessage="1" errorTitle="CUIDADO !!!" error="alfa sólo toma valores en el intervalo [0; 1]" prompt="nivel de significación" sqref="N10">
      <formula1>0</formula1>
      <formula2>1</formula2>
    </dataValidation>
    <dataValidation type="decimal" operator="greaterThanOrEqual" allowBlank="1" showInputMessage="1" showErrorMessage="1" errorTitle="CUIDADO !!!" error="las frecuencias esperadas son siempre números ≥ 0" sqref="C5:C18">
      <formula1>0</formula1>
    </dataValidation>
    <dataValidation type="whole" operator="greaterThanOrEqual" allowBlank="1" showInputMessage="1" showErrorMessage="1" errorTitle="CUIDADO !!!" error="las frecuencias observadas son siempre números enteros ≥ 0" sqref="B5:B18">
      <formula1>0</formula1>
    </dataValidation>
    <dataValidation type="whole" allowBlank="1" showInputMessage="1" showErrorMessage="1" errorTitle="CUIDADO !!!" error="el número de parámetros es un número entero en el intervalo [0; 2]" prompt="nº de parámetros" sqref="I5">
      <formula1>0</formula1>
      <formula2>2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INDICE</vt:lpstr>
      <vt:lpstr>p_mu c_vza conocida</vt:lpstr>
      <vt:lpstr>p_mu c_vza desconocida</vt:lpstr>
      <vt:lpstr>p_una proporción</vt:lpstr>
      <vt:lpstr>dif apareadas</vt:lpstr>
      <vt:lpstr>dif medias c_vzas conocidas</vt:lpstr>
      <vt:lpstr>dif medias c_vzas desconocidas</vt:lpstr>
      <vt:lpstr>dif proporciones</vt:lpstr>
      <vt:lpstr>bondad de ajuste</vt:lpstr>
      <vt:lpstr>tabla de 2 x 2</vt:lpstr>
      <vt:lpstr>rho</vt:lpstr>
      <vt:lpstr>normalidad</vt:lpstr>
    </vt:vector>
  </TitlesOfParts>
  <Company>Wi-BlackOS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cp:lastPrinted>2022-05-25T15:41:38Z</cp:lastPrinted>
  <dcterms:created xsi:type="dcterms:W3CDTF">2020-06-12T11:42:11Z</dcterms:created>
  <dcterms:modified xsi:type="dcterms:W3CDTF">2024-10-24T01:19:55Z</dcterms:modified>
</cp:coreProperties>
</file>