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ml.chartshapes+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60" windowHeight="12160" tabRatio="813"/>
  </bookViews>
  <sheets>
    <sheet name="常见误区" sheetId="2" r:id="rId1"/>
    <sheet name="1.百分位法" sheetId="6" r:id="rId2"/>
    <sheet name="2.股债比数据" sheetId="5" r:id="rId3"/>
    <sheet name="3.市值比GDP" sheetId="8" r:id="rId4"/>
    <sheet name="4.市值比M2" sheetId="9" r:id="rId5"/>
    <sheet name="5.周期6阶段" sheetId="11" r:id="rId6"/>
    <sheet name="6,现成公式表" sheetId="16" r:id="rId7"/>
    <sheet name="IRR&amp;XIRR" sheetId="15" r:id="rId8"/>
    <sheet name="PMT草稿" sheetId="17" r:id="rId9"/>
    <sheet name="公式草稿" sheetId="4" r:id="rId10"/>
  </sheets>
  <calcPr calcId="144525" concurrentCalc="0"/>
</workbook>
</file>

<file path=xl/sharedStrings.xml><?xml version="1.0" encoding="utf-8"?>
<sst xmlns="http://schemas.openxmlformats.org/spreadsheetml/2006/main" count="159">
  <si>
    <t>计算网址</t>
  </si>
  <si>
    <t>https://www.howbuy.com/fundtool/calfundaip.htm</t>
  </si>
  <si>
    <t>所有费率都假设为0</t>
  </si>
  <si>
    <t>沪深300</t>
  </si>
  <si>
    <t>时间</t>
  </si>
  <si>
    <t>方式</t>
  </si>
  <si>
    <t>每次投入金额</t>
  </si>
  <si>
    <t>期数</t>
  </si>
  <si>
    <t>总投入金额</t>
  </si>
  <si>
    <t>实际市值</t>
  </si>
  <si>
    <t>收益率</t>
  </si>
  <si>
    <t>备注</t>
  </si>
  <si>
    <t>所有定投都设为红利再投方式</t>
  </si>
  <si>
    <t>000051
华夏沪深300
ETF联接A</t>
  </si>
  <si>
    <t>近8年</t>
  </si>
  <si>
    <t>2013.1.1
至
2020.12.1
12.4日赎回</t>
  </si>
  <si>
    <t>一次性买入</t>
  </si>
  <si>
    <t>随机测试近几年的数据无法判断证明定投和一次性买入相比有任何优势，无论时间是短期3年还是长期8年
所以不考虑估值和趋势，只说长期定投，什么时间开始都能获得收益是很武断的。</t>
  </si>
  <si>
    <t>每月1号买入</t>
  </si>
  <si>
    <t>近6年</t>
  </si>
  <si>
    <t>2015.1.1
至
2020.12.1
12.4日赎回</t>
  </si>
  <si>
    <t>近3年</t>
  </si>
  <si>
    <t>2018.1.1
至
2020.12.1
12.4日赎回</t>
  </si>
  <si>
    <t>震荡市1
尾部略涨
（1年4个月）</t>
  </si>
  <si>
    <t>2019.3.1
至
2020.7.1
7.1日赎回</t>
  </si>
  <si>
    <t>在尾部略涨和尾部略跌的两种震荡市中，充分的展现了定投平抑波动的特性，上涨和下跌都更平缓了，回撤的减少在长期而言会大幅提高收益</t>
  </si>
  <si>
    <t>震荡市2
尾部略跌
（2年）</t>
  </si>
  <si>
    <t>2012.3.1
至
2014.3.1
3.15赎回</t>
  </si>
  <si>
    <t>下跌熊市
（10个月）</t>
  </si>
  <si>
    <t>2018.2.1
至
2018.12.1
12.25赎回</t>
  </si>
  <si>
    <t>非常适合定投，
可以逐步的摊低成本，和一次性买入相比减少大幅损失</t>
  </si>
  <si>
    <t>上涨牛市
（1年11个月）</t>
  </si>
  <si>
    <t>2016.2.1
至
2018.1.1
1.12赎回</t>
  </si>
  <si>
    <t>不适合定投，
随着点位的走高，越定投成本越高，反而不如一次性买入收益高</t>
  </si>
  <si>
    <t>先下跌后上涨
（微笑曲线）
1年</t>
  </si>
  <si>
    <t>2018.4.1
至
2019.4.1
4.15赎回</t>
  </si>
  <si>
    <t>非常适合定投，
开始下跌时成本逐步降低，后面开始上涨后因为累积足够的资金，收益迅速拉升</t>
  </si>
  <si>
    <t>先上涨后下跌
（哭泣曲线）
2年8个月</t>
  </si>
  <si>
    <t>2016.4.1
至
2018.12.1
12.10赎回</t>
  </si>
  <si>
    <t>不适合定投
随着上涨成本越来越高，资金也越来越多，后面下跌可能就是半仓以上迎接下跌，损失很大</t>
  </si>
  <si>
    <t>总结</t>
  </si>
  <si>
    <t>随机进入市场无法确定是定投还是一把买入好，震荡市、下跌熊市、微笑曲线都很适合定投（以最基本的定期定额为例），
上涨牛市、哭泣曲线都不适合定投，这只是简单判断，具体情况还请看后几集的分析。</t>
  </si>
  <si>
    <t>百分位</t>
  </si>
  <si>
    <t>截止
2020.12.17</t>
  </si>
  <si>
    <t>乐咕乐股</t>
  </si>
  <si>
    <t>集思录</t>
  </si>
  <si>
    <r>
      <rPr>
        <sz val="12"/>
        <color theme="1"/>
        <rFont val="宋体"/>
        <charset val="134"/>
      </rPr>
      <t>乌龟量化</t>
    </r>
    <r>
      <rPr>
        <sz val="10"/>
        <color theme="1"/>
        <rFont val="等线"/>
        <charset val="134"/>
      </rPr>
      <t>（需要会员）</t>
    </r>
  </si>
  <si>
    <r>
      <rPr>
        <sz val="12"/>
        <color theme="1"/>
        <rFont val="宋体"/>
        <charset val="134"/>
      </rPr>
      <t>理杏仁</t>
    </r>
    <r>
      <rPr>
        <sz val="10"/>
        <color theme="1"/>
        <rFont val="等线"/>
        <charset val="134"/>
      </rPr>
      <t>（需要会员）</t>
    </r>
  </si>
  <si>
    <r>
      <rPr>
        <sz val="12"/>
        <color theme="1"/>
        <rFont val="宋体"/>
        <charset val="134"/>
      </rPr>
      <t>果仁网</t>
    </r>
    <r>
      <rPr>
        <sz val="10"/>
        <color theme="1"/>
        <rFont val="等线"/>
        <charset val="134"/>
      </rPr>
      <t>（需要会员）</t>
    </r>
  </si>
  <si>
    <t>蛋卷</t>
  </si>
  <si>
    <t>且慢</t>
  </si>
  <si>
    <t>亿牛网</t>
  </si>
  <si>
    <t>近十年</t>
  </si>
  <si>
    <t>等权PE-LYR</t>
  </si>
  <si>
    <t>等权PB</t>
  </si>
  <si>
    <t>PE温度</t>
  </si>
  <si>
    <t>PB温度</t>
  </si>
  <si>
    <t>等权PE-TTM</t>
  </si>
  <si>
    <t>加权PE</t>
  </si>
  <si>
    <t>加权PB</t>
  </si>
  <si>
    <t>PE-TTM</t>
  </si>
  <si>
    <t>PB-MRQ</t>
  </si>
  <si>
    <t>PE或PB</t>
  </si>
  <si>
    <t>PE</t>
  </si>
  <si>
    <t>全A股</t>
  </si>
  <si>
    <t>-</t>
  </si>
  <si>
    <t>上证50</t>
  </si>
  <si>
    <t>中证500</t>
  </si>
  <si>
    <t>创业板</t>
  </si>
  <si>
    <t>PB</t>
  </si>
  <si>
    <t>简单分析：</t>
  </si>
  <si>
    <t>年份</t>
  </si>
  <si>
    <t>果仁网
全市场加权市盈率</t>
  </si>
  <si>
    <t>投资数据网
沪深全A加权滚动市盈率</t>
  </si>
  <si>
    <t>十年国债收益率</t>
  </si>
  <si>
    <t>股债比</t>
  </si>
  <si>
    <t>上证点位</t>
  </si>
  <si>
    <t>2005.1.4</t>
  </si>
  <si>
    <t>2006.1.11</t>
  </si>
  <si>
    <t>2007.1.24</t>
  </si>
  <si>
    <t>2007.10.30</t>
  </si>
  <si>
    <t>2008.11.13</t>
  </si>
  <si>
    <t>2009.10.9</t>
  </si>
  <si>
    <t>2010.9.1</t>
  </si>
  <si>
    <t>2011.9.20</t>
  </si>
  <si>
    <t>2012.11.5</t>
  </si>
  <si>
    <t>2013.9.6</t>
  </si>
  <si>
    <t>2014.9.12</t>
  </si>
  <si>
    <t>2015.1.22</t>
  </si>
  <si>
    <t>2015.6.4</t>
  </si>
  <si>
    <t>2016.2.18</t>
  </si>
  <si>
    <t>2017.10.27</t>
  </si>
  <si>
    <t>2018.12.14</t>
  </si>
  <si>
    <t>2019.10.31</t>
  </si>
  <si>
    <t>2020.12.14</t>
  </si>
  <si>
    <t>市值（万亿）</t>
  </si>
  <si>
    <r>
      <rPr>
        <sz val="12"/>
        <color theme="1"/>
        <rFont val="宋体"/>
        <charset val="134"/>
      </rPr>
      <t xml:space="preserve">GDP（亿元）
</t>
    </r>
    <r>
      <rPr>
        <sz val="11"/>
        <color theme="1"/>
        <rFont val="宋体"/>
        <charset val="134"/>
      </rPr>
      <t>无背景数字为预估</t>
    </r>
  </si>
  <si>
    <t>比值</t>
  </si>
  <si>
    <t>上证</t>
  </si>
  <si>
    <t>深证</t>
  </si>
  <si>
    <t>合计</t>
  </si>
  <si>
    <t>看图得出大概40-60%为低估（仅限此表）</t>
  </si>
  <si>
    <t>M2
(万亿)</t>
  </si>
  <si>
    <t>2020.10</t>
  </si>
  <si>
    <t>此表20-30%低估，35%以上高估</t>
  </si>
  <si>
    <t>1000000000000</t>
  </si>
  <si>
    <t>蓝色为可输入数值，红色不要改动，为终值</t>
  </si>
  <si>
    <t>求最后有多少钱</t>
  </si>
  <si>
    <t>求年均复利</t>
  </si>
  <si>
    <t>攒多少钱需要多少本金</t>
  </si>
  <si>
    <t>月复利&amp;年复利转换</t>
  </si>
  <si>
    <t>本金</t>
  </si>
  <si>
    <t>年复利</t>
  </si>
  <si>
    <t>月复利</t>
  </si>
  <si>
    <t>多少年</t>
  </si>
  <si>
    <t>求年复利</t>
  </si>
  <si>
    <t>总金额</t>
  </si>
  <si>
    <t>求月复利</t>
  </si>
  <si>
    <t>每月需要存多少钱</t>
  </si>
  <si>
    <t>需要多少收益率</t>
  </si>
  <si>
    <t>需要多少年</t>
  </si>
  <si>
    <t>需要多少本金</t>
  </si>
  <si>
    <t>未来有多少钱</t>
  </si>
  <si>
    <t>期望到期资金</t>
  </si>
  <si>
    <t>年限</t>
  </si>
  <si>
    <t>每年投入</t>
  </si>
  <si>
    <t>每年要投多少钱</t>
  </si>
  <si>
    <t>到期有多少钱</t>
  </si>
  <si>
    <t>每月</t>
  </si>
  <si>
    <t>注：公式皆为期末计算</t>
  </si>
  <si>
    <t>IRR</t>
  </si>
  <si>
    <t>实践一</t>
  </si>
  <si>
    <t>实践二</t>
  </si>
  <si>
    <t>实践三</t>
  </si>
  <si>
    <t>金额</t>
  </si>
  <si>
    <t>现金流</t>
  </si>
  <si>
    <t>终值</t>
  </si>
  <si>
    <t>年化</t>
  </si>
  <si>
    <t>年复利=(1+月复利)^12-1</t>
  </si>
  <si>
    <t>XIRR</t>
  </si>
  <si>
    <t>日期</t>
  </si>
  <si>
    <t>月投</t>
  </si>
  <si>
    <t>资金变动日期</t>
  </si>
  <si>
    <t>每月定投2500，定投24个月后，总金额为8w，求年化。</t>
  </si>
  <si>
    <t>实践四，月利率1.2%，每月投1500，30年后多少钱。</t>
  </si>
  <si>
    <t>5年后想要50w，按年利率15%，每年追加3w，需要多少本金？</t>
  </si>
  <si>
    <r>
      <rPr>
        <sz val="8"/>
        <color theme="1"/>
        <rFont val="宋体"/>
        <charset val="134"/>
      </rPr>
      <t>实践一，本金</t>
    </r>
    <r>
      <rPr>
        <sz val="8"/>
        <color theme="1"/>
        <rFont val="Calibri"/>
        <charset val="134"/>
      </rPr>
      <t>10</t>
    </r>
    <r>
      <rPr>
        <sz val="8"/>
        <color theme="1"/>
        <rFont val="宋体"/>
        <charset val="134"/>
      </rPr>
      <t>w，年利率</t>
    </r>
    <r>
      <rPr>
        <sz val="8"/>
        <color theme="1"/>
        <rFont val="Calibri"/>
        <charset val="134"/>
      </rPr>
      <t>11%</t>
    </r>
    <r>
      <rPr>
        <sz val="8"/>
        <color theme="1"/>
        <rFont val="宋体"/>
        <charset val="134"/>
      </rPr>
      <t>，每年追加</t>
    </r>
    <r>
      <rPr>
        <sz val="8"/>
        <color theme="1"/>
        <rFont val="Calibri"/>
        <charset val="134"/>
      </rPr>
      <t>2</t>
    </r>
    <r>
      <rPr>
        <sz val="8"/>
        <color theme="1"/>
        <rFont val="宋体"/>
        <charset val="134"/>
      </rPr>
      <t>w，</t>
    </r>
    <r>
      <rPr>
        <sz val="8"/>
        <color theme="1"/>
        <rFont val="Calibri"/>
        <charset val="134"/>
      </rPr>
      <t>20</t>
    </r>
    <r>
      <rPr>
        <sz val="8"/>
        <color theme="1"/>
        <rFont val="宋体"/>
        <charset val="134"/>
      </rPr>
      <t>年后有多少钱。</t>
    </r>
  </si>
  <si>
    <r>
      <rPr>
        <sz val="8"/>
        <color theme="1"/>
        <rFont val="宋体"/>
        <charset val="134"/>
      </rPr>
      <t>实践二</t>
    </r>
    <r>
      <rPr>
        <sz val="8"/>
        <color theme="1"/>
        <rFont val="宋体"/>
        <charset val="134"/>
      </rPr>
      <t>，</t>
    </r>
    <r>
      <rPr>
        <sz val="8"/>
        <color theme="1"/>
        <rFont val="宋体"/>
        <charset val="134"/>
      </rPr>
      <t>每月定投</t>
    </r>
    <r>
      <rPr>
        <sz val="8"/>
        <color theme="1"/>
        <rFont val="Calibri"/>
        <charset val="134"/>
      </rPr>
      <t>2000</t>
    </r>
    <r>
      <rPr>
        <sz val="8"/>
        <color theme="1"/>
        <rFont val="宋体"/>
        <charset val="134"/>
      </rPr>
      <t>，</t>
    </r>
    <r>
      <rPr>
        <sz val="8"/>
        <color theme="1"/>
        <rFont val="宋体"/>
        <charset val="134"/>
      </rPr>
      <t>年利率</t>
    </r>
    <r>
      <rPr>
        <sz val="8"/>
        <color theme="1"/>
        <rFont val="Calibri"/>
        <charset val="134"/>
      </rPr>
      <t>9%</t>
    </r>
    <r>
      <rPr>
        <sz val="8"/>
        <color theme="1"/>
        <rFont val="宋体"/>
        <charset val="134"/>
      </rPr>
      <t>，</t>
    </r>
    <r>
      <rPr>
        <sz val="8"/>
        <color theme="1"/>
        <rFont val="Calibri"/>
        <charset val="134"/>
      </rPr>
      <t>20</t>
    </r>
    <r>
      <rPr>
        <sz val="8"/>
        <color theme="1"/>
        <rFont val="宋体"/>
        <charset val="134"/>
      </rPr>
      <t>年后有多少钱</t>
    </r>
    <r>
      <rPr>
        <sz val="8"/>
        <color theme="1"/>
        <rFont val="宋体"/>
        <charset val="134"/>
      </rPr>
      <t>。</t>
    </r>
  </si>
  <si>
    <r>
      <rPr>
        <sz val="8"/>
        <color theme="1"/>
        <rFont val="宋体"/>
        <charset val="134"/>
      </rPr>
      <t>实践三</t>
    </r>
    <r>
      <rPr>
        <sz val="8"/>
        <color theme="1"/>
        <rFont val="宋体"/>
        <charset val="134"/>
      </rPr>
      <t>，</t>
    </r>
    <r>
      <rPr>
        <sz val="8"/>
        <color theme="1"/>
        <rFont val="宋体"/>
        <charset val="134"/>
      </rPr>
      <t>年利率</t>
    </r>
    <r>
      <rPr>
        <sz val="8"/>
        <color theme="1"/>
        <rFont val="Calibri"/>
        <charset val="134"/>
      </rPr>
      <t>5%</t>
    </r>
    <r>
      <rPr>
        <sz val="8"/>
        <color theme="1"/>
        <rFont val="宋体"/>
        <charset val="134"/>
      </rPr>
      <t>，</t>
    </r>
    <r>
      <rPr>
        <sz val="8"/>
        <color theme="1"/>
        <rFont val="宋体"/>
        <charset val="134"/>
      </rPr>
      <t>想要</t>
    </r>
    <r>
      <rPr>
        <sz val="8"/>
        <color theme="1"/>
        <rFont val="Calibri"/>
        <charset val="134"/>
      </rPr>
      <t>20</t>
    </r>
    <r>
      <rPr>
        <sz val="8"/>
        <color theme="1"/>
        <rFont val="宋体"/>
        <charset val="134"/>
      </rPr>
      <t>年后有</t>
    </r>
    <r>
      <rPr>
        <sz val="8"/>
        <color theme="1"/>
        <rFont val="Calibri"/>
        <charset val="134"/>
      </rPr>
      <t>500</t>
    </r>
    <r>
      <rPr>
        <sz val="8"/>
        <color theme="1"/>
        <rFont val="宋体"/>
        <charset val="134"/>
      </rPr>
      <t>w</t>
    </r>
    <r>
      <rPr>
        <sz val="8"/>
        <color theme="1"/>
        <rFont val="宋体"/>
        <charset val="134"/>
      </rPr>
      <t>，</t>
    </r>
    <r>
      <rPr>
        <sz val="8"/>
        <color theme="1"/>
        <rFont val="宋体"/>
        <charset val="134"/>
      </rPr>
      <t>每月需要定投多少钱</t>
    </r>
    <r>
      <rPr>
        <sz val="8"/>
        <color theme="1"/>
        <rFont val="宋体"/>
        <charset val="134"/>
      </rPr>
      <t>。</t>
    </r>
  </si>
  <si>
    <t>翻十倍</t>
  </si>
  <si>
    <t>总收益=本金*「(1+年化)^Y-1」</t>
  </si>
  <si>
    <t>赚十倍</t>
  </si>
  <si>
    <t>本金100w，年化10%，30年后有多少钱？</t>
  </si>
  <si>
    <t>盈利</t>
  </si>
  <si>
    <t>年化12%，20年后我想攒500w，我需要多少本金？</t>
  </si>
  <si>
    <t>买入</t>
  </si>
  <si>
    <t>卖出</t>
  </si>
  <si>
    <t>我有50w，想要10年后变成200w，需要年化多少能达到？</t>
  </si>
  <si>
    <t>年化=(1+总收益率)√Y-1</t>
  </si>
</sst>
</file>

<file path=xl/styles.xml><?xml version="1.0" encoding="utf-8"?>
<styleSheet xmlns="http://schemas.openxmlformats.org/spreadsheetml/2006/main">
  <numFmts count="14">
    <numFmt numFmtId="176" formatCode="0_ "/>
    <numFmt numFmtId="177" formatCode="#,##0.00_ "/>
    <numFmt numFmtId="178" formatCode="#,##0_ "/>
    <numFmt numFmtId="179" formatCode="yy&quot;年&quot;m&quot;月&quot;d&quot;日&quot;"/>
    <numFmt numFmtId="180" formatCode="0.0000%"/>
    <numFmt numFmtId="8" formatCode="&quot;￥&quot;#,##0.00;[Red]&quot;￥&quot;\-#,##0.00"/>
    <numFmt numFmtId="7" formatCode="&quot;￥&quot;#,##0.00;&quot;￥&quot;\-#,##0.00"/>
    <numFmt numFmtId="181" formatCode="0.0_ "/>
    <numFmt numFmtId="42" formatCode="_ &quot;￥&quot;* #,##0_ ;_ &quot;￥&quot;* \-#,##0_ ;_ &quot;￥&quot;* &quot;-&quot;_ ;_ @_ "/>
    <numFmt numFmtId="44" formatCode="_ &quot;￥&quot;* #,##0.00_ ;_ &quot;￥&quot;* \-#,##0.00_ ;_ &quot;￥&quot;* &quot;-&quot;??_ ;_ @_ "/>
    <numFmt numFmtId="182" formatCode="yyyy/m/d;@"/>
    <numFmt numFmtId="41" formatCode="_ * #,##0_ ;_ * \-#,##0_ ;_ * &quot;-&quot;_ ;_ @_ "/>
    <numFmt numFmtId="183" formatCode="0.00_ "/>
    <numFmt numFmtId="43" formatCode="_ * #,##0.00_ ;_ * \-#,##0.00_ ;_ * &quot;-&quot;??_ ;_ @_ "/>
  </numFmts>
  <fonts count="32">
    <font>
      <sz val="12"/>
      <color theme="1"/>
      <name val="等线"/>
      <charset val="134"/>
      <scheme val="minor"/>
    </font>
    <font>
      <sz val="8"/>
      <color theme="1"/>
      <name val="宋体"/>
      <charset val="134"/>
    </font>
    <font>
      <sz val="24"/>
      <color theme="1"/>
      <name val="等线"/>
      <charset val="134"/>
      <scheme val="minor"/>
    </font>
    <font>
      <sz val="11"/>
      <color theme="1"/>
      <name val="等线"/>
      <charset val="134"/>
      <scheme val="minor"/>
    </font>
    <font>
      <sz val="10"/>
      <color theme="1"/>
      <name val="等线"/>
      <charset val="134"/>
      <scheme val="minor"/>
    </font>
    <font>
      <sz val="12"/>
      <color rgb="FFFF0000"/>
      <name val="等线"/>
      <charset val="134"/>
      <scheme val="minor"/>
    </font>
    <font>
      <b/>
      <sz val="12"/>
      <color theme="1"/>
      <name val="等线"/>
      <charset val="134"/>
      <scheme val="minor"/>
    </font>
    <font>
      <sz val="9"/>
      <color rgb="FF000000"/>
      <name val="等线"/>
      <charset val="134"/>
      <scheme val="minor"/>
    </font>
    <font>
      <sz val="11"/>
      <color rgb="FFFF0000"/>
      <name val="等线"/>
      <charset val="134"/>
      <scheme val="minor"/>
    </font>
    <font>
      <u/>
      <sz val="11"/>
      <color rgb="FF800080"/>
      <name val="等线"/>
      <charset val="0"/>
      <scheme val="minor"/>
    </font>
    <font>
      <sz val="11"/>
      <color theme="1"/>
      <name val="等线"/>
      <charset val="0"/>
      <scheme val="minor"/>
    </font>
    <font>
      <sz val="11"/>
      <color theme="0"/>
      <name val="等线"/>
      <charset val="0"/>
      <scheme val="minor"/>
    </font>
    <font>
      <b/>
      <sz val="13"/>
      <color theme="3"/>
      <name val="等线"/>
      <charset val="134"/>
      <scheme val="minor"/>
    </font>
    <font>
      <b/>
      <sz val="18"/>
      <color theme="3"/>
      <name val="等线"/>
      <charset val="134"/>
      <scheme val="minor"/>
    </font>
    <font>
      <sz val="11"/>
      <color rgb="FFFA7D00"/>
      <name val="等线"/>
      <charset val="0"/>
      <scheme val="minor"/>
    </font>
    <font>
      <u/>
      <sz val="11"/>
      <color rgb="FF0000FF"/>
      <name val="等线"/>
      <charset val="0"/>
      <scheme val="minor"/>
    </font>
    <font>
      <b/>
      <sz val="11"/>
      <color theme="3"/>
      <name val="等线"/>
      <charset val="134"/>
      <scheme val="minor"/>
    </font>
    <font>
      <i/>
      <sz val="11"/>
      <color rgb="FF7F7F7F"/>
      <name val="等线"/>
      <charset val="0"/>
      <scheme val="minor"/>
    </font>
    <font>
      <b/>
      <sz val="15"/>
      <color theme="3"/>
      <name val="等线"/>
      <charset val="134"/>
      <scheme val="minor"/>
    </font>
    <font>
      <b/>
      <sz val="11"/>
      <color rgb="FF3F3F3F"/>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b/>
      <sz val="11"/>
      <color rgb="FFFFFFFF"/>
      <name val="等线"/>
      <charset val="0"/>
      <scheme val="minor"/>
    </font>
    <font>
      <sz val="11"/>
      <color rgb="FF9C6500"/>
      <name val="等线"/>
      <charset val="0"/>
      <scheme val="minor"/>
    </font>
    <font>
      <sz val="11"/>
      <color rgb="FF3F3F76"/>
      <name val="等线"/>
      <charset val="0"/>
      <scheme val="minor"/>
    </font>
    <font>
      <b/>
      <sz val="11"/>
      <color rgb="FFFA7D00"/>
      <name val="等线"/>
      <charset val="0"/>
      <scheme val="minor"/>
    </font>
    <font>
      <sz val="11"/>
      <color rgb="FFFF0000"/>
      <name val="等线"/>
      <charset val="0"/>
      <scheme val="minor"/>
    </font>
    <font>
      <sz val="8"/>
      <color theme="1"/>
      <name val="Calibri"/>
      <charset val="134"/>
    </font>
    <font>
      <sz val="12"/>
      <color theme="1"/>
      <name val="宋体"/>
      <charset val="134"/>
    </font>
    <font>
      <sz val="11"/>
      <color theme="1"/>
      <name val="宋体"/>
      <charset val="134"/>
    </font>
    <font>
      <sz val="10"/>
      <color theme="1"/>
      <name val="等线"/>
      <charset val="134"/>
    </font>
  </fonts>
  <fills count="41">
    <fill>
      <patternFill patternType="none"/>
    </fill>
    <fill>
      <patternFill patternType="gray125"/>
    </fill>
    <fill>
      <patternFill patternType="solid">
        <fgColor theme="2" tint="-0.25"/>
        <bgColor indexed="64"/>
      </patternFill>
    </fill>
    <fill>
      <patternFill patternType="solid">
        <fgColor theme="7" tint="0.8"/>
        <bgColor indexed="64"/>
      </patternFill>
    </fill>
    <fill>
      <patternFill patternType="solid">
        <fgColor theme="8" tint="0.8"/>
        <bgColor indexed="64"/>
      </patternFill>
    </fill>
    <fill>
      <patternFill patternType="solid">
        <fgColor theme="5" tint="0.8"/>
        <bgColor indexed="64"/>
      </patternFill>
    </fill>
    <fill>
      <patternFill patternType="solid">
        <fgColor theme="6" tint="0.8"/>
        <bgColor indexed="64"/>
      </patternFill>
    </fill>
    <fill>
      <patternFill patternType="solid">
        <fgColor theme="4" tint="0.8"/>
        <bgColor indexed="64"/>
      </patternFill>
    </fill>
    <fill>
      <patternFill patternType="solid">
        <fgColor theme="5" tint="0.6"/>
        <bgColor indexed="64"/>
      </patternFill>
    </fill>
    <fill>
      <patternFill patternType="solid">
        <fgColor theme="7" tint="0.6"/>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FFCC"/>
        <bgColor indexed="64"/>
      </patternFill>
    </fill>
    <fill>
      <patternFill patternType="solid">
        <fgColor theme="5" tint="0.799981688894314"/>
        <bgColor indexed="64"/>
      </patternFill>
    </fill>
    <fill>
      <patternFill patternType="solid">
        <fgColor rgb="FFF2F2F2"/>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C6EFCE"/>
        <bgColor indexed="64"/>
      </patternFill>
    </fill>
    <fill>
      <patternFill patternType="solid">
        <fgColor rgb="FFFFC7CE"/>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6"/>
        <bgColor indexed="64"/>
      </patternFill>
    </fill>
    <fill>
      <patternFill patternType="solid">
        <fgColor theme="8" tint="0.799981688894314"/>
        <bgColor indexed="64"/>
      </patternFill>
    </fill>
    <fill>
      <patternFill patternType="solid">
        <fgColor rgb="FFA5A5A5"/>
        <bgColor indexed="64"/>
      </patternFill>
    </fill>
    <fill>
      <patternFill patternType="solid">
        <fgColor rgb="FFFFEB9C"/>
        <bgColor indexed="64"/>
      </patternFill>
    </fill>
    <fill>
      <patternFill patternType="solid">
        <fgColor theme="8"/>
        <bgColor indexed="64"/>
      </patternFill>
    </fill>
    <fill>
      <patternFill patternType="solid">
        <fgColor theme="4"/>
        <bgColor indexed="64"/>
      </patternFill>
    </fill>
    <fill>
      <patternFill patternType="solid">
        <fgColor rgb="FFFFCC99"/>
        <bgColor indexed="64"/>
      </patternFill>
    </fill>
    <fill>
      <patternFill patternType="solid">
        <fgColor theme="5" tint="0.599993896298105"/>
        <bgColor indexed="64"/>
      </patternFill>
    </fill>
    <fill>
      <patternFill patternType="solid">
        <fgColor theme="7"/>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5"/>
        <bgColor indexed="64"/>
      </patternFill>
    </fill>
    <fill>
      <patternFill patternType="solid">
        <fgColor theme="6" tint="0.799981688894314"/>
        <bgColor indexed="64"/>
      </patternFill>
    </fill>
  </fills>
  <borders count="11">
    <border>
      <left/>
      <right/>
      <top/>
      <bottom/>
      <diagonal/>
    </border>
    <border>
      <left/>
      <right/>
      <top/>
      <bottom style="medium">
        <color rgb="FFE3E3E3"/>
      </bottom>
      <diagonal/>
    </border>
    <border>
      <left/>
      <right/>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11" fillId="26" borderId="0" applyNumberFormat="0" applyBorder="0" applyAlignment="0" applyProtection="0">
      <alignment vertical="center"/>
    </xf>
    <xf numFmtId="0" fontId="10" fillId="38" borderId="0" applyNumberFormat="0" applyBorder="0" applyAlignment="0" applyProtection="0">
      <alignment vertical="center"/>
    </xf>
    <xf numFmtId="0" fontId="11" fillId="35" borderId="0" applyNumberFormat="0" applyBorder="0" applyAlignment="0" applyProtection="0">
      <alignment vertical="center"/>
    </xf>
    <xf numFmtId="0" fontId="25" fillId="33" borderId="10" applyNumberFormat="0" applyAlignment="0" applyProtection="0">
      <alignment vertical="center"/>
    </xf>
    <xf numFmtId="0" fontId="10" fillId="15" borderId="0" applyNumberFormat="0" applyBorder="0" applyAlignment="0" applyProtection="0">
      <alignment vertical="center"/>
    </xf>
    <xf numFmtId="0" fontId="10" fillId="40" borderId="0" applyNumberFormat="0" applyBorder="0" applyAlignment="0" applyProtection="0">
      <alignment vertical="center"/>
    </xf>
    <xf numFmtId="44" fontId="0" fillId="0" borderId="0" applyFont="0" applyFill="0" applyBorder="0" applyAlignment="0" applyProtection="0">
      <alignment vertical="center"/>
    </xf>
    <xf numFmtId="0" fontId="11" fillId="27" borderId="0" applyNumberFormat="0" applyBorder="0" applyAlignment="0" applyProtection="0">
      <alignment vertical="center"/>
    </xf>
    <xf numFmtId="9" fontId="0" fillId="0" borderId="0" applyFont="0" applyFill="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3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26" fillId="18" borderId="10" applyNumberFormat="0" applyAlignment="0" applyProtection="0">
      <alignment vertical="center"/>
    </xf>
    <xf numFmtId="0" fontId="11" fillId="32" borderId="0" applyNumberFormat="0" applyBorder="0" applyAlignment="0" applyProtection="0">
      <alignment vertical="center"/>
    </xf>
    <xf numFmtId="0" fontId="24" fillId="30" borderId="0" applyNumberFormat="0" applyBorder="0" applyAlignment="0" applyProtection="0">
      <alignment vertical="center"/>
    </xf>
    <xf numFmtId="0" fontId="10" fillId="28" borderId="0" applyNumberFormat="0" applyBorder="0" applyAlignment="0" applyProtection="0">
      <alignment vertical="center"/>
    </xf>
    <xf numFmtId="0" fontId="21" fillId="23" borderId="0" applyNumberFormat="0" applyBorder="0" applyAlignment="0" applyProtection="0">
      <alignment vertical="center"/>
    </xf>
    <xf numFmtId="0" fontId="10" fillId="20" borderId="0" applyNumberFormat="0" applyBorder="0" applyAlignment="0" applyProtection="0">
      <alignment vertical="center"/>
    </xf>
    <xf numFmtId="0" fontId="20" fillId="0" borderId="8" applyNumberFormat="0" applyFill="0" applyAlignment="0" applyProtection="0">
      <alignment vertical="center"/>
    </xf>
    <xf numFmtId="0" fontId="22" fillId="24" borderId="0" applyNumberFormat="0" applyBorder="0" applyAlignment="0" applyProtection="0">
      <alignment vertical="center"/>
    </xf>
    <xf numFmtId="0" fontId="23" fillId="29" borderId="9" applyNumberFormat="0" applyAlignment="0" applyProtection="0">
      <alignment vertical="center"/>
    </xf>
    <xf numFmtId="0" fontId="19" fillId="18" borderId="6" applyNumberFormat="0" applyAlignment="0" applyProtection="0">
      <alignment vertical="center"/>
    </xf>
    <xf numFmtId="0" fontId="18" fillId="0" borderId="3" applyNumberFormat="0" applyFill="0" applyAlignment="0" applyProtection="0">
      <alignment vertical="center"/>
    </xf>
    <xf numFmtId="0" fontId="17" fillId="0" borderId="0" applyNumberFormat="0" applyFill="0" applyBorder="0" applyAlignment="0" applyProtection="0">
      <alignment vertical="center"/>
    </xf>
    <xf numFmtId="0" fontId="10" fillId="17"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10" fillId="37" borderId="0" applyNumberFormat="0" applyBorder="0" applyAlignment="0" applyProtection="0">
      <alignment vertical="center"/>
    </xf>
    <xf numFmtId="43"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34" borderId="0" applyNumberFormat="0" applyBorder="0" applyAlignment="0" applyProtection="0">
      <alignment vertical="center"/>
    </xf>
    <xf numFmtId="0" fontId="27" fillId="0" borderId="0" applyNumberFormat="0" applyFill="0" applyBorder="0" applyAlignment="0" applyProtection="0">
      <alignment vertical="center"/>
    </xf>
    <xf numFmtId="0" fontId="11" fillId="13" borderId="0" applyNumberFormat="0" applyBorder="0" applyAlignment="0" applyProtection="0">
      <alignment vertical="center"/>
    </xf>
    <xf numFmtId="0" fontId="0" fillId="16" borderId="4" applyNumberFormat="0" applyFont="0" applyAlignment="0" applyProtection="0">
      <alignment vertical="center"/>
    </xf>
    <xf numFmtId="0" fontId="10" fillId="19" borderId="0" applyNumberFormat="0" applyBorder="0" applyAlignment="0" applyProtection="0">
      <alignment vertical="center"/>
    </xf>
    <xf numFmtId="0" fontId="11" fillId="31" borderId="0" applyNumberFormat="0" applyBorder="0" applyAlignment="0" applyProtection="0">
      <alignment vertical="center"/>
    </xf>
    <xf numFmtId="0" fontId="10" fillId="14" borderId="0" applyNumberFormat="0" applyBorder="0" applyAlignment="0" applyProtection="0">
      <alignment vertical="center"/>
    </xf>
    <xf numFmtId="0" fontId="15" fillId="0" borderId="0" applyNumberFormat="0" applyFill="0" applyBorder="0" applyAlignment="0" applyProtection="0">
      <alignment vertical="center"/>
    </xf>
    <xf numFmtId="41" fontId="0" fillId="0" borderId="0" applyFont="0" applyFill="0" applyBorder="0" applyAlignment="0" applyProtection="0">
      <alignment vertical="center"/>
    </xf>
    <xf numFmtId="0" fontId="12" fillId="0" borderId="3" applyNumberFormat="0" applyFill="0" applyAlignment="0" applyProtection="0">
      <alignment vertical="center"/>
    </xf>
    <xf numFmtId="0" fontId="10" fillId="12" borderId="0" applyNumberFormat="0" applyBorder="0" applyAlignment="0" applyProtection="0">
      <alignment vertical="center"/>
    </xf>
    <xf numFmtId="0" fontId="16" fillId="0" borderId="7" applyNumberFormat="0" applyFill="0" applyAlignment="0" applyProtection="0">
      <alignment vertical="center"/>
    </xf>
    <xf numFmtId="0" fontId="11" fillId="11" borderId="0" applyNumberFormat="0" applyBorder="0" applyAlignment="0" applyProtection="0">
      <alignment vertical="center"/>
    </xf>
    <xf numFmtId="0" fontId="10" fillId="10" borderId="0" applyNumberFormat="0" applyBorder="0" applyAlignment="0" applyProtection="0">
      <alignment vertical="center"/>
    </xf>
    <xf numFmtId="0" fontId="14" fillId="0" borderId="5" applyNumberFormat="0" applyFill="0" applyAlignment="0" applyProtection="0">
      <alignment vertical="center"/>
    </xf>
  </cellStyleXfs>
  <cellXfs count="109">
    <xf numFmtId="0" fontId="0" fillId="0" borderId="0" xfId="0">
      <alignment vertical="center"/>
    </xf>
    <xf numFmtId="10" fontId="0" fillId="0" borderId="0" xfId="0" applyNumberFormat="1">
      <alignment vertical="center"/>
    </xf>
    <xf numFmtId="9" fontId="0" fillId="0" borderId="0" xfId="0" applyNumberFormat="1">
      <alignment vertical="center"/>
    </xf>
    <xf numFmtId="8" fontId="0" fillId="0" borderId="0" xfId="0" applyNumberFormat="1">
      <alignment vertical="center"/>
    </xf>
    <xf numFmtId="180" fontId="0" fillId="0" borderId="0" xfId="0" applyNumberFormat="1">
      <alignment vertical="center"/>
    </xf>
    <xf numFmtId="0" fontId="1" fillId="0" borderId="0" xfId="0" applyFont="1" applyAlignment="1">
      <alignment horizontal="justify" vertical="center"/>
    </xf>
    <xf numFmtId="0" fontId="0" fillId="0" borderId="0" xfId="0" applyAlignment="1">
      <alignment horizontal="center" vertical="center"/>
    </xf>
    <xf numFmtId="178" fontId="0" fillId="0" borderId="0" xfId="0" applyNumberFormat="1">
      <alignment vertical="center"/>
    </xf>
    <xf numFmtId="178" fontId="0" fillId="0" borderId="0" xfId="0" applyNumberFormat="1" applyAlignment="1">
      <alignment horizontal="right" vertical="center"/>
    </xf>
    <xf numFmtId="0" fontId="2" fillId="2" borderId="0" xfId="0" applyFont="1" applyFill="1" applyAlignment="1">
      <alignment horizontal="center" vertical="center"/>
    </xf>
    <xf numFmtId="0" fontId="0" fillId="0" borderId="0" xfId="0" applyAlignment="1">
      <alignment horizontal="right" vertical="center"/>
    </xf>
    <xf numFmtId="3" fontId="0" fillId="0" borderId="0" xfId="0" applyNumberFormat="1">
      <alignment vertical="center"/>
    </xf>
    <xf numFmtId="179" fontId="0" fillId="0" borderId="0" xfId="0" applyNumberFormat="1">
      <alignment vertical="center"/>
    </xf>
    <xf numFmtId="0" fontId="0" fillId="0" borderId="0" xfId="0" applyNumberFormat="1">
      <alignment vertical="center"/>
    </xf>
    <xf numFmtId="0" fontId="3" fillId="0" borderId="0" xfId="0" applyFont="1" applyBorder="1" applyAlignment="1">
      <alignment horizontal="center" vertical="center"/>
    </xf>
    <xf numFmtId="0" fontId="3" fillId="0" borderId="0" xfId="0" applyFont="1" applyAlignment="1">
      <alignment horizontal="center" vertical="center"/>
    </xf>
    <xf numFmtId="0" fontId="3" fillId="0" borderId="0" xfId="0" applyFont="1" applyBorder="1">
      <alignment vertical="center"/>
    </xf>
    <xf numFmtId="3" fontId="3" fillId="0" borderId="0" xfId="0" applyNumberFormat="1" applyFont="1">
      <alignment vertical="center"/>
    </xf>
    <xf numFmtId="0" fontId="3" fillId="0" borderId="0" xfId="0" applyFont="1" applyAlignment="1">
      <alignment horizontal="right" vertical="center"/>
    </xf>
    <xf numFmtId="0" fontId="2" fillId="0" borderId="0" xfId="0" applyFont="1" applyFill="1" applyAlignment="1">
      <alignment vertical="center"/>
    </xf>
    <xf numFmtId="0" fontId="4" fillId="0" borderId="0" xfId="0" applyFont="1" applyAlignment="1">
      <alignment vertical="center"/>
    </xf>
    <xf numFmtId="182" fontId="4" fillId="0" borderId="0" xfId="0" applyNumberFormat="1" applyFont="1" applyAlignment="1">
      <alignment horizontal="right" vertical="center"/>
    </xf>
    <xf numFmtId="14" fontId="0" fillId="0" borderId="0" xfId="0" applyNumberFormat="1">
      <alignment vertical="center"/>
    </xf>
    <xf numFmtId="0" fontId="5" fillId="0" borderId="0" xfId="0" applyFont="1">
      <alignment vertical="center"/>
    </xf>
    <xf numFmtId="0" fontId="0" fillId="3" borderId="0" xfId="0" applyFill="1" applyAlignment="1">
      <alignment horizontal="center" vertical="center"/>
    </xf>
    <xf numFmtId="0" fontId="0" fillId="0" borderId="0" xfId="0" applyFill="1">
      <alignment vertical="center"/>
    </xf>
    <xf numFmtId="0" fontId="0" fillId="4" borderId="0" xfId="0" applyFill="1" applyAlignment="1">
      <alignment horizontal="right" vertical="center"/>
    </xf>
    <xf numFmtId="9" fontId="0" fillId="4" borderId="0" xfId="0" applyNumberFormat="1" applyFill="1" applyAlignment="1">
      <alignment horizontal="right" vertical="center"/>
    </xf>
    <xf numFmtId="8" fontId="3" fillId="5" borderId="0" xfId="0" applyNumberFormat="1" applyFont="1" applyFill="1">
      <alignment vertical="center"/>
    </xf>
    <xf numFmtId="176" fontId="0" fillId="5" borderId="0" xfId="0" applyNumberFormat="1" applyFill="1" applyAlignment="1">
      <alignment horizontal="right" vertical="center"/>
    </xf>
    <xf numFmtId="0" fontId="0" fillId="0" borderId="0" xfId="0" applyFill="1" applyAlignment="1">
      <alignment vertical="center"/>
    </xf>
    <xf numFmtId="0" fontId="0" fillId="0" borderId="0" xfId="0" applyAlignment="1">
      <alignment vertical="center"/>
    </xf>
    <xf numFmtId="0" fontId="3" fillId="4" borderId="0" xfId="0" applyFont="1" applyFill="1">
      <alignment vertical="center"/>
    </xf>
    <xf numFmtId="0" fontId="3" fillId="0" borderId="0" xfId="0" applyFont="1" applyFill="1">
      <alignment vertical="center"/>
    </xf>
    <xf numFmtId="9" fontId="3" fillId="4" borderId="0" xfId="0" applyNumberFormat="1" applyFont="1" applyFill="1">
      <alignment vertical="center"/>
    </xf>
    <xf numFmtId="9" fontId="3" fillId="0" borderId="0" xfId="0" applyNumberFormat="1" applyFont="1" applyFill="1">
      <alignment vertical="center"/>
    </xf>
    <xf numFmtId="0" fontId="0" fillId="0" borderId="0" xfId="0" applyAlignment="1">
      <alignment horizontal="left" vertical="center"/>
    </xf>
    <xf numFmtId="8" fontId="3" fillId="0" borderId="0" xfId="0" applyNumberFormat="1" applyFont="1" applyFill="1">
      <alignment vertical="center"/>
    </xf>
    <xf numFmtId="0" fontId="0" fillId="0" borderId="0" xfId="0" applyFont="1" applyAlignment="1">
      <alignment horizontal="left" vertical="center"/>
    </xf>
    <xf numFmtId="0" fontId="0" fillId="4" borderId="0" xfId="0" applyFill="1">
      <alignment vertical="center"/>
    </xf>
    <xf numFmtId="9" fontId="0" fillId="4" borderId="0" xfId="0" applyNumberFormat="1" applyFill="1">
      <alignment vertical="center"/>
    </xf>
    <xf numFmtId="10" fontId="0" fillId="5" borderId="0" xfId="0" applyNumberFormat="1" applyFill="1">
      <alignment vertical="center"/>
    </xf>
    <xf numFmtId="176" fontId="0" fillId="5" borderId="0" xfId="0" applyNumberFormat="1" applyFill="1">
      <alignment vertical="center"/>
    </xf>
    <xf numFmtId="0" fontId="3" fillId="4" borderId="0" xfId="0" applyNumberFormat="1" applyFont="1" applyFill="1">
      <alignment vertical="center"/>
    </xf>
    <xf numFmtId="10" fontId="3" fillId="5" borderId="0" xfId="0" applyNumberFormat="1" applyFont="1" applyFill="1">
      <alignment vertical="center"/>
    </xf>
    <xf numFmtId="181" fontId="3" fillId="5" borderId="0" xfId="0" applyNumberFormat="1" applyFont="1" applyFill="1">
      <alignment vertical="center"/>
    </xf>
    <xf numFmtId="7" fontId="3" fillId="5" borderId="0" xfId="0" applyNumberFormat="1" applyFont="1" applyFill="1">
      <alignment vertical="center"/>
    </xf>
    <xf numFmtId="0" fontId="6" fillId="0" borderId="0" xfId="0" applyFont="1">
      <alignment vertical="center"/>
    </xf>
    <xf numFmtId="0" fontId="0" fillId="0" borderId="0" xfId="0" applyFont="1" applyAlignment="1">
      <alignment horizontal="center" vertical="center"/>
    </xf>
    <xf numFmtId="49" fontId="0" fillId="0" borderId="0" xfId="0" applyNumberFormat="1" applyAlignment="1">
      <alignment horizontal="right" vertical="center"/>
    </xf>
    <xf numFmtId="0" fontId="0" fillId="0" borderId="0" xfId="0" applyFont="1" applyAlignment="1">
      <alignment horizontal="center" vertical="center" wrapText="1"/>
    </xf>
    <xf numFmtId="0" fontId="0" fillId="0" borderId="0" xfId="0" applyAlignment="1">
      <alignment vertical="center" wrapText="1"/>
    </xf>
    <xf numFmtId="177" fontId="0" fillId="0" borderId="0" xfId="0" applyNumberFormat="1" applyFill="1" applyAlignment="1">
      <alignment vertical="center"/>
    </xf>
    <xf numFmtId="10" fontId="0" fillId="0" borderId="0" xfId="0" applyNumberFormat="1" applyFill="1">
      <alignment vertical="center"/>
    </xf>
    <xf numFmtId="0" fontId="0" fillId="0" borderId="0" xfId="0" applyFill="1" applyAlignment="1">
      <alignment vertical="center" wrapText="1"/>
    </xf>
    <xf numFmtId="0" fontId="0" fillId="0" borderId="0" xfId="0" applyFill="1" applyAlignment="1">
      <alignment horizontal="left" vertical="center" wrapText="1"/>
    </xf>
    <xf numFmtId="176" fontId="0" fillId="0" borderId="0" xfId="0" applyNumberFormat="1">
      <alignment vertical="center"/>
    </xf>
    <xf numFmtId="0" fontId="7" fillId="0" borderId="1" xfId="0" applyFont="1" applyFill="1" applyBorder="1" applyAlignment="1">
      <alignment horizontal="right" vertical="center"/>
    </xf>
    <xf numFmtId="0" fontId="7" fillId="0" borderId="0" xfId="0" applyFont="1" applyFill="1" applyAlignment="1">
      <alignment horizontal="right" vertical="center"/>
    </xf>
    <xf numFmtId="0" fontId="0" fillId="5" borderId="0" xfId="0" applyFill="1">
      <alignment vertical="center"/>
    </xf>
    <xf numFmtId="176" fontId="0" fillId="0" borderId="0" xfId="0" applyNumberFormat="1" applyFill="1">
      <alignment vertical="center"/>
    </xf>
    <xf numFmtId="0" fontId="0" fillId="0" borderId="0" xfId="0" applyAlignment="1">
      <alignment horizontal="left" vertical="center" wrapText="1"/>
    </xf>
    <xf numFmtId="10" fontId="0" fillId="0" borderId="0" xfId="0" applyNumberFormat="1" applyAlignment="1">
      <alignment horizontal="right" vertical="center"/>
    </xf>
    <xf numFmtId="183" fontId="0" fillId="0" borderId="0" xfId="0" applyNumberFormat="1">
      <alignment vertical="center"/>
    </xf>
    <xf numFmtId="0" fontId="0" fillId="0" borderId="0" xfId="0" applyAlignment="1">
      <alignment horizontal="center" vertical="center" wrapText="1"/>
    </xf>
    <xf numFmtId="0" fontId="0" fillId="3" borderId="0" xfId="0" applyFill="1">
      <alignment vertical="center"/>
    </xf>
    <xf numFmtId="183" fontId="0" fillId="0" borderId="0" xfId="0" applyNumberFormat="1" applyAlignment="1">
      <alignment horizontal="center" vertical="center"/>
    </xf>
    <xf numFmtId="183" fontId="0" fillId="0" borderId="0" xfId="0" applyNumberFormat="1" applyAlignment="1">
      <alignment horizontal="right" vertical="center"/>
    </xf>
    <xf numFmtId="183" fontId="0" fillId="3" borderId="0" xfId="0" applyNumberFormat="1" applyFill="1">
      <alignment vertical="center"/>
    </xf>
    <xf numFmtId="183" fontId="0" fillId="4" borderId="0" xfId="0" applyNumberFormat="1" applyFill="1">
      <alignment vertical="center"/>
    </xf>
    <xf numFmtId="0" fontId="8" fillId="0" borderId="0" xfId="0" applyFont="1" applyAlignment="1">
      <alignment vertical="center" wrapText="1"/>
    </xf>
    <xf numFmtId="10" fontId="0" fillId="4" borderId="0" xfId="0" applyNumberFormat="1" applyFill="1" applyAlignment="1">
      <alignment horizontal="center" vertical="center"/>
    </xf>
    <xf numFmtId="10" fontId="0" fillId="3" borderId="0" xfId="0" applyNumberFormat="1" applyFill="1" applyAlignment="1">
      <alignment horizontal="center" vertical="center"/>
    </xf>
    <xf numFmtId="10" fontId="0" fillId="0" borderId="0" xfId="0" applyNumberFormat="1" applyAlignment="1">
      <alignment horizontal="center" vertical="center"/>
    </xf>
    <xf numFmtId="10" fontId="0" fillId="3" borderId="0" xfId="0" applyNumberFormat="1" applyFill="1">
      <alignment vertical="center"/>
    </xf>
    <xf numFmtId="10" fontId="0" fillId="3" borderId="0" xfId="0" applyNumberFormat="1" applyFill="1" applyAlignment="1">
      <alignment horizontal="right" vertical="center"/>
    </xf>
    <xf numFmtId="10" fontId="0" fillId="4" borderId="0" xfId="0" applyNumberFormat="1" applyFont="1" applyFill="1" applyAlignment="1">
      <alignment horizontal="center" vertical="center"/>
    </xf>
    <xf numFmtId="0" fontId="0" fillId="0" borderId="0" xfId="0" applyFill="1" applyAlignment="1">
      <alignment horizontal="center" vertical="center"/>
    </xf>
    <xf numFmtId="0" fontId="4" fillId="0" borderId="0" xfId="0" applyFont="1" applyAlignment="1">
      <alignment horizontal="right" vertical="center"/>
    </xf>
    <xf numFmtId="0" fontId="9" fillId="0" borderId="0" xfId="41" applyFont="1" applyAlignment="1">
      <alignment horizontal="left" vertical="center"/>
    </xf>
    <xf numFmtId="0" fontId="0" fillId="5" borderId="0" xfId="0" applyFill="1" applyAlignment="1">
      <alignment horizontal="center" vertical="center" wrapText="1"/>
    </xf>
    <xf numFmtId="0" fontId="0" fillId="5" borderId="0" xfId="0" applyFill="1" applyAlignment="1">
      <alignment horizontal="center" vertical="center"/>
    </xf>
    <xf numFmtId="0" fontId="0" fillId="6" borderId="0" xfId="0" applyFill="1" applyAlignment="1">
      <alignment horizontal="center" vertical="center" wrapText="1"/>
    </xf>
    <xf numFmtId="0" fontId="0" fillId="6" borderId="0" xfId="0" applyFill="1" applyAlignment="1">
      <alignment horizontal="center" vertical="center"/>
    </xf>
    <xf numFmtId="0" fontId="0" fillId="3" borderId="0" xfId="0" applyFill="1" applyAlignment="1">
      <alignment horizontal="center" vertical="center" wrapText="1"/>
    </xf>
    <xf numFmtId="0" fontId="0" fillId="0" borderId="2" xfId="0" applyBorder="1" applyAlignment="1">
      <alignment horizontal="center" vertical="center" wrapText="1"/>
    </xf>
    <xf numFmtId="0" fontId="0" fillId="3" borderId="2" xfId="0" applyFill="1" applyBorder="1" applyAlignment="1">
      <alignment horizontal="center" vertical="center"/>
    </xf>
    <xf numFmtId="0" fontId="0" fillId="7" borderId="0" xfId="0" applyFill="1" applyAlignment="1">
      <alignment horizontal="center" vertical="center" wrapText="1"/>
    </xf>
    <xf numFmtId="0" fontId="0" fillId="7" borderId="0" xfId="0" applyFill="1" applyAlignment="1">
      <alignment horizontal="center" vertical="center"/>
    </xf>
    <xf numFmtId="0" fontId="0" fillId="8" borderId="0" xfId="0" applyFill="1" applyAlignment="1">
      <alignment horizontal="center" vertical="center" wrapText="1"/>
    </xf>
    <xf numFmtId="0" fontId="0" fillId="8" borderId="0" xfId="0" applyFill="1" applyAlignment="1">
      <alignment horizontal="center" vertical="center"/>
    </xf>
    <xf numFmtId="0" fontId="0" fillId="9" borderId="0" xfId="0" applyFill="1" applyAlignment="1">
      <alignment horizontal="center" vertical="center" wrapText="1"/>
    </xf>
    <xf numFmtId="0" fontId="0" fillId="9" borderId="0" xfId="0" applyFill="1" applyAlignment="1">
      <alignment horizontal="center" vertical="center"/>
    </xf>
    <xf numFmtId="0" fontId="0" fillId="0" borderId="0" xfId="0" applyFont="1" applyAlignment="1">
      <alignment horizontal="right" vertical="center" wrapText="1"/>
    </xf>
    <xf numFmtId="3" fontId="0" fillId="5" borderId="0" xfId="0" applyNumberFormat="1" applyFill="1" applyAlignment="1">
      <alignment horizontal="right" vertical="center"/>
    </xf>
    <xf numFmtId="3" fontId="0" fillId="6" borderId="0" xfId="0" applyNumberFormat="1" applyFill="1" applyAlignment="1">
      <alignment horizontal="right" vertical="center"/>
    </xf>
    <xf numFmtId="3" fontId="0" fillId="3" borderId="0" xfId="0" applyNumberFormat="1" applyFill="1" applyAlignment="1">
      <alignment horizontal="right" vertical="center"/>
    </xf>
    <xf numFmtId="3" fontId="0" fillId="3" borderId="2" xfId="0" applyNumberFormat="1" applyFill="1" applyBorder="1" applyAlignment="1">
      <alignment horizontal="right" vertical="center"/>
    </xf>
    <xf numFmtId="3" fontId="0" fillId="7" borderId="0" xfId="0" applyNumberFormat="1" applyFill="1" applyAlignment="1">
      <alignment horizontal="right" vertical="center"/>
    </xf>
    <xf numFmtId="3" fontId="0" fillId="8" borderId="0" xfId="0" applyNumberFormat="1" applyFill="1" applyAlignment="1">
      <alignment horizontal="right" vertical="center"/>
    </xf>
    <xf numFmtId="3" fontId="0" fillId="9" borderId="0" xfId="0" applyNumberFormat="1" applyFill="1" applyAlignment="1">
      <alignment horizontal="right" vertical="center"/>
    </xf>
    <xf numFmtId="0" fontId="0" fillId="0" borderId="0" xfId="0" applyFill="1" applyAlignment="1">
      <alignment horizontal="left" vertical="center"/>
    </xf>
    <xf numFmtId="10" fontId="0" fillId="5" borderId="0" xfId="0" applyNumberFormat="1" applyFill="1" applyAlignment="1">
      <alignment horizontal="right" vertical="center"/>
    </xf>
    <xf numFmtId="10" fontId="0" fillId="6" borderId="0" xfId="0" applyNumberFormat="1" applyFill="1" applyAlignment="1">
      <alignment horizontal="right" vertical="center"/>
    </xf>
    <xf numFmtId="10" fontId="0" fillId="3" borderId="2" xfId="0" applyNumberFormat="1" applyFill="1" applyBorder="1" applyAlignment="1">
      <alignment horizontal="right" vertical="center"/>
    </xf>
    <xf numFmtId="0" fontId="0" fillId="0" borderId="2" xfId="0" applyFill="1" applyBorder="1" applyAlignment="1">
      <alignment horizontal="left" vertical="center" wrapText="1"/>
    </xf>
    <xf numFmtId="10" fontId="0" fillId="7" borderId="0" xfId="0" applyNumberFormat="1" applyFill="1" applyAlignment="1">
      <alignment horizontal="right" vertical="center"/>
    </xf>
    <xf numFmtId="10" fontId="0" fillId="8" borderId="0" xfId="0" applyNumberFormat="1" applyFill="1" applyAlignment="1">
      <alignment horizontal="right" vertical="center"/>
    </xf>
    <xf numFmtId="10" fontId="0" fillId="9" borderId="0" xfId="0" applyNumberFormat="1" applyFill="1" applyAlignment="1">
      <alignment horizontal="right" vertical="center"/>
    </xf>
    <xf numFmtId="0" fontId="0" fillId="0" borderId="0" xfId="0" applyAlignment="1" quotePrefix="1">
      <alignment horizontal="center" vertical="center" wrapText="1"/>
    </xf>
    <xf numFmtId="0" fontId="0" fillId="0" borderId="0" xfId="0" quotePrefix="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mruColors>
      <color rgb="00CFCFF3"/>
      <color rgb="009EEA93"/>
      <color rgb="00E8A36B"/>
      <color rgb="00F5D5EE"/>
      <color rgb="00EC9EE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t>股市市值</a:t>
            </a:r>
            <a:r>
              <a:rPr lang="en-US" altLang="zh-CN"/>
              <a:t>/GDP</a:t>
            </a:r>
            <a:endParaRPr lang="en-US" altLang="zh-CN"/>
          </a:p>
        </c:rich>
      </c:tx>
      <c:layout/>
      <c:overlay val="0"/>
      <c:spPr>
        <a:noFill/>
        <a:ln>
          <a:noFill/>
        </a:ln>
        <a:effectLst/>
      </c:spPr>
    </c:title>
    <c:autoTitleDeleted val="0"/>
    <c:plotArea>
      <c:layout>
        <c:manualLayout>
          <c:layoutTarget val="inner"/>
          <c:xMode val="edge"/>
          <c:yMode val="edge"/>
          <c:x val="0.046941365918348"/>
          <c:y val="0.0955114822546973"/>
          <c:w val="0.856865397366676"/>
          <c:h val="0.746938065414057"/>
        </c:manualLayout>
      </c:layout>
      <c:lineChart>
        <c:grouping val="standard"/>
        <c:varyColors val="0"/>
        <c:ser>
          <c:idx val="0"/>
          <c:order val="0"/>
          <c:spPr>
            <a:ln w="28575" cap="rnd">
              <a:solidFill>
                <a:schemeClr val="accent1"/>
              </a:solidFill>
              <a:round/>
            </a:ln>
            <a:effectLst/>
          </c:spPr>
          <c:marker>
            <c:symbol val="none"/>
          </c:marker>
          <c:dLbls>
            <c:delete val="1"/>
          </c:dLbls>
          <c:cat>
            <c:numRef>
              <c:f>'3.市值比GDP'!$A$3:$A$28</c:f>
              <c:numCache>
                <c:formatCode>General</c:formatCode>
                <c:ptCount val="26"/>
                <c:pt idx="0">
                  <c:v>2020.12</c:v>
                </c:pt>
                <c:pt idx="1">
                  <c:v>2020.6</c:v>
                </c:pt>
                <c:pt idx="2">
                  <c:v>2019.12</c:v>
                </c:pt>
                <c:pt idx="3">
                  <c:v>2019.6</c:v>
                </c:pt>
                <c:pt idx="4">
                  <c:v>2018.12</c:v>
                </c:pt>
                <c:pt idx="5">
                  <c:v>2018.6</c:v>
                </c:pt>
                <c:pt idx="6">
                  <c:v>2017.12</c:v>
                </c:pt>
                <c:pt idx="7">
                  <c:v>2017.6</c:v>
                </c:pt>
                <c:pt idx="8">
                  <c:v>2016.12</c:v>
                </c:pt>
                <c:pt idx="9">
                  <c:v>2016.6</c:v>
                </c:pt>
                <c:pt idx="10">
                  <c:v>2015.12</c:v>
                </c:pt>
                <c:pt idx="11">
                  <c:v>2015.6</c:v>
                </c:pt>
                <c:pt idx="12">
                  <c:v>2014.12</c:v>
                </c:pt>
                <c:pt idx="13">
                  <c:v>2014.6</c:v>
                </c:pt>
                <c:pt idx="14">
                  <c:v>2013.12</c:v>
                </c:pt>
                <c:pt idx="15">
                  <c:v>2013.6</c:v>
                </c:pt>
                <c:pt idx="16">
                  <c:v>2012.12</c:v>
                </c:pt>
                <c:pt idx="17">
                  <c:v>2012.6</c:v>
                </c:pt>
                <c:pt idx="18">
                  <c:v>2011.12</c:v>
                </c:pt>
                <c:pt idx="19">
                  <c:v>2011.6</c:v>
                </c:pt>
                <c:pt idx="20">
                  <c:v>2010.12</c:v>
                </c:pt>
                <c:pt idx="21">
                  <c:v>2010.6</c:v>
                </c:pt>
                <c:pt idx="22">
                  <c:v>2009.12</c:v>
                </c:pt>
                <c:pt idx="23">
                  <c:v>2009.6</c:v>
                </c:pt>
                <c:pt idx="24">
                  <c:v>2008.12</c:v>
                </c:pt>
                <c:pt idx="25">
                  <c:v>2008.6</c:v>
                </c:pt>
              </c:numCache>
            </c:numRef>
          </c:cat>
          <c:val>
            <c:numRef>
              <c:f>'3.市值比GDP'!$F$3:$F$28</c:f>
              <c:numCache>
                <c:formatCode>0.00%</c:formatCode>
                <c:ptCount val="26"/>
                <c:pt idx="0">
                  <c:v>0.744761904761905</c:v>
                </c:pt>
                <c:pt idx="1">
                  <c:v>0.605882352941176</c:v>
                </c:pt>
                <c:pt idx="2">
                  <c:v>0.578282553296105</c:v>
                </c:pt>
                <c:pt idx="3">
                  <c:v>0.536084620119654</c:v>
                </c:pt>
                <c:pt idx="4">
                  <c:v>0.487337333488092</c:v>
                </c:pt>
                <c:pt idx="5">
                  <c:v>0.62809873940583</c:v>
                </c:pt>
                <c:pt idx="6">
                  <c:v>0.680259109012003</c:v>
                </c:pt>
                <c:pt idx="7">
                  <c:v>0.652546737868174</c:v>
                </c:pt>
                <c:pt idx="8">
                  <c:v>0.696681958389062</c:v>
                </c:pt>
                <c:pt idx="9">
                  <c:v>0.625673530937013</c:v>
                </c:pt>
                <c:pt idx="10">
                  <c:v>0.74325891743758</c:v>
                </c:pt>
                <c:pt idx="11">
                  <c:v>0.987675594798732</c:v>
                </c:pt>
                <c:pt idx="12">
                  <c:v>0.571816500977138</c:v>
                </c:pt>
                <c:pt idx="13">
                  <c:v>0.384949353685401</c:v>
                </c:pt>
                <c:pt idx="14">
                  <c:v>0.39800109011824</c:v>
                </c:pt>
                <c:pt idx="15">
                  <c:v>0.434804433449823</c:v>
                </c:pt>
                <c:pt idx="16">
                  <c:v>0.40291135950091</c:v>
                </c:pt>
                <c:pt idx="17">
                  <c:v>0.45590919691595</c:v>
                </c:pt>
                <c:pt idx="18">
                  <c:v>0.459072648656536</c:v>
                </c:pt>
                <c:pt idx="19">
                  <c:v>0.57329543213532</c:v>
                </c:pt>
                <c:pt idx="20">
                  <c:v>0.640591207448911</c:v>
                </c:pt>
                <c:pt idx="21">
                  <c:v>0.541651273866509</c:v>
                </c:pt>
                <c:pt idx="22">
                  <c:v>0.694369324714355</c:v>
                </c:pt>
                <c:pt idx="23">
                  <c:v>0.554089381805472</c:v>
                </c:pt>
                <c:pt idx="24">
                  <c:v>0.375887329026082</c:v>
                </c:pt>
                <c:pt idx="25">
                  <c:v>0.763570039479965</c:v>
                </c:pt>
              </c:numCache>
            </c:numRef>
          </c:val>
          <c:smooth val="0"/>
        </c:ser>
        <c:dLbls>
          <c:showLegendKey val="0"/>
          <c:showVal val="0"/>
          <c:showCatName val="0"/>
          <c:showSerName val="0"/>
          <c:showPercent val="0"/>
          <c:showBubbleSize val="0"/>
        </c:dLbls>
        <c:marker val="0"/>
        <c:smooth val="0"/>
        <c:axId val="400521879"/>
        <c:axId val="362413867"/>
      </c:lineChart>
      <c:catAx>
        <c:axId val="400521879"/>
        <c:scaling>
          <c:orientation val="maxMin"/>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62413867"/>
        <c:crosses val="autoZero"/>
        <c:auto val="1"/>
        <c:lblAlgn val="ctr"/>
        <c:lblOffset val="100"/>
        <c:noMultiLvlLbl val="0"/>
      </c:catAx>
      <c:valAx>
        <c:axId val="362413867"/>
        <c:scaling>
          <c:orientation val="minMax"/>
          <c:max val="1"/>
          <c:min val="0.3"/>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00521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t>股市市值</a:t>
            </a:r>
            <a:r>
              <a:rPr lang="en-US" altLang="zh-CN"/>
              <a:t>/M2</a:t>
            </a:r>
            <a:endParaRPr lang="en-US" altLang="zh-CN"/>
          </a:p>
        </c:rich>
      </c:tx>
      <c:layout/>
      <c:overlay val="0"/>
      <c:spPr>
        <a:noFill/>
        <a:ln>
          <a:noFill/>
        </a:ln>
        <a:effectLst/>
      </c:spPr>
    </c:title>
    <c:autoTitleDeleted val="0"/>
    <c:plotArea>
      <c:layout>
        <c:manualLayout>
          <c:layoutTarget val="inner"/>
          <c:xMode val="edge"/>
          <c:yMode val="edge"/>
          <c:x val="0.0512121095994195"/>
          <c:y val="0.10075310400977"/>
          <c:w val="0.867776202337733"/>
          <c:h val="0.729167514756768"/>
        </c:manualLayout>
      </c:layout>
      <c:lineChart>
        <c:grouping val="standard"/>
        <c:varyColors val="0"/>
        <c:ser>
          <c:idx val="0"/>
          <c:order val="0"/>
          <c:spPr>
            <a:ln w="28575" cap="rnd">
              <a:solidFill>
                <a:schemeClr val="accent1"/>
              </a:solidFill>
              <a:round/>
            </a:ln>
            <a:effectLst/>
          </c:spPr>
          <c:marker>
            <c:symbol val="none"/>
          </c:marker>
          <c:dLbls>
            <c:delete val="1"/>
          </c:dLbls>
          <c:cat>
            <c:strRef>
              <c:f>'4.市值比M2'!$A$3:$A$28</c:f>
              <c:strCache>
                <c:ptCount val="26"/>
                <c:pt idx="0" c:formatCode="@">
                  <c:v>2020.10</c:v>
                </c:pt>
                <c:pt idx="1">
                  <c:v>2020.6</c:v>
                </c:pt>
                <c:pt idx="2">
                  <c:v>2019.12</c:v>
                </c:pt>
                <c:pt idx="3">
                  <c:v>2019.6</c:v>
                </c:pt>
                <c:pt idx="4">
                  <c:v>2018.12</c:v>
                </c:pt>
                <c:pt idx="5">
                  <c:v>2018.6</c:v>
                </c:pt>
                <c:pt idx="6">
                  <c:v>2017.12</c:v>
                </c:pt>
                <c:pt idx="7">
                  <c:v>2017.6</c:v>
                </c:pt>
                <c:pt idx="8">
                  <c:v>2016.12</c:v>
                </c:pt>
                <c:pt idx="9">
                  <c:v>2016.6</c:v>
                </c:pt>
                <c:pt idx="10">
                  <c:v>2015.12</c:v>
                </c:pt>
                <c:pt idx="11">
                  <c:v>2015.6</c:v>
                </c:pt>
                <c:pt idx="12">
                  <c:v>2014.12</c:v>
                </c:pt>
                <c:pt idx="13">
                  <c:v>2014.6</c:v>
                </c:pt>
                <c:pt idx="14">
                  <c:v>2013.12</c:v>
                </c:pt>
                <c:pt idx="15">
                  <c:v>2013.6</c:v>
                </c:pt>
                <c:pt idx="16">
                  <c:v>2012.12</c:v>
                </c:pt>
                <c:pt idx="17">
                  <c:v>2012.6</c:v>
                </c:pt>
                <c:pt idx="18">
                  <c:v>2011.12</c:v>
                </c:pt>
                <c:pt idx="19">
                  <c:v>2011.6</c:v>
                </c:pt>
                <c:pt idx="20">
                  <c:v>2010.12</c:v>
                </c:pt>
                <c:pt idx="21">
                  <c:v>2010.6</c:v>
                </c:pt>
                <c:pt idx="22">
                  <c:v>2009.12</c:v>
                </c:pt>
                <c:pt idx="23">
                  <c:v>2009.6</c:v>
                </c:pt>
                <c:pt idx="24">
                  <c:v>2008.12</c:v>
                </c:pt>
                <c:pt idx="25">
                  <c:v>2008.6</c:v>
                </c:pt>
              </c:strCache>
            </c:strRef>
          </c:cat>
          <c:val>
            <c:numRef>
              <c:f>'4.市值比M2'!$F$3:$F$28</c:f>
              <c:numCache>
                <c:formatCode>0.00%</c:formatCode>
                <c:ptCount val="26"/>
                <c:pt idx="0">
                  <c:v>0.363771689072894</c:v>
                </c:pt>
                <c:pt idx="1">
                  <c:v>0.289468319014807</c:v>
                </c:pt>
                <c:pt idx="2">
                  <c:v>0.288448640752984</c:v>
                </c:pt>
                <c:pt idx="3">
                  <c:v>0.266477885081465</c:v>
                </c:pt>
                <c:pt idx="4">
                  <c:v>0.245245062278068</c:v>
                </c:pt>
                <c:pt idx="5">
                  <c:v>0.31070315198238</c:v>
                </c:pt>
                <c:pt idx="6">
                  <c:v>0.337554043088141</c:v>
                </c:pt>
                <c:pt idx="7">
                  <c:v>0.315702516595945</c:v>
                </c:pt>
                <c:pt idx="8">
                  <c:v>0.335469441926901</c:v>
                </c:pt>
                <c:pt idx="9">
                  <c:v>0.301242845457261</c:v>
                </c:pt>
                <c:pt idx="10">
                  <c:v>0.367742620254679</c:v>
                </c:pt>
                <c:pt idx="11">
                  <c:v>0.493484443690568</c:v>
                </c:pt>
                <c:pt idx="12">
                  <c:v>0.299582829311864</c:v>
                </c:pt>
                <c:pt idx="13">
                  <c:v>0.196761341389856</c:v>
                </c:pt>
                <c:pt idx="14">
                  <c:v>0.213280318353048</c:v>
                </c:pt>
                <c:pt idx="15">
                  <c:v>0.233307226001836</c:v>
                </c:pt>
                <c:pt idx="16">
                  <c:v>0.222756138917955</c:v>
                </c:pt>
                <c:pt idx="17">
                  <c:v>0.252975379657666</c:v>
                </c:pt>
                <c:pt idx="18">
                  <c:v>0.263037099151717</c:v>
                </c:pt>
                <c:pt idx="19">
                  <c:v>0.330421504497478</c:v>
                </c:pt>
                <c:pt idx="20">
                  <c:v>0.363710613705313</c:v>
                </c:pt>
                <c:pt idx="21">
                  <c:v>0.305673483858036</c:v>
                </c:pt>
                <c:pt idx="22">
                  <c:v>0.396575345743236</c:v>
                </c:pt>
                <c:pt idx="23">
                  <c:v>0.32517970133387</c:v>
                </c:pt>
                <c:pt idx="24">
                  <c:v>0.252543002812066</c:v>
                </c:pt>
                <c:pt idx="25">
                  <c:v>0.50773904884725</c:v>
                </c:pt>
              </c:numCache>
            </c:numRef>
          </c:val>
          <c:smooth val="0"/>
        </c:ser>
        <c:dLbls>
          <c:showLegendKey val="0"/>
          <c:showVal val="0"/>
          <c:showCatName val="0"/>
          <c:showSerName val="0"/>
          <c:showPercent val="0"/>
          <c:showBubbleSize val="0"/>
        </c:dLbls>
        <c:marker val="0"/>
        <c:smooth val="0"/>
        <c:axId val="615335301"/>
        <c:axId val="326527522"/>
      </c:lineChart>
      <c:catAx>
        <c:axId val="615335301"/>
        <c:scaling>
          <c:orientation val="maxMin"/>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27522"/>
        <c:crosses val="autoZero"/>
        <c:auto val="1"/>
        <c:lblAlgn val="ctr"/>
        <c:lblOffset val="100"/>
        <c:noMultiLvlLbl val="0"/>
      </c:catAx>
      <c:valAx>
        <c:axId val="326527522"/>
        <c:scaling>
          <c:orientation val="minMax"/>
          <c:min val="0.17"/>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1533530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20320</xdr:colOff>
      <xdr:row>10</xdr:row>
      <xdr:rowOff>376555</xdr:rowOff>
    </xdr:from>
    <xdr:to>
      <xdr:col>9</xdr:col>
      <xdr:colOff>768350</xdr:colOff>
      <xdr:row>18</xdr:row>
      <xdr:rowOff>53340</xdr:rowOff>
    </xdr:to>
    <xdr:pic>
      <xdr:nvPicPr>
        <xdr:cNvPr id="3" name="图片 2"/>
        <xdr:cNvPicPr>
          <a:picLocks noChangeAspect="1"/>
        </xdr:cNvPicPr>
      </xdr:nvPicPr>
      <xdr:blipFill>
        <a:blip r:embed="rId2"/>
        <a:stretch>
          <a:fillRect/>
        </a:stretch>
      </xdr:blipFill>
      <xdr:spPr>
        <a:xfrm>
          <a:off x="6145530" y="4262755"/>
          <a:ext cx="6642100" cy="3029585"/>
        </a:xfrm>
        <a:prstGeom prst="rect">
          <a:avLst/>
        </a:prstGeom>
        <a:noFill/>
        <a:ln w="9525">
          <a:noFill/>
        </a:ln>
      </xdr:spPr>
    </xdr:pic>
    <xdr:clientData/>
  </xdr:twoCellAnchor>
  <xdr:twoCellAnchor>
    <xdr:from>
      <xdr:col>6</xdr:col>
      <xdr:colOff>23495</xdr:colOff>
      <xdr:row>0</xdr:row>
      <xdr:rowOff>60325</xdr:rowOff>
    </xdr:from>
    <xdr:to>
      <xdr:col>9</xdr:col>
      <xdr:colOff>701040</xdr:colOff>
      <xdr:row>9</xdr:row>
      <xdr:rowOff>292100</xdr:rowOff>
    </xdr:to>
    <xdr:graphicFrame>
      <xdr:nvGraphicFramePr>
        <xdr:cNvPr id="6" name="图表 5"/>
        <xdr:cNvGraphicFramePr/>
      </xdr:nvGraphicFramePr>
      <xdr:xfrm>
        <a:off x="6148705" y="60325"/>
        <a:ext cx="6571615" cy="36988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39370</xdr:colOff>
      <xdr:row>0</xdr:row>
      <xdr:rowOff>95250</xdr:rowOff>
    </xdr:from>
    <xdr:to>
      <xdr:col>9</xdr:col>
      <xdr:colOff>772160</xdr:colOff>
      <xdr:row>13</xdr:row>
      <xdr:rowOff>198755</xdr:rowOff>
    </xdr:to>
    <xdr:graphicFrame>
      <xdr:nvGraphicFramePr>
        <xdr:cNvPr id="4" name="图表 3"/>
        <xdr:cNvGraphicFramePr/>
      </xdr:nvGraphicFramePr>
      <xdr:xfrm>
        <a:off x="5888990" y="95250"/>
        <a:ext cx="6626860" cy="32023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29210</xdr:colOff>
      <xdr:row>14</xdr:row>
      <xdr:rowOff>207645</xdr:rowOff>
    </xdr:from>
    <xdr:to>
      <xdr:col>9</xdr:col>
      <xdr:colOff>777875</xdr:colOff>
      <xdr:row>27</xdr:row>
      <xdr:rowOff>121285</xdr:rowOff>
    </xdr:to>
    <xdr:pic>
      <xdr:nvPicPr>
        <xdr:cNvPr id="5" name="图片 4"/>
        <xdr:cNvPicPr>
          <a:picLocks noChangeAspect="1"/>
        </xdr:cNvPicPr>
      </xdr:nvPicPr>
      <xdr:blipFill>
        <a:blip r:embed="rId2"/>
        <a:stretch>
          <a:fillRect/>
        </a:stretch>
      </xdr:blipFill>
      <xdr:spPr>
        <a:xfrm>
          <a:off x="5878830" y="3535045"/>
          <a:ext cx="6642735" cy="2885440"/>
        </a:xfrm>
        <a:prstGeom prst="rect">
          <a:avLst/>
        </a:prstGeom>
        <a:noFill/>
        <a:ln w="9525">
          <a:noFill/>
        </a:ln>
      </xdr:spPr>
    </xdr:pic>
    <xdr:clientData/>
  </xdr:twoCellAnchor>
  <xdr:twoCellAnchor editAs="oneCell">
    <xdr:from>
      <xdr:col>9</xdr:col>
      <xdr:colOff>946150</xdr:colOff>
      <xdr:row>0</xdr:row>
      <xdr:rowOff>80010</xdr:rowOff>
    </xdr:from>
    <xdr:to>
      <xdr:col>14</xdr:col>
      <xdr:colOff>236220</xdr:colOff>
      <xdr:row>13</xdr:row>
      <xdr:rowOff>209550</xdr:rowOff>
    </xdr:to>
    <xdr:pic>
      <xdr:nvPicPr>
        <xdr:cNvPr id="6" name="图片 5" descr="制图_20201224_161801"/>
        <xdr:cNvPicPr>
          <a:picLocks noChangeAspect="1"/>
        </xdr:cNvPicPr>
      </xdr:nvPicPr>
      <xdr:blipFill>
        <a:blip r:embed="rId3"/>
        <a:stretch>
          <a:fillRect/>
        </a:stretch>
      </xdr:blipFill>
      <xdr:spPr>
        <a:xfrm>
          <a:off x="12689840" y="80010"/>
          <a:ext cx="6697345" cy="3228340"/>
        </a:xfrm>
        <a:prstGeom prst="rect">
          <a:avLst/>
        </a:prstGeom>
      </xdr:spPr>
    </xdr:pic>
    <xdr:clientData/>
  </xdr:twoCellAnchor>
  <xdr:oneCellAnchor>
    <xdr:from>
      <xdr:col>12</xdr:col>
      <xdr:colOff>1355725</xdr:colOff>
      <xdr:row>0</xdr:row>
      <xdr:rowOff>260350</xdr:rowOff>
    </xdr:from>
    <xdr:ext cx="881380" cy="280670"/>
    <xdr:sp>
      <xdr:nvSpPr>
        <xdr:cNvPr id="2" name="文本框 1"/>
        <xdr:cNvSpPr txBox="1"/>
      </xdr:nvSpPr>
      <xdr:spPr>
        <a:xfrm>
          <a:off x="17543780" y="260350"/>
          <a:ext cx="881380" cy="28067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r>
            <a:rPr lang="zh-CN" altLang="en-US" sz="1100">
              <a:solidFill>
                <a:srgbClr val="FF0000"/>
              </a:solidFill>
            </a:rPr>
            <a:t>理杏仁绘图</a:t>
          </a:r>
          <a:endParaRPr lang="zh-CN" altLang="en-US" sz="1100">
            <a:solidFill>
              <a:srgbClr val="FF0000"/>
            </a:solidFill>
          </a:endParaRPr>
        </a:p>
      </xdr:txBody>
    </xdr:sp>
    <xdr:clientData/>
  </xdr:oneCellAnchor>
  <xdr:oneCellAnchor>
    <xdr:from>
      <xdr:col>8</xdr:col>
      <xdr:colOff>377825</xdr:colOff>
      <xdr:row>15</xdr:row>
      <xdr:rowOff>154940</xdr:rowOff>
    </xdr:from>
    <xdr:ext cx="741680" cy="287020"/>
    <xdr:sp>
      <xdr:nvSpPr>
        <xdr:cNvPr id="3" name="文本框 2"/>
        <xdr:cNvSpPr txBox="1"/>
      </xdr:nvSpPr>
      <xdr:spPr>
        <a:xfrm>
          <a:off x="10640060" y="3710940"/>
          <a:ext cx="741680" cy="28702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r>
            <a:rPr lang="zh-CN" altLang="en-US" sz="1100">
              <a:solidFill>
                <a:srgbClr val="FF0000"/>
              </a:solidFill>
            </a:rPr>
            <a:t>上证指数</a:t>
          </a:r>
          <a:endParaRPr lang="zh-CN" altLang="en-US" sz="1100">
            <a:solidFill>
              <a:srgbClr val="FF0000"/>
            </a:solidFill>
          </a:endParaRPr>
        </a:p>
      </xdr:txBody>
    </xdr:sp>
    <xdr:clientData/>
  </xdr:oneCellAnchor>
  <xdr:oneCellAnchor>
    <xdr:from>
      <xdr:col>6</xdr:col>
      <xdr:colOff>626110</xdr:colOff>
      <xdr:row>12</xdr:row>
      <xdr:rowOff>9525</xdr:rowOff>
    </xdr:from>
    <xdr:ext cx="1299845" cy="279400"/>
    <mc:AlternateContent xmlns:mc="http://schemas.openxmlformats.org/markup-compatibility/2006">
      <mc:Choice xmlns:a14="http://schemas.microsoft.com/office/drawing/2010/main" Requires="a14">
        <xdr:sp>
          <xdr:nvSpPr>
            <xdr:cNvPr id="7" name="文本框 6"/>
            <xdr:cNvSpPr txBox="1"/>
          </xdr:nvSpPr>
          <xdr:spPr>
            <a:xfrm>
              <a:off x="6475730" y="2879725"/>
              <a:ext cx="1299845"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14:m>
                <m:oMathPara xmlns:m="http://schemas.openxmlformats.org/officeDocument/2006/math">
                  <m:oMathParaPr>
                    <m:jc m:val="centerGroup"/>
                  </m:oMathParaPr>
                  <m:oMath xmlns:m="http://schemas.openxmlformats.org/officeDocument/2006/math">
                    <a:fld id="{4DF4113A-81C9-47B0-82CC-4F30C793C474}" type="mathplaceholder">
                      <a:rPr lang="zh-CN" altLang="en-US" sz="1100" i="1">
                        <a:latin typeface="Cambria Math" charset="0"/>
                        <a:cs typeface="Cambria Math" charset="0"/>
                      </a:rPr>
                      <a:t>在此处键入公式。</a:t>
                    </a:fld>
                  </m:oMath>
                </m:oMathPara>
              </a14:m>
              <a:endParaRPr lang="zh-CN" altLang="en-US" sz="1100"/>
            </a:p>
          </xdr:txBody>
        </xdr:sp>
      </mc:Choice>
      <mc:Fallback>
        <xdr:sp>
          <xdr:nvSpPr>
            <xdr:cNvPr id="7" name="文本框 6"/>
            <xdr:cNvSpPr txBox="1"/>
          </xdr:nvSpPr>
          <xdr:spPr>
            <a:xfrm>
              <a:off x="6475730" y="2879725"/>
              <a:ext cx="1299845"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r>
                <a:rPr lang="zh-CN" altLang="en-US" sz="1100">
                  <a:latin typeface="Cambria Math" charset="0"/>
                  <a:cs typeface="Cambria Math" charset="0"/>
                </a:rPr>
                <a:t>在此处键入公式。</a:t>
              </a:r>
              <a:endParaRPr lang="zh-CN" altLang="en-US" sz="1100"/>
            </a:p>
          </xdr:txBody>
        </xdr:sp>
      </mc:Fallback>
    </mc:AlternateContent>
    <xdr:clientData/>
  </xdr:oneCellAnchor>
  <xdr:oneCellAnchor>
    <xdr:from>
      <xdr:col>6</xdr:col>
      <xdr:colOff>626110</xdr:colOff>
      <xdr:row>12</xdr:row>
      <xdr:rowOff>9525</xdr:rowOff>
    </xdr:from>
    <xdr:ext cx="1299845" cy="279400"/>
    <mc:AlternateContent xmlns:mc="http://schemas.openxmlformats.org/markup-compatibility/2006">
      <mc:Choice xmlns:a14="http://schemas.microsoft.com/office/drawing/2010/main" Requires="a14">
        <xdr:sp>
          <xdr:nvSpPr>
            <xdr:cNvPr id="8" name="文本框 7"/>
            <xdr:cNvSpPr txBox="1"/>
          </xdr:nvSpPr>
          <xdr:spPr>
            <a:xfrm>
              <a:off x="6475730" y="2879725"/>
              <a:ext cx="1299845"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14:m>
                <m:oMathPara xmlns:m="http://schemas.openxmlformats.org/officeDocument/2006/math">
                  <m:oMathParaPr>
                    <m:jc m:val="centerGroup"/>
                  </m:oMathParaPr>
                  <m:oMath xmlns:m="http://schemas.openxmlformats.org/officeDocument/2006/math">
                    <a:fld id="{4DF4113A-81C9-47B0-82CC-4F30C793C474}" type="mathplaceholder">
                      <a:rPr lang="zh-CN" altLang="en-US" sz="1100" i="1">
                        <a:latin typeface="Cambria Math" charset="0"/>
                        <a:cs typeface="Cambria Math" charset="0"/>
                      </a:rPr>
                      <a:t>在此处键入公式。</a:t>
                    </a:fld>
                  </m:oMath>
                </m:oMathPara>
              </a14:m>
              <a:endParaRPr lang="zh-CN" altLang="en-US" sz="1100"/>
            </a:p>
          </xdr:txBody>
        </xdr:sp>
      </mc:Choice>
      <mc:Fallback>
        <xdr:sp>
          <xdr:nvSpPr>
            <xdr:cNvPr id="8" name="文本框 7"/>
            <xdr:cNvSpPr txBox="1"/>
          </xdr:nvSpPr>
          <xdr:spPr>
            <a:xfrm>
              <a:off x="6475730" y="2879725"/>
              <a:ext cx="1299845"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r>
                <a:rPr lang="zh-CN" altLang="en-US" sz="1100">
                  <a:latin typeface="Cambria Math" charset="0"/>
                  <a:cs typeface="Cambria Math" charset="0"/>
                </a:rPr>
                <a:t>在此处键入公式。</a:t>
              </a:r>
              <a:endParaRPr lang="zh-CN" altLang="en-US" sz="1100"/>
            </a:p>
          </xdr:txBody>
        </xdr:sp>
      </mc:Fallback>
    </mc:AlternateContent>
    <xdr:clientData/>
  </xdr:oneCellAnchor>
</xdr:wsDr>
</file>

<file path=xl/drawings/drawing3.xml><?xml version="1.0" encoding="utf-8"?>
<c:userShapes xmlns:c="http://schemas.openxmlformats.org/drawingml/2006/chart">
  <cdr:relSizeAnchor xmlns:cdr="http://schemas.openxmlformats.org/drawingml/2006/chartDrawing">
    <cdr:from>
      <cdr:x>0.710644821308805</cdr:x>
      <cdr:y>0.032770201506208</cdr:y>
    </cdr:from>
    <cdr:to>
      <cdr:x>0.848615502539044</cdr:x>
      <cdr:y>0.120700183187462</cdr:y>
    </cdr:to>
    <cdr:sp>
      <cdr:nvSpPr>
        <cdr:cNvPr id="2" name="矩形 1"/>
        <cdr:cNvSpPr/>
      </cdr:nvSpPr>
      <cdr:spPr xmlns:a="http://schemas.openxmlformats.org/drawingml/2006/main">
        <a:xfrm xmlns:a="http://schemas.openxmlformats.org/drawingml/2006/main">
          <a:off x="4709795" y="102235"/>
          <a:ext cx="914400" cy="274320"/>
        </a:xfrm>
        <a:prstGeom xmlns:a="http://schemas.openxmlformats.org/drawingml/2006/main" prst="rect">
          <a:avLst/>
        </a:prstGeom>
      </cdr:spPr>
      <cdr:txBody xmlns:a="http://schemas.openxmlformats.org/drawingml/2006/main">
        <a:bodyPr>
          <a:spAutoFit/>
        </a:bodyPr>
        <a:p>
          <a:r>
            <a:rPr lang="zh-CN" altLang="en-US">
              <a:solidFill>
                <a:srgbClr val="FF0000"/>
              </a:solidFill>
            </a:rPr>
            <a:t>自制绘图</a:t>
          </a:r>
          <a:endParaRPr lang="zh-CN" altLang="en-US">
            <a:solidFill>
              <a:srgbClr val="FF0000"/>
            </a:solidFill>
          </a:endParaRPr>
        </a:p>
      </cdr:txBody>
    </cdr:sp>
  </cdr:relSizeAnchor>
</c:userShapes>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36</xdr:row>
      <xdr:rowOff>142875</xdr:rowOff>
    </xdr:from>
    <xdr:to>
      <xdr:col>11</xdr:col>
      <xdr:colOff>121285</xdr:colOff>
      <xdr:row>64</xdr:row>
      <xdr:rowOff>142875</xdr:rowOff>
    </xdr:to>
    <xdr:pic>
      <xdr:nvPicPr>
        <xdr:cNvPr id="2" name="图片 1"/>
        <xdr:cNvPicPr>
          <a:picLocks noChangeAspect="1"/>
        </xdr:cNvPicPr>
      </xdr:nvPicPr>
      <xdr:blipFill>
        <a:blip r:embed="rId1"/>
        <a:stretch>
          <a:fillRect/>
        </a:stretch>
      </xdr:blipFill>
      <xdr:spPr>
        <a:xfrm>
          <a:off x="635" y="6177915"/>
          <a:ext cx="7720330" cy="4693920"/>
        </a:xfrm>
        <a:prstGeom prst="rect">
          <a:avLst/>
        </a:prstGeom>
        <a:noFill/>
        <a:ln w="9525">
          <a:noFill/>
        </a:ln>
      </xdr:spPr>
    </xdr:pic>
    <xdr:clientData/>
  </xdr:twoCellAnchor>
  <xdr:twoCellAnchor>
    <xdr:from>
      <xdr:col>0</xdr:col>
      <xdr:colOff>635</xdr:colOff>
      <xdr:row>72</xdr:row>
      <xdr:rowOff>74295</xdr:rowOff>
    </xdr:from>
    <xdr:to>
      <xdr:col>7</xdr:col>
      <xdr:colOff>165735</xdr:colOff>
      <xdr:row>93</xdr:row>
      <xdr:rowOff>161925</xdr:rowOff>
    </xdr:to>
    <xdr:pic>
      <xdr:nvPicPr>
        <xdr:cNvPr id="3" name="图片 2"/>
        <xdr:cNvPicPr>
          <a:picLocks noChangeAspect="1"/>
        </xdr:cNvPicPr>
      </xdr:nvPicPr>
      <xdr:blipFill>
        <a:blip r:embed="rId2"/>
        <a:stretch>
          <a:fillRect/>
        </a:stretch>
      </xdr:blipFill>
      <xdr:spPr>
        <a:xfrm>
          <a:off x="635" y="12144375"/>
          <a:ext cx="5001260" cy="3608070"/>
        </a:xfrm>
        <a:prstGeom prst="rect">
          <a:avLst/>
        </a:prstGeom>
        <a:noFill/>
        <a:ln w="9525">
          <a:noFill/>
        </a:ln>
      </xdr:spPr>
    </xdr:pic>
    <xdr:clientData/>
  </xdr:twoCellAnchor>
  <xdr:twoCellAnchor>
    <xdr:from>
      <xdr:col>0</xdr:col>
      <xdr:colOff>1270</xdr:colOff>
      <xdr:row>0</xdr:row>
      <xdr:rowOff>1270</xdr:rowOff>
    </xdr:from>
    <xdr:to>
      <xdr:col>9</xdr:col>
      <xdr:colOff>83185</xdr:colOff>
      <xdr:row>27</xdr:row>
      <xdr:rowOff>148590</xdr:rowOff>
    </xdr:to>
    <xdr:pic>
      <xdr:nvPicPr>
        <xdr:cNvPr id="5" name="图片 4"/>
        <xdr:cNvPicPr>
          <a:picLocks noChangeAspect="1"/>
        </xdr:cNvPicPr>
      </xdr:nvPicPr>
      <xdr:blipFill>
        <a:blip r:embed="rId3"/>
        <a:stretch>
          <a:fillRect/>
        </a:stretch>
      </xdr:blipFill>
      <xdr:spPr>
        <a:xfrm>
          <a:off x="1270" y="1270"/>
          <a:ext cx="6299835" cy="4673600"/>
        </a:xfrm>
        <a:prstGeom prst="rect">
          <a:avLst/>
        </a:prstGeom>
        <a:noFill/>
        <a:ln w="9525">
          <a:noFill/>
        </a:ln>
      </xdr:spPr>
    </xdr:pic>
    <xdr:clientData/>
  </xdr:twoCellAnchor>
  <xdr:oneCellAnchor>
    <xdr:from>
      <xdr:col>2</xdr:col>
      <xdr:colOff>675005</xdr:colOff>
      <xdr:row>0</xdr:row>
      <xdr:rowOff>128270</xdr:rowOff>
    </xdr:from>
    <xdr:ext cx="4163060" cy="325120"/>
    <xdr:sp>
      <xdr:nvSpPr>
        <xdr:cNvPr id="6" name="文本框 5"/>
        <xdr:cNvSpPr txBox="1"/>
      </xdr:nvSpPr>
      <xdr:spPr>
        <a:xfrm>
          <a:off x="2056765" y="128270"/>
          <a:ext cx="4163060" cy="32512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r>
            <a:rPr lang="zh-CN" altLang="en-US" sz="1300">
              <a:solidFill>
                <a:srgbClr val="FF0000"/>
              </a:solidFill>
            </a:rPr>
            <a:t>大类资产相关性为平均值，不代表细分后各自的相关性</a:t>
          </a:r>
          <a:endParaRPr lang="zh-CN" altLang="en-US" sz="1300">
            <a:solidFill>
              <a:srgbClr val="FF0000"/>
            </a:solidFill>
          </a:endParaRPr>
        </a:p>
      </xdr:txBody>
    </xdr:sp>
    <xdr:clientData/>
  </xdr:oneCellAnchor>
  <xdr:twoCellAnchor editAs="oneCell">
    <xdr:from>
      <xdr:col>0</xdr:col>
      <xdr:colOff>635</xdr:colOff>
      <xdr:row>98</xdr:row>
      <xdr:rowOff>71755</xdr:rowOff>
    </xdr:from>
    <xdr:to>
      <xdr:col>9</xdr:col>
      <xdr:colOff>243840</xdr:colOff>
      <xdr:row>134</xdr:row>
      <xdr:rowOff>116205</xdr:rowOff>
    </xdr:to>
    <xdr:pic>
      <xdr:nvPicPr>
        <xdr:cNvPr id="4" name="图片 3"/>
        <xdr:cNvPicPr>
          <a:picLocks noChangeAspect="1"/>
        </xdr:cNvPicPr>
      </xdr:nvPicPr>
      <xdr:blipFill>
        <a:blip r:embed="rId4"/>
        <a:stretch>
          <a:fillRect/>
        </a:stretch>
      </xdr:blipFill>
      <xdr:spPr>
        <a:xfrm>
          <a:off x="635" y="16500475"/>
          <a:ext cx="6461125" cy="607949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howbuy.com/fundtool/calfundaip.ht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K21"/>
  <sheetViews>
    <sheetView tabSelected="1" workbookViewId="0">
      <pane xSplit="3" ySplit="2" topLeftCell="D3" activePane="bottomRight" state="frozen"/>
      <selection/>
      <selection pane="topRight"/>
      <selection pane="bottomLeft"/>
      <selection pane="bottomRight" activeCell="I14" sqref="I14"/>
    </sheetView>
  </sheetViews>
  <sheetFormatPr defaultColWidth="13.6083333333333" defaultRowHeight="35" customHeight="1"/>
  <cols>
    <col min="1" max="1" width="13.6083333333333" style="6" customWidth="1"/>
    <col min="2" max="2" width="14.7166666666667" style="6" customWidth="1"/>
    <col min="3" max="3" width="13.6083333333333" style="6" customWidth="1"/>
    <col min="4" max="4" width="19.025" style="6" customWidth="1"/>
    <col min="5" max="5" width="13.6083333333333" style="6" customWidth="1"/>
    <col min="6" max="6" width="8.60833333333333" style="6" customWidth="1"/>
    <col min="7" max="9" width="13.6083333333333" style="6" customWidth="1"/>
    <col min="10" max="10" width="21.9416666666667" style="6" customWidth="1"/>
    <col min="11" max="11" width="19.025" style="6" customWidth="1"/>
    <col min="12" max="16383" width="13.6083333333333" style="6" customWidth="1"/>
    <col min="16384" max="16384" width="13.6083333333333" style="6"/>
  </cols>
  <sheetData>
    <row r="1" ht="23" customHeight="1" spans="1:11">
      <c r="A1" s="78" t="s">
        <v>0</v>
      </c>
      <c r="B1" s="79" t="s">
        <v>1</v>
      </c>
      <c r="E1" s="36">
        <v>2020.12</v>
      </c>
      <c r="K1" s="101" t="s">
        <v>2</v>
      </c>
    </row>
    <row r="2" customHeight="1" spans="1:11">
      <c r="A2" s="6" t="s">
        <v>3</v>
      </c>
      <c r="B2" s="6" t="s">
        <v>4</v>
      </c>
      <c r="C2" s="31"/>
      <c r="D2" s="6" t="s">
        <v>5</v>
      </c>
      <c r="E2" s="6" t="s">
        <v>6</v>
      </c>
      <c r="F2" s="10" t="s">
        <v>7</v>
      </c>
      <c r="G2" s="10" t="s">
        <v>8</v>
      </c>
      <c r="H2" s="93" t="s">
        <v>9</v>
      </c>
      <c r="I2" s="10" t="s">
        <v>10</v>
      </c>
      <c r="J2" s="6" t="s">
        <v>11</v>
      </c>
      <c r="K2" s="101" t="s">
        <v>12</v>
      </c>
    </row>
    <row r="3" customHeight="1" spans="1:10">
      <c r="A3" s="109" t="s">
        <v>13</v>
      </c>
      <c r="B3" s="80" t="s">
        <v>14</v>
      </c>
      <c r="C3" s="80" t="s">
        <v>15</v>
      </c>
      <c r="D3" s="81" t="s">
        <v>16</v>
      </c>
      <c r="E3" s="94">
        <v>96000</v>
      </c>
      <c r="F3" s="94">
        <v>1</v>
      </c>
      <c r="G3" s="94">
        <v>96000</v>
      </c>
      <c r="H3" s="94">
        <v>220631</v>
      </c>
      <c r="I3" s="102">
        <v>1.2982</v>
      </c>
      <c r="J3" s="55" t="s">
        <v>17</v>
      </c>
    </row>
    <row r="4" customHeight="1" spans="1:10">
      <c r="A4" s="64"/>
      <c r="B4" s="80"/>
      <c r="C4" s="80"/>
      <c r="D4" s="81" t="s">
        <v>18</v>
      </c>
      <c r="E4" s="94">
        <v>1000</v>
      </c>
      <c r="F4" s="94">
        <v>96</v>
      </c>
      <c r="G4" s="94"/>
      <c r="H4" s="94">
        <v>160400</v>
      </c>
      <c r="I4" s="102">
        <v>0.6708</v>
      </c>
      <c r="J4" s="55"/>
    </row>
    <row r="5" customHeight="1" spans="1:10">
      <c r="A5" s="64"/>
      <c r="B5" s="82" t="s">
        <v>19</v>
      </c>
      <c r="C5" s="82" t="s">
        <v>20</v>
      </c>
      <c r="D5" s="83" t="s">
        <v>16</v>
      </c>
      <c r="E5" s="95">
        <v>72000</v>
      </c>
      <c r="F5" s="95">
        <v>1</v>
      </c>
      <c r="G5" s="95">
        <v>72000</v>
      </c>
      <c r="H5" s="95">
        <v>112546</v>
      </c>
      <c r="I5" s="103">
        <v>0.5631</v>
      </c>
      <c r="J5" s="55"/>
    </row>
    <row r="6" customHeight="1" spans="1:10">
      <c r="A6" s="64"/>
      <c r="B6" s="82"/>
      <c r="C6" s="82"/>
      <c r="D6" s="83" t="s">
        <v>18</v>
      </c>
      <c r="E6" s="95">
        <v>1000</v>
      </c>
      <c r="F6" s="95">
        <v>72</v>
      </c>
      <c r="G6" s="95"/>
      <c r="H6" s="95">
        <v>103356</v>
      </c>
      <c r="I6" s="103">
        <v>0.4355</v>
      </c>
      <c r="J6" s="55"/>
    </row>
    <row r="7" customHeight="1" spans="1:10">
      <c r="A7" s="64"/>
      <c r="B7" s="24" t="s">
        <v>21</v>
      </c>
      <c r="C7" s="84" t="s">
        <v>22</v>
      </c>
      <c r="D7" s="24" t="s">
        <v>16</v>
      </c>
      <c r="E7" s="96">
        <v>36000</v>
      </c>
      <c r="F7" s="96">
        <v>1</v>
      </c>
      <c r="G7" s="96">
        <v>36000</v>
      </c>
      <c r="H7" s="96">
        <v>46453</v>
      </c>
      <c r="I7" s="75">
        <v>0.2904</v>
      </c>
      <c r="J7" s="55"/>
    </row>
    <row r="8" customHeight="1" spans="1:10">
      <c r="A8" s="85"/>
      <c r="B8" s="86"/>
      <c r="C8" s="86"/>
      <c r="D8" s="86" t="s">
        <v>18</v>
      </c>
      <c r="E8" s="97">
        <v>1000</v>
      </c>
      <c r="F8" s="97">
        <v>36</v>
      </c>
      <c r="G8" s="97"/>
      <c r="H8" s="97">
        <v>48025</v>
      </c>
      <c r="I8" s="104">
        <v>0.334</v>
      </c>
      <c r="J8" s="105"/>
    </row>
    <row r="9" customHeight="1" spans="1:11">
      <c r="A9" s="109" t="s">
        <v>13</v>
      </c>
      <c r="B9" s="87" t="s">
        <v>23</v>
      </c>
      <c r="C9" s="87" t="s">
        <v>24</v>
      </c>
      <c r="D9" s="88" t="s">
        <v>16</v>
      </c>
      <c r="E9" s="98">
        <v>17000</v>
      </c>
      <c r="F9" s="98">
        <v>1</v>
      </c>
      <c r="G9" s="98">
        <v>17000</v>
      </c>
      <c r="H9" s="98">
        <v>19638</v>
      </c>
      <c r="I9" s="106">
        <v>0.1552</v>
      </c>
      <c r="J9" s="64" t="s">
        <v>25</v>
      </c>
      <c r="K9" s="64"/>
    </row>
    <row r="10" customHeight="1" spans="1:11">
      <c r="A10" s="64"/>
      <c r="B10" s="88"/>
      <c r="C10" s="88"/>
      <c r="D10" s="88" t="s">
        <v>18</v>
      </c>
      <c r="E10" s="98">
        <v>1000</v>
      </c>
      <c r="F10" s="98">
        <v>17</v>
      </c>
      <c r="G10" s="98"/>
      <c r="H10" s="98">
        <v>18716</v>
      </c>
      <c r="I10" s="106">
        <v>0.101</v>
      </c>
      <c r="J10" s="64"/>
      <c r="K10" s="64"/>
    </row>
    <row r="11" customHeight="1" spans="1:11">
      <c r="A11" s="64"/>
      <c r="B11" s="89" t="s">
        <v>26</v>
      </c>
      <c r="C11" s="89" t="s">
        <v>27</v>
      </c>
      <c r="D11" s="90" t="s">
        <v>16</v>
      </c>
      <c r="E11" s="99">
        <v>27000</v>
      </c>
      <c r="F11" s="99">
        <v>1</v>
      </c>
      <c r="G11" s="99">
        <v>27000</v>
      </c>
      <c r="H11" s="99">
        <v>23214</v>
      </c>
      <c r="I11" s="107">
        <v>-0.1402</v>
      </c>
      <c r="J11" s="64"/>
      <c r="K11" s="64"/>
    </row>
    <row r="12" customHeight="1" spans="1:11">
      <c r="A12" s="64"/>
      <c r="B12" s="90"/>
      <c r="C12" s="90"/>
      <c r="D12" s="90" t="s">
        <v>18</v>
      </c>
      <c r="E12" s="99">
        <v>1000</v>
      </c>
      <c r="F12" s="99">
        <v>27</v>
      </c>
      <c r="G12" s="99"/>
      <c r="H12" s="99">
        <v>24522</v>
      </c>
      <c r="I12" s="107">
        <v>-0.0917</v>
      </c>
      <c r="J12" s="64"/>
      <c r="K12" s="64"/>
    </row>
    <row r="13" customHeight="1" spans="1:10">
      <c r="A13" s="64"/>
      <c r="B13" s="91" t="s">
        <v>28</v>
      </c>
      <c r="C13" s="91" t="s">
        <v>29</v>
      </c>
      <c r="D13" s="92" t="s">
        <v>16</v>
      </c>
      <c r="E13" s="100">
        <v>11000</v>
      </c>
      <c r="F13" s="100">
        <v>1</v>
      </c>
      <c r="G13" s="100">
        <v>11000</v>
      </c>
      <c r="H13" s="100">
        <v>8133</v>
      </c>
      <c r="I13" s="108">
        <v>-0.2606</v>
      </c>
      <c r="J13" s="64" t="s">
        <v>30</v>
      </c>
    </row>
    <row r="14" customHeight="1" spans="1:10">
      <c r="A14" s="64"/>
      <c r="B14" s="92"/>
      <c r="C14" s="92"/>
      <c r="D14" s="92" t="s">
        <v>18</v>
      </c>
      <c r="E14" s="100">
        <v>1000</v>
      </c>
      <c r="F14" s="100">
        <v>11</v>
      </c>
      <c r="G14" s="100"/>
      <c r="H14" s="100">
        <v>9435</v>
      </c>
      <c r="I14" s="108">
        <v>-0.1422</v>
      </c>
      <c r="J14" s="64"/>
    </row>
    <row r="15" customHeight="1" spans="1:10">
      <c r="A15" s="64"/>
      <c r="B15" s="80" t="s">
        <v>31</v>
      </c>
      <c r="C15" s="80" t="s">
        <v>32</v>
      </c>
      <c r="D15" s="81" t="s">
        <v>16</v>
      </c>
      <c r="E15" s="94">
        <v>24000</v>
      </c>
      <c r="F15" s="94">
        <v>1</v>
      </c>
      <c r="G15" s="94">
        <v>24000</v>
      </c>
      <c r="H15" s="94">
        <v>34760</v>
      </c>
      <c r="I15" s="102">
        <v>0.4484</v>
      </c>
      <c r="J15" s="64" t="s">
        <v>33</v>
      </c>
    </row>
    <row r="16" customHeight="1" spans="1:10">
      <c r="A16" s="64"/>
      <c r="B16" s="81"/>
      <c r="C16" s="81"/>
      <c r="D16" s="81" t="s">
        <v>18</v>
      </c>
      <c r="E16" s="94">
        <v>1000</v>
      </c>
      <c r="F16" s="94">
        <v>24</v>
      </c>
      <c r="G16" s="94"/>
      <c r="H16" s="94">
        <v>29862</v>
      </c>
      <c r="I16" s="102">
        <v>0.2443</v>
      </c>
      <c r="J16" s="64"/>
    </row>
    <row r="17" customHeight="1" spans="1:10">
      <c r="A17" s="64"/>
      <c r="B17" s="84" t="s">
        <v>34</v>
      </c>
      <c r="C17" s="84" t="s">
        <v>35</v>
      </c>
      <c r="D17" s="24" t="s">
        <v>16</v>
      </c>
      <c r="E17" s="96">
        <v>13000</v>
      </c>
      <c r="F17" s="96">
        <v>1</v>
      </c>
      <c r="G17" s="96">
        <v>13000</v>
      </c>
      <c r="H17" s="96">
        <v>13517</v>
      </c>
      <c r="I17" s="75">
        <v>0.0398</v>
      </c>
      <c r="J17" s="64" t="s">
        <v>36</v>
      </c>
    </row>
    <row r="18" customHeight="1" spans="1:10">
      <c r="A18" s="64"/>
      <c r="B18" s="24"/>
      <c r="C18" s="24"/>
      <c r="D18" s="24" t="s">
        <v>18</v>
      </c>
      <c r="E18" s="96">
        <v>1000</v>
      </c>
      <c r="F18" s="96">
        <v>13</v>
      </c>
      <c r="G18" s="96"/>
      <c r="H18" s="96">
        <v>14806</v>
      </c>
      <c r="I18" s="75">
        <v>0.1389</v>
      </c>
      <c r="J18" s="64"/>
    </row>
    <row r="19" customHeight="1" spans="1:10">
      <c r="A19" s="64"/>
      <c r="B19" s="82" t="s">
        <v>37</v>
      </c>
      <c r="C19" s="82" t="s">
        <v>38</v>
      </c>
      <c r="D19" s="83" t="s">
        <v>16</v>
      </c>
      <c r="E19" s="95">
        <v>33000</v>
      </c>
      <c r="F19" s="95">
        <v>1</v>
      </c>
      <c r="G19" s="95">
        <v>33000</v>
      </c>
      <c r="H19" s="95">
        <v>35588.87</v>
      </c>
      <c r="I19" s="103">
        <v>0.0785</v>
      </c>
      <c r="J19" s="61" t="s">
        <v>39</v>
      </c>
    </row>
    <row r="20" ht="46" customHeight="1" spans="1:10">
      <c r="A20" s="64"/>
      <c r="B20" s="83"/>
      <c r="C20" s="83"/>
      <c r="D20" s="83" t="s">
        <v>18</v>
      </c>
      <c r="E20" s="95">
        <v>1000</v>
      </c>
      <c r="F20" s="95">
        <v>33</v>
      </c>
      <c r="G20" s="95"/>
      <c r="H20" s="95">
        <v>30568</v>
      </c>
      <c r="I20" s="103">
        <v>-0.0737</v>
      </c>
      <c r="J20" s="61"/>
    </row>
    <row r="21" customHeight="1" spans="3:11">
      <c r="C21" s="6" t="s">
        <v>40</v>
      </c>
      <c r="D21" s="61" t="s">
        <v>41</v>
      </c>
      <c r="E21" s="61"/>
      <c r="F21" s="61"/>
      <c r="G21" s="61"/>
      <c r="H21" s="61"/>
      <c r="I21" s="61"/>
      <c r="J21" s="61"/>
      <c r="K21" s="61"/>
    </row>
  </sheetData>
  <mergeCells count="38">
    <mergeCell ref="B2:C2"/>
    <mergeCell ref="D21:K21"/>
    <mergeCell ref="A3:A8"/>
    <mergeCell ref="A9:A20"/>
    <mergeCell ref="B3:B4"/>
    <mergeCell ref="B5:B6"/>
    <mergeCell ref="B7:B8"/>
    <mergeCell ref="B9:B10"/>
    <mergeCell ref="B11:B12"/>
    <mergeCell ref="B13:B14"/>
    <mergeCell ref="B15:B16"/>
    <mergeCell ref="B17:B18"/>
    <mergeCell ref="B19:B20"/>
    <mergeCell ref="C3:C4"/>
    <mergeCell ref="C5:C6"/>
    <mergeCell ref="C7:C8"/>
    <mergeCell ref="C9:C10"/>
    <mergeCell ref="C11:C12"/>
    <mergeCell ref="C13:C14"/>
    <mergeCell ref="C15:C16"/>
    <mergeCell ref="C17:C18"/>
    <mergeCell ref="C19:C20"/>
    <mergeCell ref="G3:G4"/>
    <mergeCell ref="G5:G6"/>
    <mergeCell ref="G7:G8"/>
    <mergeCell ref="G9:G10"/>
    <mergeCell ref="G11:G12"/>
    <mergeCell ref="G13:G14"/>
    <mergeCell ref="G15:G16"/>
    <mergeCell ref="G17:G18"/>
    <mergeCell ref="G19:G20"/>
    <mergeCell ref="J3:J8"/>
    <mergeCell ref="J9:J12"/>
    <mergeCell ref="J13:J14"/>
    <mergeCell ref="J15:J16"/>
    <mergeCell ref="J17:J18"/>
    <mergeCell ref="J19:J20"/>
    <mergeCell ref="K9:K12"/>
  </mergeCells>
  <hyperlinks>
    <hyperlink ref="B1" r:id="rId1" display="https://www.howbuy.com/fundtool/calfundaip.htm"/>
  </hyperlink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13"/>
  <sheetViews>
    <sheetView workbookViewId="0">
      <selection activeCell="D14" sqref="D14"/>
    </sheetView>
  </sheetViews>
  <sheetFormatPr defaultColWidth="16.3833333333333" defaultRowHeight="31" customHeight="1"/>
  <cols>
    <col min="1" max="1" width="10.2666666666667" customWidth="1"/>
    <col min="2" max="13" width="12.775" style="1" customWidth="1"/>
    <col min="14" max="14" width="13.6" style="1" customWidth="1"/>
    <col min="15" max="15" width="13.6" customWidth="1"/>
    <col min="16" max="16383" width="16.3833333333333" customWidth="1"/>
  </cols>
  <sheetData>
    <row r="1" customHeight="1" spans="1:12">
      <c r="A1" s="6" t="s">
        <v>42</v>
      </c>
      <c r="B1" s="6"/>
      <c r="C1" s="6"/>
      <c r="D1" s="6"/>
      <c r="E1" s="6"/>
      <c r="F1" s="6"/>
      <c r="G1" s="6"/>
      <c r="H1" s="6"/>
      <c r="I1" s="6"/>
      <c r="J1" s="6"/>
      <c r="K1" s="6"/>
      <c r="L1" s="6"/>
    </row>
    <row r="2" customHeight="1" spans="1:15">
      <c r="A2" s="70" t="s">
        <v>43</v>
      </c>
      <c r="B2" s="71" t="s">
        <v>44</v>
      </c>
      <c r="C2" s="71"/>
      <c r="D2" s="71" t="s">
        <v>45</v>
      </c>
      <c r="E2" s="71"/>
      <c r="F2" s="76" t="s">
        <v>46</v>
      </c>
      <c r="G2" s="71"/>
      <c r="H2" s="76" t="s">
        <v>47</v>
      </c>
      <c r="I2" s="71"/>
      <c r="J2" s="76" t="s">
        <v>48</v>
      </c>
      <c r="K2" s="71"/>
      <c r="L2" s="71" t="s">
        <v>49</v>
      </c>
      <c r="M2" s="71"/>
      <c r="N2" s="71" t="s">
        <v>50</v>
      </c>
      <c r="O2" s="6" t="s">
        <v>51</v>
      </c>
    </row>
    <row r="3" customHeight="1" spans="1:15">
      <c r="A3" s="6" t="s">
        <v>52</v>
      </c>
      <c r="B3" s="72" t="s">
        <v>53</v>
      </c>
      <c r="C3" s="73" t="s">
        <v>54</v>
      </c>
      <c r="D3" s="72" t="s">
        <v>55</v>
      </c>
      <c r="E3" s="73" t="s">
        <v>56</v>
      </c>
      <c r="F3" s="72" t="s">
        <v>57</v>
      </c>
      <c r="G3" s="73" t="s">
        <v>54</v>
      </c>
      <c r="H3" s="72" t="s">
        <v>57</v>
      </c>
      <c r="I3" s="73" t="s">
        <v>54</v>
      </c>
      <c r="J3" s="72" t="s">
        <v>58</v>
      </c>
      <c r="K3" s="73" t="s">
        <v>59</v>
      </c>
      <c r="L3" s="72" t="s">
        <v>60</v>
      </c>
      <c r="M3" s="73" t="s">
        <v>61</v>
      </c>
      <c r="N3" s="72" t="s">
        <v>62</v>
      </c>
      <c r="O3" s="77" t="s">
        <v>63</v>
      </c>
    </row>
    <row r="4" customHeight="1" spans="1:15">
      <c r="A4" s="6" t="s">
        <v>64</v>
      </c>
      <c r="B4" s="74">
        <v>0.4708</v>
      </c>
      <c r="D4" s="74">
        <v>0.261</v>
      </c>
      <c r="E4" s="1">
        <v>0.287</v>
      </c>
      <c r="F4" s="74">
        <v>0.5698</v>
      </c>
      <c r="G4" s="62" t="s">
        <v>65</v>
      </c>
      <c r="H4" s="75" t="s">
        <v>65</v>
      </c>
      <c r="I4" s="62" t="s">
        <v>65</v>
      </c>
      <c r="J4" s="74">
        <v>0.9028</v>
      </c>
      <c r="K4" s="1">
        <v>0.4095</v>
      </c>
      <c r="L4" s="72" t="s">
        <v>65</v>
      </c>
      <c r="M4" s="73" t="s">
        <v>65</v>
      </c>
      <c r="N4" s="72" t="s">
        <v>65</v>
      </c>
      <c r="O4" s="77" t="s">
        <v>65</v>
      </c>
    </row>
    <row r="5" customHeight="1" spans="1:15">
      <c r="A5" s="6" t="s">
        <v>66</v>
      </c>
      <c r="B5" s="74">
        <v>0.992</v>
      </c>
      <c r="C5" s="1">
        <v>1</v>
      </c>
      <c r="D5" s="75" t="s">
        <v>65</v>
      </c>
      <c r="E5" s="62" t="s">
        <v>65</v>
      </c>
      <c r="F5" s="74">
        <v>0.8165</v>
      </c>
      <c r="G5" s="62" t="s">
        <v>65</v>
      </c>
      <c r="H5" s="75">
        <v>0.94</v>
      </c>
      <c r="I5" s="62">
        <v>0.6924</v>
      </c>
      <c r="J5" s="74">
        <v>0.943</v>
      </c>
      <c r="K5" s="1">
        <v>0.6296</v>
      </c>
      <c r="L5" s="74">
        <v>0.9884</v>
      </c>
      <c r="M5" s="1">
        <v>0.718</v>
      </c>
      <c r="N5" s="72">
        <v>0.9625</v>
      </c>
      <c r="O5" s="77">
        <v>31.9</v>
      </c>
    </row>
    <row r="6" customHeight="1" spans="1:15">
      <c r="A6" s="6" t="s">
        <v>3</v>
      </c>
      <c r="B6" s="74">
        <v>0.9456</v>
      </c>
      <c r="C6" s="1">
        <v>0.9892</v>
      </c>
      <c r="D6" s="75" t="s">
        <v>65</v>
      </c>
      <c r="E6" s="62" t="s">
        <v>65</v>
      </c>
      <c r="F6" s="74">
        <v>0.8007</v>
      </c>
      <c r="G6" s="62" t="s">
        <v>65</v>
      </c>
      <c r="H6" s="75">
        <v>0.4762</v>
      </c>
      <c r="I6" s="62">
        <v>0.4716</v>
      </c>
      <c r="J6" s="74">
        <v>0.8802</v>
      </c>
      <c r="K6" s="1">
        <v>0.5784</v>
      </c>
      <c r="L6" s="74">
        <v>0.9468</v>
      </c>
      <c r="M6" s="1">
        <v>0.74</v>
      </c>
      <c r="N6" s="72">
        <v>0.9517</v>
      </c>
      <c r="O6" s="77">
        <v>97.7</v>
      </c>
    </row>
    <row r="7" customHeight="1" spans="1:15">
      <c r="A7" s="6" t="s">
        <v>67</v>
      </c>
      <c r="B7" s="74">
        <v>0.4256</v>
      </c>
      <c r="C7" s="1">
        <v>0.5824</v>
      </c>
      <c r="D7" s="75" t="s">
        <v>65</v>
      </c>
      <c r="E7" s="62" t="s">
        <v>65</v>
      </c>
      <c r="F7" s="74">
        <v>0.3903</v>
      </c>
      <c r="G7" s="62" t="s">
        <v>65</v>
      </c>
      <c r="H7" s="75">
        <v>0.2833</v>
      </c>
      <c r="I7" s="62">
        <v>0.1797</v>
      </c>
      <c r="J7" s="74">
        <v>0.265</v>
      </c>
      <c r="K7" s="1">
        <v>0.167</v>
      </c>
      <c r="L7" s="74">
        <v>0.3208</v>
      </c>
      <c r="M7" s="1">
        <v>0.202</v>
      </c>
      <c r="N7" s="72">
        <v>0.4892</v>
      </c>
      <c r="O7" s="77" t="s">
        <v>65</v>
      </c>
    </row>
    <row r="8" customHeight="1" spans="1:15">
      <c r="A8" s="6" t="s">
        <v>68</v>
      </c>
      <c r="B8" s="74">
        <v>0.719</v>
      </c>
      <c r="C8" s="1">
        <v>0.7355</v>
      </c>
      <c r="D8" s="75" t="s">
        <v>65</v>
      </c>
      <c r="E8" s="62" t="s">
        <v>65</v>
      </c>
      <c r="F8" s="74">
        <v>0.8777</v>
      </c>
      <c r="G8" s="62" t="s">
        <v>65</v>
      </c>
      <c r="H8" s="75">
        <v>0.6575</v>
      </c>
      <c r="I8" s="62">
        <v>0.7336</v>
      </c>
      <c r="J8" s="74">
        <v>0.8813</v>
      </c>
      <c r="K8" s="1">
        <v>0.6626</v>
      </c>
      <c r="L8" s="74">
        <v>0.742</v>
      </c>
      <c r="M8" s="1">
        <v>0.906</v>
      </c>
      <c r="N8" s="72">
        <v>0.8926</v>
      </c>
      <c r="O8" s="77">
        <v>66.1</v>
      </c>
    </row>
    <row r="9" customHeight="1" spans="4:5">
      <c r="D9" s="73" t="s">
        <v>63</v>
      </c>
      <c r="E9" s="73" t="s">
        <v>69</v>
      </c>
    </row>
    <row r="10" customHeight="1" spans="2:5">
      <c r="B10" s="1" t="s">
        <v>70</v>
      </c>
      <c r="C10" s="62" t="s">
        <v>66</v>
      </c>
      <c r="D10" s="1">
        <v>0.94</v>
      </c>
      <c r="E10" s="1">
        <v>0.8</v>
      </c>
    </row>
    <row r="11" customHeight="1" spans="3:5">
      <c r="C11" s="62" t="s">
        <v>3</v>
      </c>
      <c r="D11" s="1">
        <v>0.83</v>
      </c>
      <c r="E11" s="1">
        <v>0.69</v>
      </c>
    </row>
    <row r="12" customHeight="1" spans="3:5">
      <c r="C12" s="62" t="s">
        <v>67</v>
      </c>
      <c r="D12" s="1">
        <v>0.36</v>
      </c>
      <c r="E12" s="1">
        <v>0.28</v>
      </c>
    </row>
    <row r="13" customHeight="1" spans="3:5">
      <c r="C13" s="62" t="s">
        <v>68</v>
      </c>
      <c r="D13" s="1">
        <v>0.79</v>
      </c>
      <c r="E13" s="1">
        <v>0.75</v>
      </c>
    </row>
  </sheetData>
  <mergeCells count="7">
    <mergeCell ref="A1:L1"/>
    <mergeCell ref="B2:C2"/>
    <mergeCell ref="D2:E2"/>
    <mergeCell ref="F2:G2"/>
    <mergeCell ref="H2:I2"/>
    <mergeCell ref="J2:K2"/>
    <mergeCell ref="L2:M2"/>
  </mergeCell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19"/>
  <sheetViews>
    <sheetView workbookViewId="0">
      <selection activeCell="E5" sqref="E5"/>
    </sheetView>
  </sheetViews>
  <sheetFormatPr defaultColWidth="19.8666666666667" defaultRowHeight="21" customHeight="1" outlineLevelCol="5"/>
  <cols>
    <col min="1" max="1" width="14.7166666666667" customWidth="1"/>
    <col min="2" max="2" width="22.2166666666667" customWidth="1"/>
    <col min="3" max="3" width="23.6083333333333" customWidth="1"/>
    <col min="4" max="4" width="19.8666666666667" customWidth="1"/>
    <col min="5" max="5" width="19.8666666666667" style="63" customWidth="1"/>
    <col min="6" max="16384" width="19.8666666666667" customWidth="1"/>
  </cols>
  <sheetData>
    <row r="1" ht="55" customHeight="1" spans="1:6">
      <c r="A1" s="6" t="s">
        <v>71</v>
      </c>
      <c r="B1" s="64" t="s">
        <v>72</v>
      </c>
      <c r="C1" s="64" t="s">
        <v>73</v>
      </c>
      <c r="D1" s="6" t="s">
        <v>74</v>
      </c>
      <c r="E1" s="66" t="s">
        <v>75</v>
      </c>
      <c r="F1" s="6" t="s">
        <v>76</v>
      </c>
    </row>
    <row r="2" customHeight="1" spans="1:6">
      <c r="A2" t="s">
        <v>77</v>
      </c>
      <c r="B2" s="10" t="s">
        <v>65</v>
      </c>
      <c r="C2">
        <v>22.58</v>
      </c>
      <c r="D2" s="10" t="s">
        <v>65</v>
      </c>
      <c r="E2" s="67" t="s">
        <v>65</v>
      </c>
      <c r="F2">
        <v>1242.77</v>
      </c>
    </row>
    <row r="3" customHeight="1" spans="1:6">
      <c r="A3" t="s">
        <v>78</v>
      </c>
      <c r="B3" s="10" t="s">
        <v>65</v>
      </c>
      <c r="C3">
        <v>21.88</v>
      </c>
      <c r="D3" s="10" t="s">
        <v>65</v>
      </c>
      <c r="E3" s="67" t="s">
        <v>65</v>
      </c>
      <c r="F3">
        <v>1211.05</v>
      </c>
    </row>
    <row r="4" customHeight="1" spans="1:6">
      <c r="A4" t="s">
        <v>79</v>
      </c>
      <c r="B4">
        <v>45.5</v>
      </c>
      <c r="C4">
        <v>41.87</v>
      </c>
      <c r="D4">
        <v>3.04</v>
      </c>
      <c r="E4" s="63">
        <f>1/((B4+C4)/2)/(D4/100)</f>
        <v>0.752998439787233</v>
      </c>
      <c r="F4">
        <v>2975.13</v>
      </c>
    </row>
    <row r="5" customHeight="1" spans="1:6">
      <c r="A5" s="65" t="s">
        <v>80</v>
      </c>
      <c r="B5" s="65">
        <v>50.95</v>
      </c>
      <c r="C5" s="65">
        <v>51.52</v>
      </c>
      <c r="D5" s="65">
        <v>4.48</v>
      </c>
      <c r="E5" s="68">
        <f t="shared" ref="E5:E19" si="0">1/((B5+C5)/2)/(D5/100)</f>
        <v>0.435667582149479</v>
      </c>
      <c r="F5" s="65">
        <v>5897.19</v>
      </c>
    </row>
    <row r="6" customHeight="1" spans="1:6">
      <c r="A6" s="39" t="s">
        <v>81</v>
      </c>
      <c r="B6" s="39">
        <v>14.79</v>
      </c>
      <c r="C6" s="39">
        <v>15.74</v>
      </c>
      <c r="D6" s="39">
        <v>2.86</v>
      </c>
      <c r="E6" s="69">
        <f t="shared" si="0"/>
        <v>2.2905361916171</v>
      </c>
      <c r="F6" s="39">
        <v>1843.61</v>
      </c>
    </row>
    <row r="7" customHeight="1" spans="1:6">
      <c r="A7" s="65" t="s">
        <v>82</v>
      </c>
      <c r="B7" s="65">
        <v>33.29</v>
      </c>
      <c r="C7" s="65">
        <v>32.57</v>
      </c>
      <c r="D7" s="65">
        <v>3.55</v>
      </c>
      <c r="E7" s="68">
        <f t="shared" si="0"/>
        <v>0.855421016838963</v>
      </c>
      <c r="F7" s="65">
        <v>2911.72</v>
      </c>
    </row>
    <row r="8" customHeight="1" spans="1:6">
      <c r="A8" t="s">
        <v>83</v>
      </c>
      <c r="B8">
        <v>19.32</v>
      </c>
      <c r="C8">
        <v>19.46</v>
      </c>
      <c r="D8">
        <v>3.24</v>
      </c>
      <c r="E8" s="63">
        <f t="shared" si="0"/>
        <v>1.59175851113276</v>
      </c>
      <c r="F8">
        <v>2622.88</v>
      </c>
    </row>
    <row r="9" customHeight="1" spans="1:6">
      <c r="A9" t="s">
        <v>84</v>
      </c>
      <c r="B9">
        <v>14.97</v>
      </c>
      <c r="C9">
        <v>14.74</v>
      </c>
      <c r="D9">
        <v>4.08</v>
      </c>
      <c r="E9" s="63">
        <f t="shared" si="0"/>
        <v>1.64993631245834</v>
      </c>
      <c r="F9">
        <v>2447.75</v>
      </c>
    </row>
    <row r="10" customHeight="1" spans="1:6">
      <c r="A10" s="39" t="s">
        <v>85</v>
      </c>
      <c r="B10" s="39">
        <v>13.11</v>
      </c>
      <c r="C10" s="39">
        <v>12.93</v>
      </c>
      <c r="D10" s="39">
        <v>3.59</v>
      </c>
      <c r="E10" s="69">
        <f t="shared" si="0"/>
        <v>2.13941268842877</v>
      </c>
      <c r="F10" s="39">
        <v>2114.03</v>
      </c>
    </row>
    <row r="11" customHeight="1" spans="1:6">
      <c r="A11" t="s">
        <v>86</v>
      </c>
      <c r="B11">
        <v>13.99</v>
      </c>
      <c r="C11">
        <v>12.86</v>
      </c>
      <c r="D11">
        <v>4.05</v>
      </c>
      <c r="E11" s="63">
        <f t="shared" si="0"/>
        <v>1.83920730165299</v>
      </c>
      <c r="F11">
        <v>2139.99</v>
      </c>
    </row>
    <row r="12" customHeight="1" spans="1:6">
      <c r="A12" t="s">
        <v>87</v>
      </c>
      <c r="B12">
        <v>13.51</v>
      </c>
      <c r="C12">
        <v>13.35</v>
      </c>
      <c r="D12">
        <v>4.28</v>
      </c>
      <c r="E12" s="63">
        <f t="shared" si="0"/>
        <v>1.73972345355982</v>
      </c>
      <c r="F12">
        <v>2331.95</v>
      </c>
    </row>
    <row r="13" customHeight="1" spans="1:6">
      <c r="A13" t="s">
        <v>88</v>
      </c>
      <c r="B13">
        <v>18.44</v>
      </c>
      <c r="C13">
        <v>18.21</v>
      </c>
      <c r="D13">
        <v>3.37</v>
      </c>
      <c r="E13" s="63">
        <f t="shared" si="0"/>
        <v>1.61929552548164</v>
      </c>
      <c r="F13">
        <v>3343.34</v>
      </c>
    </row>
    <row r="14" customHeight="1" spans="1:6">
      <c r="A14" s="65" t="s">
        <v>89</v>
      </c>
      <c r="B14" s="65">
        <v>30.45</v>
      </c>
      <c r="C14" s="65">
        <v>29.54</v>
      </c>
      <c r="D14" s="65">
        <v>3.59</v>
      </c>
      <c r="E14" s="68">
        <f t="shared" si="0"/>
        <v>0.928659883425325</v>
      </c>
      <c r="F14" s="65">
        <v>4947.1</v>
      </c>
    </row>
    <row r="15" customHeight="1" spans="1:6">
      <c r="A15" t="s">
        <v>90</v>
      </c>
      <c r="B15">
        <v>19.01</v>
      </c>
      <c r="C15">
        <v>18.72</v>
      </c>
      <c r="D15">
        <v>2.84</v>
      </c>
      <c r="E15" s="63">
        <f t="shared" si="0"/>
        <v>1.86648648850431</v>
      </c>
      <c r="F15">
        <v>2862.89</v>
      </c>
    </row>
    <row r="16" customHeight="1" spans="1:6">
      <c r="A16" t="s">
        <v>91</v>
      </c>
      <c r="B16">
        <v>20.84</v>
      </c>
      <c r="C16">
        <v>20.49</v>
      </c>
      <c r="D16">
        <v>3.83</v>
      </c>
      <c r="E16" s="63">
        <f t="shared" si="0"/>
        <v>1.26347256590431</v>
      </c>
      <c r="F16">
        <v>3416.81</v>
      </c>
    </row>
    <row r="17" customHeight="1" spans="1:6">
      <c r="A17" s="39" t="s">
        <v>92</v>
      </c>
      <c r="B17" s="39">
        <v>13.78</v>
      </c>
      <c r="C17" s="39">
        <v>13.66</v>
      </c>
      <c r="D17" s="39">
        <v>3.35</v>
      </c>
      <c r="E17" s="69">
        <f t="shared" si="0"/>
        <v>2.17571036943562</v>
      </c>
      <c r="F17" s="39">
        <v>2593.74</v>
      </c>
    </row>
    <row r="18" customHeight="1" spans="1:6">
      <c r="A18" t="s">
        <v>93</v>
      </c>
      <c r="B18">
        <v>16.8</v>
      </c>
      <c r="C18">
        <v>16.81</v>
      </c>
      <c r="D18">
        <v>3.29</v>
      </c>
      <c r="E18" s="63">
        <f t="shared" si="0"/>
        <v>1.80869602964091</v>
      </c>
      <c r="F18">
        <v>2929.06</v>
      </c>
    </row>
    <row r="19" customHeight="1" spans="1:6">
      <c r="A19" t="s">
        <v>94</v>
      </c>
      <c r="B19">
        <v>22.38</v>
      </c>
      <c r="C19">
        <v>22.74</v>
      </c>
      <c r="D19">
        <v>3.33</v>
      </c>
      <c r="E19" s="63">
        <f t="shared" si="0"/>
        <v>1.33111835239495</v>
      </c>
      <c r="F19">
        <v>3369.12</v>
      </c>
    </row>
  </sheetData>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W31"/>
  <sheetViews>
    <sheetView topLeftCell="A9" workbookViewId="0">
      <selection activeCell="F14" sqref="F14"/>
    </sheetView>
  </sheetViews>
  <sheetFormatPr defaultColWidth="19.4416666666667" defaultRowHeight="33" customHeight="1"/>
  <cols>
    <col min="1" max="1" width="12.775" customWidth="1"/>
    <col min="2" max="4" width="11.2416666666667" customWidth="1"/>
    <col min="5" max="5" width="17.0833333333333" customWidth="1"/>
    <col min="6" max="6" width="16.8" customWidth="1"/>
    <col min="7" max="7" width="19.4416666666667" customWidth="1"/>
    <col min="8" max="8" width="38.4666666666667" customWidth="1"/>
    <col min="9" max="16383" width="19.4416666666667" customWidth="1"/>
  </cols>
  <sheetData>
    <row r="1" ht="22" customHeight="1" spans="1:8">
      <c r="A1" s="6" t="s">
        <v>71</v>
      </c>
      <c r="B1" s="48" t="s">
        <v>95</v>
      </c>
      <c r="C1" s="48"/>
      <c r="D1" s="48"/>
      <c r="E1" s="50" t="s">
        <v>96</v>
      </c>
      <c r="F1" s="6" t="s">
        <v>97</v>
      </c>
      <c r="G1" s="6"/>
      <c r="H1" s="51"/>
    </row>
    <row r="2" ht="23" customHeight="1" spans="1:8">
      <c r="A2" s="6"/>
      <c r="B2" s="6" t="s">
        <v>98</v>
      </c>
      <c r="C2" s="6" t="s">
        <v>99</v>
      </c>
      <c r="D2" s="6" t="s">
        <v>100</v>
      </c>
      <c r="E2" s="6"/>
      <c r="F2" s="6"/>
      <c r="G2" s="6"/>
      <c r="H2" s="51"/>
    </row>
    <row r="3" ht="31" customHeight="1" spans="1:8">
      <c r="A3" s="10">
        <v>2020.12</v>
      </c>
      <c r="B3" s="10">
        <v>44.9</v>
      </c>
      <c r="C3" s="10">
        <v>33.3</v>
      </c>
      <c r="D3">
        <f t="shared" ref="D3:D8" si="0">B3+C3</f>
        <v>78.2</v>
      </c>
      <c r="E3" s="60">
        <v>1050000</v>
      </c>
      <c r="F3" s="53">
        <f>D3*10000/E3</f>
        <v>0.744761904761905</v>
      </c>
      <c r="G3" s="6"/>
      <c r="H3" s="51"/>
    </row>
    <row r="4" ht="32" customHeight="1" spans="1:8">
      <c r="A4" s="10">
        <v>2020.6</v>
      </c>
      <c r="B4">
        <v>36</v>
      </c>
      <c r="C4">
        <v>25.8</v>
      </c>
      <c r="D4">
        <f t="shared" si="0"/>
        <v>61.8</v>
      </c>
      <c r="E4" s="60">
        <v>1020000</v>
      </c>
      <c r="F4" s="53">
        <f t="shared" ref="F4:F8" si="1">D4*10000/E4</f>
        <v>0.605882352941176</v>
      </c>
      <c r="H4" s="51"/>
    </row>
    <row r="5" customHeight="1" spans="1:23">
      <c r="A5" s="59">
        <v>2019.12</v>
      </c>
      <c r="B5" s="59">
        <v>35.5</v>
      </c>
      <c r="C5" s="59">
        <v>21.8</v>
      </c>
      <c r="D5" s="59">
        <f t="shared" si="0"/>
        <v>57.3</v>
      </c>
      <c r="E5" s="42">
        <v>990865.1</v>
      </c>
      <c r="F5" s="41">
        <f t="shared" si="1"/>
        <v>0.578282553296105</v>
      </c>
      <c r="H5" s="51"/>
      <c r="I5" s="57"/>
      <c r="J5" s="57"/>
      <c r="K5" s="57"/>
      <c r="L5" s="57"/>
      <c r="M5" s="57"/>
      <c r="N5" s="57"/>
      <c r="O5" s="57"/>
      <c r="P5" s="57"/>
      <c r="Q5" s="57"/>
      <c r="R5" s="57"/>
      <c r="S5" s="57"/>
      <c r="T5" s="57"/>
      <c r="U5" s="57"/>
      <c r="V5" s="57"/>
      <c r="W5" s="25"/>
    </row>
    <row r="6" customHeight="1" spans="1:23">
      <c r="A6">
        <v>2019.6</v>
      </c>
      <c r="B6">
        <v>31</v>
      </c>
      <c r="C6">
        <v>20.2</v>
      </c>
      <c r="D6">
        <f t="shared" si="0"/>
        <v>51.2</v>
      </c>
      <c r="E6" s="56">
        <f t="shared" ref="E6:E10" si="2">(E5-E7)/2+E7</f>
        <v>955073.1</v>
      </c>
      <c r="F6" s="53">
        <f t="shared" si="1"/>
        <v>0.536084620119654</v>
      </c>
      <c r="H6" s="51"/>
      <c r="I6" s="58"/>
      <c r="J6" s="58"/>
      <c r="K6" s="58"/>
      <c r="L6" s="58"/>
      <c r="M6" s="58"/>
      <c r="N6" s="58"/>
      <c r="O6" s="58"/>
      <c r="P6" s="58"/>
      <c r="Q6" s="58"/>
      <c r="R6" s="58"/>
      <c r="S6" s="58"/>
      <c r="T6" s="58"/>
      <c r="U6" s="58"/>
      <c r="V6" s="58"/>
      <c r="W6" s="25"/>
    </row>
    <row r="7" customHeight="1" spans="1:8">
      <c r="A7" s="59">
        <v>2018.12</v>
      </c>
      <c r="B7" s="59">
        <v>26.9</v>
      </c>
      <c r="C7" s="59">
        <v>17.9</v>
      </c>
      <c r="D7" s="59">
        <f t="shared" si="0"/>
        <v>44.8</v>
      </c>
      <c r="E7" s="42">
        <v>919281.1</v>
      </c>
      <c r="F7" s="41">
        <f t="shared" si="1"/>
        <v>0.487337333488092</v>
      </c>
      <c r="H7" s="51"/>
    </row>
    <row r="8" customHeight="1" spans="1:8">
      <c r="A8">
        <v>2018.6</v>
      </c>
      <c r="B8">
        <v>33</v>
      </c>
      <c r="C8">
        <v>22</v>
      </c>
      <c r="D8">
        <f t="shared" si="0"/>
        <v>55</v>
      </c>
      <c r="E8" s="56">
        <f t="shared" si="2"/>
        <v>875658.5</v>
      </c>
      <c r="F8" s="53">
        <f t="shared" si="1"/>
        <v>0.62809873940583</v>
      </c>
      <c r="H8" s="51"/>
    </row>
    <row r="9" customHeight="1" spans="1:8">
      <c r="A9" s="59">
        <v>2017.12</v>
      </c>
      <c r="B9" s="59">
        <v>33.1</v>
      </c>
      <c r="C9" s="59">
        <v>23.5</v>
      </c>
      <c r="D9" s="59">
        <f t="shared" ref="D9:D28" si="3">B9+C9</f>
        <v>56.6</v>
      </c>
      <c r="E9" s="42">
        <v>832035.9</v>
      </c>
      <c r="F9" s="41">
        <f t="shared" ref="F9:F12" si="4">D9*10000/E9</f>
        <v>0.680259109012003</v>
      </c>
      <c r="H9" s="51"/>
    </row>
    <row r="10" customHeight="1" spans="1:8">
      <c r="A10">
        <v>2017.6</v>
      </c>
      <c r="B10">
        <v>30.4</v>
      </c>
      <c r="C10">
        <v>21.1</v>
      </c>
      <c r="D10">
        <f t="shared" si="3"/>
        <v>51.5</v>
      </c>
      <c r="E10" s="56">
        <f t="shared" si="2"/>
        <v>789215.5</v>
      </c>
      <c r="F10" s="53">
        <f t="shared" si="4"/>
        <v>0.652546737868174</v>
      </c>
      <c r="H10" s="51"/>
    </row>
    <row r="11" customHeight="1" spans="1:8">
      <c r="A11" s="59">
        <v>2016.12</v>
      </c>
      <c r="B11" s="59">
        <v>28.4</v>
      </c>
      <c r="C11" s="59">
        <v>23.6</v>
      </c>
      <c r="D11" s="59">
        <f t="shared" si="3"/>
        <v>52</v>
      </c>
      <c r="E11" s="42">
        <v>746395.1</v>
      </c>
      <c r="F11" s="41">
        <f t="shared" si="4"/>
        <v>0.696681958389062</v>
      </c>
      <c r="H11" s="51" t="s">
        <v>101</v>
      </c>
    </row>
    <row r="12" customHeight="1" spans="1:6">
      <c r="A12">
        <v>2016.6</v>
      </c>
      <c r="B12">
        <v>24.8</v>
      </c>
      <c r="C12">
        <v>20.1</v>
      </c>
      <c r="D12">
        <f t="shared" si="3"/>
        <v>44.9</v>
      </c>
      <c r="E12" s="56">
        <f t="shared" ref="E12:E16" si="5">(E11-E13)/2+E13</f>
        <v>717626.65</v>
      </c>
      <c r="F12" s="53">
        <f t="shared" si="4"/>
        <v>0.625673530937013</v>
      </c>
    </row>
    <row r="13" customHeight="1" spans="1:8">
      <c r="A13" s="59">
        <v>2015.12</v>
      </c>
      <c r="B13" s="59">
        <v>29.4</v>
      </c>
      <c r="C13" s="59">
        <v>21.8</v>
      </c>
      <c r="D13" s="59">
        <f t="shared" si="3"/>
        <v>51.2</v>
      </c>
      <c r="E13" s="42">
        <v>688858.2</v>
      </c>
      <c r="F13" s="41">
        <f t="shared" ref="F13:F16" si="6">D13*10000/E13</f>
        <v>0.74325891743758</v>
      </c>
      <c r="H13" s="51"/>
    </row>
    <row r="14" customHeight="1" spans="1:8">
      <c r="A14">
        <v>2015.6</v>
      </c>
      <c r="B14">
        <v>37.9</v>
      </c>
      <c r="C14">
        <v>27.9</v>
      </c>
      <c r="D14">
        <f t="shared" si="3"/>
        <v>65.8</v>
      </c>
      <c r="E14" s="56">
        <f t="shared" si="5"/>
        <v>666210.65</v>
      </c>
      <c r="F14" s="53">
        <f t="shared" si="6"/>
        <v>0.987675594798732</v>
      </c>
      <c r="H14" s="61"/>
    </row>
    <row r="15" customHeight="1" spans="1:6">
      <c r="A15" s="59">
        <v>2014.12</v>
      </c>
      <c r="B15" s="59">
        <v>24.3</v>
      </c>
      <c r="C15" s="59">
        <v>12.5</v>
      </c>
      <c r="D15" s="59">
        <f t="shared" si="3"/>
        <v>36.8</v>
      </c>
      <c r="E15" s="42">
        <v>643563.1</v>
      </c>
      <c r="F15" s="41">
        <f t="shared" si="6"/>
        <v>0.571816500977138</v>
      </c>
    </row>
    <row r="16" customHeight="1" spans="1:6">
      <c r="A16">
        <v>2014.6</v>
      </c>
      <c r="B16">
        <v>14.8</v>
      </c>
      <c r="C16">
        <v>9</v>
      </c>
      <c r="D16">
        <f t="shared" si="3"/>
        <v>23.8</v>
      </c>
      <c r="E16" s="56">
        <f t="shared" si="5"/>
        <v>618263.15</v>
      </c>
      <c r="F16" s="53">
        <f t="shared" si="6"/>
        <v>0.384949353685401</v>
      </c>
    </row>
    <row r="17" customHeight="1" spans="1:6">
      <c r="A17" s="59">
        <v>2013.12</v>
      </c>
      <c r="B17" s="59">
        <v>15.1</v>
      </c>
      <c r="C17" s="59">
        <v>8.5</v>
      </c>
      <c r="D17" s="59">
        <f t="shared" si="3"/>
        <v>23.6</v>
      </c>
      <c r="E17" s="42">
        <v>592963.2</v>
      </c>
      <c r="F17" s="41">
        <f t="shared" ref="F17:F20" si="7">D17*10000/E17</f>
        <v>0.39800109011824</v>
      </c>
    </row>
    <row r="18" customHeight="1" spans="1:6">
      <c r="A18">
        <v>2013.6</v>
      </c>
      <c r="B18">
        <v>16.2</v>
      </c>
      <c r="C18">
        <v>8.4</v>
      </c>
      <c r="D18">
        <f t="shared" si="3"/>
        <v>24.6</v>
      </c>
      <c r="E18" s="56">
        <f t="shared" ref="E18:E22" si="8">(E17-E19)/2+E19</f>
        <v>565771.6</v>
      </c>
      <c r="F18" s="53">
        <f t="shared" si="7"/>
        <v>0.434804433449823</v>
      </c>
    </row>
    <row r="19" customHeight="1" spans="1:6">
      <c r="A19" s="59">
        <v>2012.12</v>
      </c>
      <c r="B19" s="59">
        <v>15.8</v>
      </c>
      <c r="C19" s="59">
        <v>5.9</v>
      </c>
      <c r="D19" s="59">
        <f t="shared" si="3"/>
        <v>21.7</v>
      </c>
      <c r="E19" s="42">
        <v>538580</v>
      </c>
      <c r="F19" s="41">
        <f t="shared" si="7"/>
        <v>0.40291135950091</v>
      </c>
    </row>
    <row r="20" customHeight="1" spans="1:6">
      <c r="A20">
        <v>2012.6</v>
      </c>
      <c r="B20">
        <v>15.8</v>
      </c>
      <c r="C20">
        <v>7.6</v>
      </c>
      <c r="D20">
        <f t="shared" si="3"/>
        <v>23.4</v>
      </c>
      <c r="E20" s="56">
        <f t="shared" si="8"/>
        <v>513260.1</v>
      </c>
      <c r="F20" s="53">
        <f t="shared" si="7"/>
        <v>0.45590919691595</v>
      </c>
    </row>
    <row r="21" customHeight="1" spans="1:6">
      <c r="A21" s="59">
        <v>2011.12</v>
      </c>
      <c r="B21" s="59">
        <v>14.8</v>
      </c>
      <c r="C21" s="59">
        <v>7.6</v>
      </c>
      <c r="D21" s="59">
        <f t="shared" si="3"/>
        <v>22.4</v>
      </c>
      <c r="E21" s="42">
        <v>487940.2</v>
      </c>
      <c r="F21" s="41">
        <f t="shared" ref="F21:F24" si="9">D21*10000/E21</f>
        <v>0.459072648656536</v>
      </c>
    </row>
    <row r="22" customHeight="1" spans="1:6">
      <c r="A22">
        <v>2011.6</v>
      </c>
      <c r="B22">
        <v>17.9</v>
      </c>
      <c r="C22">
        <v>7.9</v>
      </c>
      <c r="D22">
        <f t="shared" si="3"/>
        <v>25.8</v>
      </c>
      <c r="E22" s="56">
        <f t="shared" si="8"/>
        <v>450029.75</v>
      </c>
      <c r="F22" s="53">
        <f t="shared" si="9"/>
        <v>0.57329543213532</v>
      </c>
    </row>
    <row r="23" customHeight="1" spans="1:6">
      <c r="A23" s="59">
        <v>2010.12</v>
      </c>
      <c r="B23" s="59">
        <v>17.9</v>
      </c>
      <c r="C23" s="59">
        <v>8.5</v>
      </c>
      <c r="D23" s="59">
        <f t="shared" si="3"/>
        <v>26.4</v>
      </c>
      <c r="E23" s="42">
        <v>412119.3</v>
      </c>
      <c r="F23" s="41">
        <f t="shared" si="9"/>
        <v>0.640591207448911</v>
      </c>
    </row>
    <row r="24" customHeight="1" spans="1:6">
      <c r="A24">
        <v>2010.6</v>
      </c>
      <c r="B24">
        <v>14.8</v>
      </c>
      <c r="C24">
        <v>5.8</v>
      </c>
      <c r="D24">
        <f t="shared" si="3"/>
        <v>20.6</v>
      </c>
      <c r="E24" s="56">
        <f t="shared" ref="E24:E28" si="10">(E23-E25)/2+E25</f>
        <v>380318.5</v>
      </c>
      <c r="F24" s="53">
        <f t="shared" si="9"/>
        <v>0.541651273866509</v>
      </c>
    </row>
    <row r="25" customHeight="1" spans="1:6">
      <c r="A25" s="59">
        <v>2009.12</v>
      </c>
      <c r="B25" s="59">
        <v>18.4</v>
      </c>
      <c r="C25" s="59">
        <v>5.8</v>
      </c>
      <c r="D25" s="59">
        <f t="shared" si="3"/>
        <v>24.2</v>
      </c>
      <c r="E25" s="42">
        <v>348517.7</v>
      </c>
      <c r="F25" s="41">
        <f t="shared" ref="F25:F28" si="11">D25*10000/E25</f>
        <v>0.694369324714355</v>
      </c>
    </row>
    <row r="26" customHeight="1" spans="1:6">
      <c r="A26">
        <v>2009.6</v>
      </c>
      <c r="B26">
        <v>14.6</v>
      </c>
      <c r="C26">
        <v>3.9</v>
      </c>
      <c r="D26">
        <f t="shared" si="3"/>
        <v>18.5</v>
      </c>
      <c r="E26" s="56">
        <f t="shared" si="10"/>
        <v>333881.15</v>
      </c>
      <c r="F26" s="53">
        <f t="shared" si="11"/>
        <v>0.554089381805472</v>
      </c>
    </row>
    <row r="27" customHeight="1" spans="1:6">
      <c r="A27" s="59">
        <v>2008.12</v>
      </c>
      <c r="B27" s="59">
        <v>9.6</v>
      </c>
      <c r="C27" s="59">
        <v>2.4</v>
      </c>
      <c r="D27" s="59">
        <f t="shared" si="3"/>
        <v>12</v>
      </c>
      <c r="E27" s="42">
        <v>319244.6</v>
      </c>
      <c r="F27" s="41">
        <f t="shared" si="11"/>
        <v>0.375887329026082</v>
      </c>
    </row>
    <row r="28" customHeight="1" spans="1:6">
      <c r="A28">
        <v>2008.6</v>
      </c>
      <c r="B28">
        <v>18.2</v>
      </c>
      <c r="C28">
        <v>4.3</v>
      </c>
      <c r="D28">
        <f t="shared" si="3"/>
        <v>22.5</v>
      </c>
      <c r="E28" s="56">
        <f t="shared" si="10"/>
        <v>294668.45</v>
      </c>
      <c r="F28" s="53">
        <f t="shared" si="11"/>
        <v>0.763570039479965</v>
      </c>
    </row>
    <row r="29" customHeight="1" spans="1:6">
      <c r="A29">
        <v>2007.12</v>
      </c>
      <c r="B29">
        <v>26.9</v>
      </c>
      <c r="C29" s="10" t="s">
        <v>65</v>
      </c>
      <c r="D29" s="10" t="s">
        <v>65</v>
      </c>
      <c r="E29" s="56">
        <v>270092.3</v>
      </c>
      <c r="F29" s="62" t="s">
        <v>65</v>
      </c>
    </row>
    <row r="30" customHeight="1" spans="1:6">
      <c r="A30">
        <v>2006.12</v>
      </c>
      <c r="B30">
        <v>7.1</v>
      </c>
      <c r="C30" s="10" t="s">
        <v>65</v>
      </c>
      <c r="D30" s="10" t="s">
        <v>65</v>
      </c>
      <c r="E30" s="56">
        <v>219438.5</v>
      </c>
      <c r="F30" s="62" t="s">
        <v>65</v>
      </c>
    </row>
    <row r="31" customHeight="1" spans="1:6">
      <c r="A31">
        <v>2005</v>
      </c>
      <c r="B31">
        <v>2.2</v>
      </c>
      <c r="C31" s="10" t="s">
        <v>65</v>
      </c>
      <c r="D31" s="10" t="s">
        <v>65</v>
      </c>
      <c r="E31" s="56">
        <v>187318.9</v>
      </c>
      <c r="F31" s="62" t="s">
        <v>65</v>
      </c>
    </row>
  </sheetData>
  <mergeCells count="5">
    <mergeCell ref="B1:D1"/>
    <mergeCell ref="A1:A2"/>
    <mergeCell ref="E1:E2"/>
    <mergeCell ref="F1:F2"/>
    <mergeCell ref="G1:G2"/>
  </mergeCells>
  <pageMargins left="0.75" right="0.75" top="1" bottom="1" header="0.511805555555556" footer="0.511805555555556"/>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V52"/>
  <sheetViews>
    <sheetView topLeftCell="A4" workbookViewId="0">
      <selection activeCell="F3" sqref="F3"/>
    </sheetView>
  </sheetViews>
  <sheetFormatPr defaultColWidth="19.4416666666667" defaultRowHeight="18" customHeight="1"/>
  <cols>
    <col min="1" max="1" width="12.775" customWidth="1"/>
    <col min="2" max="4" width="11.2416666666667" customWidth="1"/>
    <col min="5" max="5" width="13.4666666666667" customWidth="1"/>
    <col min="6" max="6" width="16.8" customWidth="1"/>
    <col min="7" max="7" width="19.4416666666667" customWidth="1"/>
    <col min="8" max="8" width="38.4666666666667" customWidth="1"/>
    <col min="9" max="16383" width="19.4416666666667" customWidth="1"/>
  </cols>
  <sheetData>
    <row r="1" ht="22" customHeight="1" spans="1:8">
      <c r="A1" s="6" t="s">
        <v>71</v>
      </c>
      <c r="B1" s="48" t="s">
        <v>95</v>
      </c>
      <c r="C1" s="48"/>
      <c r="D1" s="48"/>
      <c r="E1" s="50" t="s">
        <v>102</v>
      </c>
      <c r="F1" s="6" t="s">
        <v>97</v>
      </c>
      <c r="G1" s="6"/>
      <c r="H1" s="51"/>
    </row>
    <row r="2" ht="24" customHeight="1" spans="1:8">
      <c r="A2" s="6"/>
      <c r="B2" s="6" t="s">
        <v>98</v>
      </c>
      <c r="C2" s="6" t="s">
        <v>99</v>
      </c>
      <c r="D2" s="6" t="s">
        <v>100</v>
      </c>
      <c r="E2" s="6"/>
      <c r="F2" s="6"/>
      <c r="G2" s="6"/>
      <c r="H2" s="51"/>
    </row>
    <row r="3" customHeight="1" spans="1:8">
      <c r="A3" s="49" t="s">
        <v>103</v>
      </c>
      <c r="B3" s="10">
        <v>44.9</v>
      </c>
      <c r="C3" s="10">
        <v>33.3</v>
      </c>
      <c r="D3">
        <f t="shared" ref="D3:D28" si="0">B3+C3</f>
        <v>78.2</v>
      </c>
      <c r="E3" s="52">
        <v>214.97</v>
      </c>
      <c r="F3" s="53">
        <f>D3/E3</f>
        <v>0.363771689072894</v>
      </c>
      <c r="G3" s="6"/>
      <c r="H3" s="51"/>
    </row>
    <row r="4" customHeight="1" spans="1:8">
      <c r="A4" s="10">
        <v>2020.6</v>
      </c>
      <c r="B4">
        <v>36</v>
      </c>
      <c r="C4">
        <v>25.8</v>
      </c>
      <c r="D4">
        <f t="shared" si="0"/>
        <v>61.8</v>
      </c>
      <c r="E4" s="52">
        <v>213.494866071471</v>
      </c>
      <c r="F4" s="53">
        <f t="shared" ref="F4:F31" si="1">D4/E4</f>
        <v>0.289468319014807</v>
      </c>
      <c r="H4" s="51"/>
    </row>
    <row r="5" s="25" customFormat="1" customHeight="1" spans="1:22">
      <c r="A5" s="25">
        <v>2019.12</v>
      </c>
      <c r="B5" s="25">
        <v>35.5</v>
      </c>
      <c r="C5" s="25">
        <v>21.8</v>
      </c>
      <c r="D5" s="25">
        <f t="shared" si="0"/>
        <v>57.3</v>
      </c>
      <c r="E5" s="52">
        <v>198.648882</v>
      </c>
      <c r="F5" s="53">
        <f t="shared" si="1"/>
        <v>0.288448640752984</v>
      </c>
      <c r="H5" s="54"/>
      <c r="I5" s="57"/>
      <c r="J5" s="57"/>
      <c r="K5" s="57"/>
      <c r="L5" s="57"/>
      <c r="M5" s="57"/>
      <c r="N5" s="57"/>
      <c r="O5" s="57"/>
      <c r="P5" s="57"/>
      <c r="Q5" s="57"/>
      <c r="R5" s="57"/>
      <c r="S5" s="57"/>
      <c r="T5" s="57"/>
      <c r="U5" s="57"/>
      <c r="V5" s="57"/>
    </row>
    <row r="6" s="25" customFormat="1" customHeight="1" spans="1:22">
      <c r="A6" s="25">
        <v>2019.6</v>
      </c>
      <c r="B6" s="25">
        <v>31</v>
      </c>
      <c r="C6" s="25">
        <v>20.2</v>
      </c>
      <c r="D6" s="25">
        <f t="shared" si="0"/>
        <v>51.2</v>
      </c>
      <c r="E6" s="52">
        <v>192.136019033428</v>
      </c>
      <c r="F6" s="53">
        <f t="shared" si="1"/>
        <v>0.266477885081465</v>
      </c>
      <c r="H6" s="54"/>
      <c r="I6" s="58"/>
      <c r="J6" s="58"/>
      <c r="K6" s="58"/>
      <c r="L6" s="58"/>
      <c r="M6" s="58"/>
      <c r="N6" s="58"/>
      <c r="O6" s="58"/>
      <c r="P6" s="58"/>
      <c r="Q6" s="58"/>
      <c r="R6" s="58"/>
      <c r="S6" s="58"/>
      <c r="T6" s="58"/>
      <c r="U6" s="58"/>
      <c r="V6" s="58"/>
    </row>
    <row r="7" s="25" customFormat="1" customHeight="1" spans="1:8">
      <c r="A7" s="25">
        <v>2018.12</v>
      </c>
      <c r="B7" s="25">
        <v>26.9</v>
      </c>
      <c r="C7" s="25">
        <v>17.9</v>
      </c>
      <c r="D7" s="25">
        <f t="shared" si="0"/>
        <v>44.8</v>
      </c>
      <c r="E7" s="52">
        <v>182.674422</v>
      </c>
      <c r="F7" s="53">
        <f t="shared" si="1"/>
        <v>0.245245062278068</v>
      </c>
      <c r="H7" s="54"/>
    </row>
    <row r="8" s="25" customFormat="1" customHeight="1" spans="1:8">
      <c r="A8" s="25">
        <v>2018.6</v>
      </c>
      <c r="B8" s="25">
        <v>33</v>
      </c>
      <c r="C8" s="25">
        <v>22</v>
      </c>
      <c r="D8" s="25">
        <f t="shared" si="0"/>
        <v>55</v>
      </c>
      <c r="E8" s="52">
        <v>177.01783728</v>
      </c>
      <c r="F8" s="53">
        <f t="shared" si="1"/>
        <v>0.31070315198238</v>
      </c>
      <c r="H8" s="54"/>
    </row>
    <row r="9" s="25" customFormat="1" customHeight="1" spans="1:8">
      <c r="A9" s="25">
        <v>2017.12</v>
      </c>
      <c r="B9" s="25">
        <v>33.1</v>
      </c>
      <c r="C9" s="25">
        <v>23.5</v>
      </c>
      <c r="D9" s="25">
        <f t="shared" si="0"/>
        <v>56.6</v>
      </c>
      <c r="E9" s="52">
        <v>167.676854</v>
      </c>
      <c r="F9" s="53">
        <f t="shared" si="1"/>
        <v>0.337554043088141</v>
      </c>
      <c r="H9" s="54"/>
    </row>
    <row r="10" s="25" customFormat="1" customHeight="1" spans="1:8">
      <c r="A10" s="25">
        <v>2017.6</v>
      </c>
      <c r="B10" s="25">
        <v>30.4</v>
      </c>
      <c r="C10" s="25">
        <v>21.1</v>
      </c>
      <c r="D10" s="25">
        <f t="shared" si="0"/>
        <v>51.5</v>
      </c>
      <c r="E10" s="52">
        <v>163.128253</v>
      </c>
      <c r="F10" s="53">
        <f t="shared" si="1"/>
        <v>0.315702516595945</v>
      </c>
      <c r="H10" s="54"/>
    </row>
    <row r="11" s="25" customFormat="1" customHeight="1" spans="1:8">
      <c r="A11" s="25">
        <v>2016.12</v>
      </c>
      <c r="B11" s="25">
        <v>28.4</v>
      </c>
      <c r="C11" s="25">
        <v>23.6</v>
      </c>
      <c r="D11" s="25">
        <f t="shared" si="0"/>
        <v>52</v>
      </c>
      <c r="E11" s="52">
        <v>155.006666781086</v>
      </c>
      <c r="F11" s="53">
        <f t="shared" si="1"/>
        <v>0.335469441926901</v>
      </c>
      <c r="H11" s="54"/>
    </row>
    <row r="12" s="25" customFormat="1" customHeight="1" spans="1:8">
      <c r="A12" s="25">
        <v>2016.6</v>
      </c>
      <c r="B12" s="25">
        <v>24.8</v>
      </c>
      <c r="C12" s="25">
        <v>20.1</v>
      </c>
      <c r="D12" s="25">
        <f t="shared" si="0"/>
        <v>44.9</v>
      </c>
      <c r="E12" s="52">
        <v>149.049183</v>
      </c>
      <c r="F12" s="53">
        <f t="shared" si="1"/>
        <v>0.301242845457261</v>
      </c>
      <c r="H12" s="54"/>
    </row>
    <row r="13" s="25" customFormat="1" customHeight="1" spans="1:8">
      <c r="A13" s="25">
        <v>2015.12</v>
      </c>
      <c r="B13" s="25">
        <v>29.4</v>
      </c>
      <c r="C13" s="25">
        <v>21.8</v>
      </c>
      <c r="D13" s="25">
        <f t="shared" si="0"/>
        <v>51.2</v>
      </c>
      <c r="E13" s="52">
        <v>139.227810919881</v>
      </c>
      <c r="F13" s="53">
        <f t="shared" si="1"/>
        <v>0.367742620254679</v>
      </c>
      <c r="H13" s="54"/>
    </row>
    <row r="14" s="25" customFormat="1" customHeight="1" spans="1:8">
      <c r="A14" s="25">
        <v>2015.6</v>
      </c>
      <c r="B14" s="25">
        <v>37.9</v>
      </c>
      <c r="C14" s="25">
        <v>27.9</v>
      </c>
      <c r="D14" s="25">
        <f t="shared" si="0"/>
        <v>65.8</v>
      </c>
      <c r="E14" s="52">
        <v>133.337536453852</v>
      </c>
      <c r="F14" s="53">
        <f t="shared" si="1"/>
        <v>0.493484443690568</v>
      </c>
      <c r="H14" s="55"/>
    </row>
    <row r="15" s="25" customFormat="1" customHeight="1" spans="1:8">
      <c r="A15" s="25">
        <v>2014.12</v>
      </c>
      <c r="B15" s="25">
        <v>24.3</v>
      </c>
      <c r="C15" s="25">
        <v>12.5</v>
      </c>
      <c r="D15" s="25">
        <f t="shared" si="0"/>
        <v>36.8</v>
      </c>
      <c r="E15" s="52">
        <v>122.837480654445</v>
      </c>
      <c r="F15" s="53">
        <f t="shared" si="1"/>
        <v>0.299582829311864</v>
      </c>
      <c r="H15" s="25" t="s">
        <v>104</v>
      </c>
    </row>
    <row r="16" s="25" customFormat="1" customHeight="1" spans="1:6">
      <c r="A16" s="25">
        <v>2014.6</v>
      </c>
      <c r="B16" s="25">
        <v>14.8</v>
      </c>
      <c r="C16" s="25">
        <v>9</v>
      </c>
      <c r="D16" s="25">
        <f t="shared" si="0"/>
        <v>23.8</v>
      </c>
      <c r="E16" s="52">
        <v>120.95872</v>
      </c>
      <c r="F16" s="53">
        <f t="shared" si="1"/>
        <v>0.196761341389856</v>
      </c>
    </row>
    <row r="17" s="25" customFormat="1" customHeight="1" spans="1:6">
      <c r="A17" s="25">
        <v>2013.12</v>
      </c>
      <c r="B17" s="25">
        <v>15.1</v>
      </c>
      <c r="C17" s="25">
        <v>8.5</v>
      </c>
      <c r="D17" s="25">
        <f t="shared" si="0"/>
        <v>23.6</v>
      </c>
      <c r="E17" s="52">
        <v>110.652498</v>
      </c>
      <c r="F17" s="53">
        <f t="shared" si="1"/>
        <v>0.213280318353048</v>
      </c>
    </row>
    <row r="18" s="25" customFormat="1" customHeight="1" spans="1:6">
      <c r="A18" s="25">
        <v>2013.6</v>
      </c>
      <c r="B18" s="25">
        <v>16.2</v>
      </c>
      <c r="C18" s="25">
        <v>8.4</v>
      </c>
      <c r="D18" s="25">
        <f t="shared" si="0"/>
        <v>24.6</v>
      </c>
      <c r="E18" s="52">
        <v>105.440369</v>
      </c>
      <c r="F18" s="53">
        <f t="shared" si="1"/>
        <v>0.233307226001836</v>
      </c>
    </row>
    <row r="19" s="25" customFormat="1" customHeight="1" spans="1:6">
      <c r="A19" s="25">
        <v>2012.12</v>
      </c>
      <c r="B19" s="25">
        <v>15.8</v>
      </c>
      <c r="C19" s="25">
        <v>5.9</v>
      </c>
      <c r="D19" s="25">
        <f t="shared" si="0"/>
        <v>21.7</v>
      </c>
      <c r="E19" s="52">
        <v>97.415946</v>
      </c>
      <c r="F19" s="53">
        <f t="shared" si="1"/>
        <v>0.222756138917955</v>
      </c>
    </row>
    <row r="20" s="25" customFormat="1" customHeight="1" spans="1:6">
      <c r="A20" s="25">
        <v>2012.6</v>
      </c>
      <c r="B20" s="25">
        <v>15.8</v>
      </c>
      <c r="C20" s="25">
        <v>7.6</v>
      </c>
      <c r="D20" s="25">
        <f t="shared" si="0"/>
        <v>23.4</v>
      </c>
      <c r="E20" s="52">
        <v>92.49912</v>
      </c>
      <c r="F20" s="53">
        <f t="shared" si="1"/>
        <v>0.252975379657666</v>
      </c>
    </row>
    <row r="21" s="25" customFormat="1" customHeight="1" spans="1:6">
      <c r="A21" s="25">
        <v>2011.12</v>
      </c>
      <c r="B21" s="25">
        <v>14.8</v>
      </c>
      <c r="C21" s="25">
        <v>7.6</v>
      </c>
      <c r="D21" s="25">
        <f t="shared" si="0"/>
        <v>22.4</v>
      </c>
      <c r="E21" s="52">
        <v>85.15909</v>
      </c>
      <c r="F21" s="53">
        <f t="shared" si="1"/>
        <v>0.263037099151717</v>
      </c>
    </row>
    <row r="22" s="25" customFormat="1" customHeight="1" spans="1:6">
      <c r="A22" s="25">
        <v>2011.6</v>
      </c>
      <c r="B22" s="25">
        <v>17.9</v>
      </c>
      <c r="C22" s="25">
        <v>7.9</v>
      </c>
      <c r="D22" s="25">
        <f t="shared" si="0"/>
        <v>25.8</v>
      </c>
      <c r="E22" s="52">
        <v>78.082085</v>
      </c>
      <c r="F22" s="53">
        <f t="shared" si="1"/>
        <v>0.330421504497478</v>
      </c>
    </row>
    <row r="23" s="25" customFormat="1" customHeight="1" spans="1:6">
      <c r="A23" s="25">
        <v>2010.12</v>
      </c>
      <c r="B23" s="25">
        <v>17.9</v>
      </c>
      <c r="C23" s="25">
        <v>8.5</v>
      </c>
      <c r="D23" s="25">
        <f t="shared" si="0"/>
        <v>26.4</v>
      </c>
      <c r="E23" s="52">
        <v>72.585179</v>
      </c>
      <c r="F23" s="53">
        <f t="shared" si="1"/>
        <v>0.363710613705313</v>
      </c>
    </row>
    <row r="24" s="25" customFormat="1" customHeight="1" spans="1:6">
      <c r="A24" s="25">
        <v>2010.6</v>
      </c>
      <c r="B24" s="25">
        <v>14.8</v>
      </c>
      <c r="C24" s="25">
        <v>5.8</v>
      </c>
      <c r="D24" s="25">
        <f t="shared" si="0"/>
        <v>20.6</v>
      </c>
      <c r="E24" s="52">
        <v>67.392172</v>
      </c>
      <c r="F24" s="53">
        <f t="shared" si="1"/>
        <v>0.305673483858036</v>
      </c>
    </row>
    <row r="25" s="25" customFormat="1" customHeight="1" spans="1:6">
      <c r="A25" s="25">
        <v>2009.12</v>
      </c>
      <c r="B25" s="25">
        <v>18.4</v>
      </c>
      <c r="C25" s="25">
        <v>5.8</v>
      </c>
      <c r="D25" s="25">
        <f t="shared" si="0"/>
        <v>24.2</v>
      </c>
      <c r="E25" s="52">
        <v>61.022452</v>
      </c>
      <c r="F25" s="53">
        <f t="shared" si="1"/>
        <v>0.396575345743236</v>
      </c>
    </row>
    <row r="26" s="25" customFormat="1" customHeight="1" spans="1:6">
      <c r="A26" s="25">
        <v>2009.6</v>
      </c>
      <c r="B26" s="25">
        <v>14.6</v>
      </c>
      <c r="C26" s="25">
        <v>3.9</v>
      </c>
      <c r="D26" s="25">
        <f t="shared" si="0"/>
        <v>18.5</v>
      </c>
      <c r="E26" s="52">
        <v>56.8916199999999</v>
      </c>
      <c r="F26" s="53">
        <f t="shared" si="1"/>
        <v>0.32517970133387</v>
      </c>
    </row>
    <row r="27" s="25" customFormat="1" customHeight="1" spans="1:6">
      <c r="A27" s="25">
        <v>2008.12</v>
      </c>
      <c r="B27" s="25">
        <v>9.6</v>
      </c>
      <c r="C27" s="25">
        <v>2.4</v>
      </c>
      <c r="D27" s="25">
        <f t="shared" si="0"/>
        <v>12</v>
      </c>
      <c r="E27" s="52">
        <v>47.51666</v>
      </c>
      <c r="F27" s="53">
        <f t="shared" si="1"/>
        <v>0.252543002812066</v>
      </c>
    </row>
    <row r="28" customHeight="1" spans="1:6">
      <c r="A28">
        <v>2008.6</v>
      </c>
      <c r="B28">
        <v>18.2</v>
      </c>
      <c r="C28">
        <v>4.3</v>
      </c>
      <c r="D28">
        <f t="shared" si="0"/>
        <v>22.5</v>
      </c>
      <c r="E28" s="52">
        <v>44.314102</v>
      </c>
      <c r="F28" s="53">
        <f t="shared" si="1"/>
        <v>0.50773904884725</v>
      </c>
    </row>
    <row r="29" customHeight="1" spans="1:6">
      <c r="A29">
        <v>2007.12</v>
      </c>
      <c r="B29">
        <v>26.9</v>
      </c>
      <c r="C29" s="10" t="s">
        <v>65</v>
      </c>
      <c r="D29" s="10" t="s">
        <v>65</v>
      </c>
      <c r="E29" s="56"/>
      <c r="F29" s="53" t="e">
        <f t="shared" si="1"/>
        <v>#VALUE!</v>
      </c>
    </row>
    <row r="30" customHeight="1" spans="1:6">
      <c r="A30">
        <v>2006.12</v>
      </c>
      <c r="B30">
        <v>7.1</v>
      </c>
      <c r="C30" s="10" t="s">
        <v>65</v>
      </c>
      <c r="D30" s="10" t="s">
        <v>65</v>
      </c>
      <c r="E30" s="56"/>
      <c r="F30" s="53" t="e">
        <f t="shared" si="1"/>
        <v>#VALUE!</v>
      </c>
    </row>
    <row r="31" customHeight="1" spans="1:6">
      <c r="A31">
        <v>2005</v>
      </c>
      <c r="B31">
        <v>2.2</v>
      </c>
      <c r="C31" s="10" t="s">
        <v>65</v>
      </c>
      <c r="D31" s="10" t="s">
        <v>65</v>
      </c>
      <c r="E31" s="56"/>
      <c r="F31" s="53" t="e">
        <f t="shared" si="1"/>
        <v>#VALUE!</v>
      </c>
    </row>
    <row r="52" customHeight="1" spans="5:5">
      <c r="E52" s="110" t="s">
        <v>105</v>
      </c>
    </row>
  </sheetData>
  <mergeCells count="5">
    <mergeCell ref="B1:D1"/>
    <mergeCell ref="A1:A2"/>
    <mergeCell ref="E1:E2"/>
    <mergeCell ref="F1:F2"/>
    <mergeCell ref="G1:G2"/>
  </mergeCells>
  <pageMargins left="0.75" right="0.75" top="1" bottom="1" header="0.511805555555556" footer="0.511805555555556"/>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C106"/>
  <sheetViews>
    <sheetView topLeftCell="A106" workbookViewId="0">
      <selection activeCell="M72" sqref="M72"/>
    </sheetView>
  </sheetViews>
  <sheetFormatPr defaultColWidth="9.06666666666667" defaultRowHeight="13.2" outlineLevelCol="2"/>
  <sheetData>
    <row r="106" spans="3:3">
      <c r="C106" s="47"/>
    </row>
  </sheetData>
  <pageMargins left="0.75" right="0.75" top="1" bottom="1" header="0.511805555555556" footer="0.511805555555556"/>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N17"/>
  <sheetViews>
    <sheetView workbookViewId="0">
      <selection activeCell="H10" sqref="H10"/>
    </sheetView>
  </sheetViews>
  <sheetFormatPr defaultColWidth="9.06666666666667" defaultRowHeight="25" customHeight="1"/>
  <cols>
    <col min="1" max="2" width="14.4416666666667" customWidth="1"/>
    <col min="3" max="3" width="6.94166666666667" customWidth="1"/>
    <col min="4" max="5" width="14.4416666666667" customWidth="1"/>
    <col min="6" max="6" width="5.83333333333333" customWidth="1"/>
    <col min="7" max="8" width="14.4416666666667" customWidth="1"/>
    <col min="9" max="9" width="6.525" customWidth="1"/>
    <col min="10" max="11" width="14.4416666666667" customWidth="1"/>
    <col min="12" max="12" width="6.66666666666667" customWidth="1"/>
    <col min="13" max="13" width="14.025" customWidth="1"/>
    <col min="14" max="14" width="15.6916666666667" customWidth="1"/>
  </cols>
  <sheetData>
    <row r="1" customHeight="1" spans="1:1">
      <c r="A1" s="23" t="s">
        <v>106</v>
      </c>
    </row>
    <row r="2" customHeight="1" spans="1:11">
      <c r="A2" s="24" t="s">
        <v>107</v>
      </c>
      <c r="B2" s="24"/>
      <c r="C2" s="25"/>
      <c r="D2" s="24" t="s">
        <v>108</v>
      </c>
      <c r="E2" s="24"/>
      <c r="F2" s="25"/>
      <c r="G2" s="24" t="s">
        <v>109</v>
      </c>
      <c r="H2" s="24"/>
      <c r="I2" s="25"/>
      <c r="J2" s="24" t="s">
        <v>110</v>
      </c>
      <c r="K2" s="24"/>
    </row>
    <row r="3" customHeight="1" spans="1:11">
      <c r="A3" s="10" t="s">
        <v>111</v>
      </c>
      <c r="B3" s="26">
        <v>150000</v>
      </c>
      <c r="D3" s="10" t="s">
        <v>111</v>
      </c>
      <c r="E3" s="39">
        <v>20000</v>
      </c>
      <c r="G3" s="10" t="s">
        <v>112</v>
      </c>
      <c r="H3" s="40">
        <v>0.13</v>
      </c>
      <c r="J3" s="10" t="s">
        <v>113</v>
      </c>
      <c r="K3" s="40">
        <v>0.012</v>
      </c>
    </row>
    <row r="4" customHeight="1" spans="1:11">
      <c r="A4" s="10" t="s">
        <v>112</v>
      </c>
      <c r="B4" s="27">
        <v>0.1</v>
      </c>
      <c r="D4" s="10" t="s">
        <v>114</v>
      </c>
      <c r="E4" s="39">
        <v>6</v>
      </c>
      <c r="G4" s="10" t="s">
        <v>114</v>
      </c>
      <c r="H4" s="39">
        <v>10</v>
      </c>
      <c r="J4" s="10" t="s">
        <v>115</v>
      </c>
      <c r="K4" s="41">
        <f>(1+K3)^12-1</f>
        <v>0.153894624182586</v>
      </c>
    </row>
    <row r="5" customHeight="1" spans="1:11">
      <c r="A5" s="10" t="s">
        <v>114</v>
      </c>
      <c r="B5" s="26">
        <v>30</v>
      </c>
      <c r="D5" s="10" t="s">
        <v>116</v>
      </c>
      <c r="E5" s="39">
        <v>50000</v>
      </c>
      <c r="G5" s="10" t="s">
        <v>116</v>
      </c>
      <c r="H5" s="39">
        <v>1000000</v>
      </c>
      <c r="J5" s="10" t="s">
        <v>112</v>
      </c>
      <c r="K5" s="40">
        <v>0.15</v>
      </c>
    </row>
    <row r="6" customHeight="1" spans="1:11">
      <c r="A6" s="10" t="s">
        <v>116</v>
      </c>
      <c r="B6" s="28">
        <f>(1+B4)^B5*B3</f>
        <v>2617410.34033297</v>
      </c>
      <c r="D6" s="10" t="s">
        <v>112</v>
      </c>
      <c r="E6" s="41">
        <f>(1+(E5-E3)/E3)^(1/E4)-1</f>
        <v>0.164993050750713</v>
      </c>
      <c r="G6" s="10" t="s">
        <v>111</v>
      </c>
      <c r="H6" s="28">
        <f>H5/((1+H3)^H4)</f>
        <v>294588.348126125</v>
      </c>
      <c r="J6" s="10" t="s">
        <v>117</v>
      </c>
      <c r="K6" s="41">
        <f>(1+K5)^(1/12)-1</f>
        <v>0.0117149169198534</v>
      </c>
    </row>
    <row r="7" customHeight="1" spans="1:11">
      <c r="A7" s="10"/>
      <c r="B7" s="29"/>
      <c r="D7" s="10"/>
      <c r="E7" s="41"/>
      <c r="G7" s="10"/>
      <c r="H7" s="42"/>
      <c r="J7" s="10"/>
      <c r="K7" s="41"/>
    </row>
    <row r="8" customHeight="1" spans="7:8">
      <c r="G8" s="6"/>
      <c r="H8" s="25"/>
    </row>
    <row r="9" customHeight="1" spans="1:14">
      <c r="A9" s="24" t="s">
        <v>118</v>
      </c>
      <c r="B9" s="24"/>
      <c r="C9" s="30"/>
      <c r="D9" s="24" t="s">
        <v>119</v>
      </c>
      <c r="E9" s="24"/>
      <c r="G9" s="24" t="s">
        <v>120</v>
      </c>
      <c r="H9" s="24"/>
      <c r="J9" s="24" t="s">
        <v>121</v>
      </c>
      <c r="K9" s="24"/>
      <c r="M9" s="24" t="s">
        <v>122</v>
      </c>
      <c r="N9" s="24"/>
    </row>
    <row r="10" customHeight="1" spans="1:14">
      <c r="A10" s="31" t="s">
        <v>111</v>
      </c>
      <c r="B10" s="32">
        <v>50000</v>
      </c>
      <c r="C10" s="33"/>
      <c r="D10" s="31" t="s">
        <v>111</v>
      </c>
      <c r="E10" s="32">
        <v>30000</v>
      </c>
      <c r="G10" s="31" t="s">
        <v>111</v>
      </c>
      <c r="H10" s="32">
        <v>1000000</v>
      </c>
      <c r="J10" s="31" t="s">
        <v>10</v>
      </c>
      <c r="K10" s="34">
        <v>0.06</v>
      </c>
      <c r="M10" s="31" t="s">
        <v>111</v>
      </c>
      <c r="N10" s="32">
        <v>1500000</v>
      </c>
    </row>
    <row r="11" customHeight="1" spans="1:14">
      <c r="A11" s="31" t="s">
        <v>10</v>
      </c>
      <c r="B11" s="34">
        <v>0.08</v>
      </c>
      <c r="C11" s="35"/>
      <c r="D11" s="36" t="s">
        <v>123</v>
      </c>
      <c r="E11" s="43">
        <v>600000</v>
      </c>
      <c r="G11" s="31" t="s">
        <v>10</v>
      </c>
      <c r="H11" s="34">
        <v>0.12</v>
      </c>
      <c r="J11" s="36" t="s">
        <v>123</v>
      </c>
      <c r="K11" s="43">
        <v>1000000</v>
      </c>
      <c r="M11" s="31" t="s">
        <v>10</v>
      </c>
      <c r="N11" s="34">
        <v>0.13</v>
      </c>
    </row>
    <row r="12" customHeight="1" spans="1:14">
      <c r="A12" s="36" t="s">
        <v>123</v>
      </c>
      <c r="B12" s="32">
        <v>300000</v>
      </c>
      <c r="C12" s="33"/>
      <c r="D12" s="31" t="s">
        <v>124</v>
      </c>
      <c r="E12" s="32">
        <v>20</v>
      </c>
      <c r="G12" s="36" t="s">
        <v>123</v>
      </c>
      <c r="H12" s="32">
        <v>10000000</v>
      </c>
      <c r="J12" s="36" t="s">
        <v>125</v>
      </c>
      <c r="K12" s="32">
        <v>24000</v>
      </c>
      <c r="M12" s="36" t="s">
        <v>125</v>
      </c>
      <c r="N12" s="32">
        <v>120000</v>
      </c>
    </row>
    <row r="13" customHeight="1" spans="1:14">
      <c r="A13" s="31" t="s">
        <v>124</v>
      </c>
      <c r="B13" s="32">
        <v>10</v>
      </c>
      <c r="C13" s="33"/>
      <c r="D13" s="31" t="s">
        <v>125</v>
      </c>
      <c r="E13" s="32">
        <v>10000</v>
      </c>
      <c r="G13" s="31" t="s">
        <v>125</v>
      </c>
      <c r="H13" s="32">
        <v>0</v>
      </c>
      <c r="J13" s="31" t="s">
        <v>124</v>
      </c>
      <c r="K13" s="32">
        <v>20</v>
      </c>
      <c r="M13" s="31" t="s">
        <v>124</v>
      </c>
      <c r="N13" s="32">
        <v>20</v>
      </c>
    </row>
    <row r="14" customHeight="1" spans="1:14">
      <c r="A14" s="36" t="s">
        <v>126</v>
      </c>
      <c r="B14" s="28">
        <f>-PMT(B11,B13,-B10,B12,0)</f>
        <v>13257.3721742688</v>
      </c>
      <c r="C14" s="37"/>
      <c r="D14" s="36" t="s">
        <v>10</v>
      </c>
      <c r="E14" s="44">
        <f>RATE(E12,-E13,-E10,E11,0)</f>
        <v>0.0803323960952412</v>
      </c>
      <c r="G14" s="36" t="s">
        <v>120</v>
      </c>
      <c r="H14" s="45">
        <f>NPER(H11,-H13,-H10,H12,0)</f>
        <v>20.3177605630598</v>
      </c>
      <c r="J14" s="36" t="s">
        <v>111</v>
      </c>
      <c r="K14" s="46">
        <f>-PV(K10,K13,-K12,K11,0)</f>
        <v>36526.617640518</v>
      </c>
      <c r="M14" s="36" t="s">
        <v>127</v>
      </c>
      <c r="N14" s="28">
        <f>FV(N11,N13,-N12,-N10,0)</f>
        <v>26998251.1222143</v>
      </c>
    </row>
    <row r="15" customHeight="1" spans="1:14">
      <c r="A15" s="31" t="s">
        <v>128</v>
      </c>
      <c r="B15" s="28">
        <f>B14/12</f>
        <v>1104.7810145224</v>
      </c>
      <c r="C15" s="37"/>
      <c r="D15" s="31"/>
      <c r="E15" s="37"/>
      <c r="G15" s="31"/>
      <c r="H15" s="37"/>
      <c r="J15" s="31"/>
      <c r="K15" s="37"/>
      <c r="M15" s="31"/>
      <c r="N15" s="37"/>
    </row>
    <row r="17" customHeight="1" spans="1:2">
      <c r="A17" s="38" t="s">
        <v>129</v>
      </c>
      <c r="B17" s="38"/>
    </row>
  </sheetData>
  <mergeCells count="10">
    <mergeCell ref="A2:B2"/>
    <mergeCell ref="D2:E2"/>
    <mergeCell ref="G2:H2"/>
    <mergeCell ref="J2:K2"/>
    <mergeCell ref="A9:B9"/>
    <mergeCell ref="D9:E9"/>
    <mergeCell ref="G9:H9"/>
    <mergeCell ref="J9:K9"/>
    <mergeCell ref="M9:N9"/>
    <mergeCell ref="A17:B17"/>
  </mergeCell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51"/>
  <sheetViews>
    <sheetView workbookViewId="0">
      <selection activeCell="C29" sqref="C29"/>
    </sheetView>
  </sheetViews>
  <sheetFormatPr defaultColWidth="9.06666666666667" defaultRowHeight="20" customHeight="1"/>
  <cols>
    <col min="1" max="2" width="11.3833333333333" customWidth="1"/>
    <col min="3" max="4" width="13.8833333333333" customWidth="1"/>
    <col min="5" max="7" width="11.1" customWidth="1"/>
    <col min="8" max="8" width="9.99166666666667" customWidth="1"/>
    <col min="9" max="11" width="11.1" customWidth="1"/>
    <col min="13" max="13" width="12.6666666666667"/>
    <col min="14" max="14" width="11.1333333333333"/>
  </cols>
  <sheetData>
    <row r="1" customHeight="1" spans="1:16">
      <c r="A1" s="9" t="s">
        <v>130</v>
      </c>
      <c r="B1" s="9"/>
      <c r="C1" s="9"/>
      <c r="D1" s="9"/>
      <c r="E1" s="9"/>
      <c r="F1" s="9"/>
      <c r="G1" s="9"/>
      <c r="H1" s="9"/>
      <c r="I1" s="9"/>
      <c r="J1" s="9"/>
      <c r="K1" s="9"/>
      <c r="L1" s="19"/>
      <c r="M1" s="19"/>
      <c r="N1" s="19"/>
      <c r="O1" s="19"/>
      <c r="P1" s="19"/>
    </row>
    <row r="2" customHeight="1" spans="1:16">
      <c r="A2" s="6" t="s">
        <v>131</v>
      </c>
      <c r="B2" s="6"/>
      <c r="C2" s="6"/>
      <c r="E2" s="6" t="s">
        <v>132</v>
      </c>
      <c r="F2" s="6"/>
      <c r="G2" s="6"/>
      <c r="I2" s="6" t="s">
        <v>133</v>
      </c>
      <c r="J2" s="6"/>
      <c r="K2" s="6"/>
      <c r="N2" s="6"/>
      <c r="O2" s="6"/>
      <c r="P2" s="6"/>
    </row>
    <row r="3" customHeight="1" spans="1:16">
      <c r="A3" s="6" t="s">
        <v>7</v>
      </c>
      <c r="B3" s="6" t="s">
        <v>134</v>
      </c>
      <c r="C3" s="6" t="s">
        <v>135</v>
      </c>
      <c r="E3" s="6" t="s">
        <v>7</v>
      </c>
      <c r="F3" s="6" t="s">
        <v>134</v>
      </c>
      <c r="G3" s="6" t="s">
        <v>135</v>
      </c>
      <c r="I3" s="6" t="s">
        <v>7</v>
      </c>
      <c r="J3" s="6" t="s">
        <v>134</v>
      </c>
      <c r="K3" s="6" t="s">
        <v>135</v>
      </c>
      <c r="N3" s="6"/>
      <c r="O3" s="6"/>
      <c r="P3" s="6"/>
    </row>
    <row r="4" customHeight="1" spans="1:16">
      <c r="A4">
        <v>1</v>
      </c>
      <c r="B4" s="7">
        <v>2500</v>
      </c>
      <c r="C4" s="7">
        <v>-2500</v>
      </c>
      <c r="E4" s="13">
        <v>1</v>
      </c>
      <c r="F4" s="11">
        <v>2701</v>
      </c>
      <c r="G4" s="11">
        <v>-2701</v>
      </c>
      <c r="I4" s="13">
        <v>1</v>
      </c>
      <c r="J4" s="11">
        <v>2000</v>
      </c>
      <c r="K4" s="11">
        <v>-2000</v>
      </c>
      <c r="N4" s="10"/>
      <c r="O4" s="11"/>
      <c r="P4" s="11"/>
    </row>
    <row r="5" customHeight="1" spans="1:16">
      <c r="A5">
        <v>2</v>
      </c>
      <c r="B5" s="7">
        <v>2500</v>
      </c>
      <c r="C5" s="7">
        <v>-2500</v>
      </c>
      <c r="E5" s="13">
        <v>2</v>
      </c>
      <c r="F5" s="11">
        <v>2701</v>
      </c>
      <c r="G5" s="11">
        <v>-2701</v>
      </c>
      <c r="I5" s="13">
        <v>2</v>
      </c>
      <c r="J5" s="11">
        <v>2500</v>
      </c>
      <c r="K5" s="11">
        <v>-2500</v>
      </c>
      <c r="N5" s="13"/>
      <c r="O5" s="11"/>
      <c r="P5" s="11"/>
    </row>
    <row r="6" customHeight="1" spans="1:16">
      <c r="A6">
        <v>3</v>
      </c>
      <c r="B6" s="7">
        <v>2500</v>
      </c>
      <c r="C6" s="7">
        <v>-2500</v>
      </c>
      <c r="E6" s="13">
        <v>3</v>
      </c>
      <c r="F6" s="11">
        <v>2701</v>
      </c>
      <c r="G6" s="11">
        <v>-2701</v>
      </c>
      <c r="I6" s="13">
        <v>3</v>
      </c>
      <c r="J6" s="11">
        <v>1200</v>
      </c>
      <c r="K6" s="11">
        <v>-1200</v>
      </c>
      <c r="N6" s="13"/>
      <c r="O6" s="11"/>
      <c r="P6" s="11"/>
    </row>
    <row r="7" customHeight="1" spans="1:16">
      <c r="A7">
        <v>4</v>
      </c>
      <c r="B7" s="7">
        <v>2500</v>
      </c>
      <c r="C7" s="7">
        <v>-2500</v>
      </c>
      <c r="E7" s="13">
        <v>4</v>
      </c>
      <c r="F7" s="11">
        <v>2701</v>
      </c>
      <c r="G7" s="11">
        <v>-2701</v>
      </c>
      <c r="I7" s="13">
        <v>4</v>
      </c>
      <c r="J7" s="11">
        <v>-800</v>
      </c>
      <c r="K7" s="11">
        <v>800</v>
      </c>
      <c r="N7" s="13"/>
      <c r="O7" s="11"/>
      <c r="P7" s="11"/>
    </row>
    <row r="8" customHeight="1" spans="1:16">
      <c r="A8">
        <v>5</v>
      </c>
      <c r="B8" s="7">
        <v>2500</v>
      </c>
      <c r="C8" s="7">
        <v>-2500</v>
      </c>
      <c r="E8" s="13">
        <v>5</v>
      </c>
      <c r="F8" s="11">
        <v>2701</v>
      </c>
      <c r="G8" s="11">
        <v>-2701</v>
      </c>
      <c r="I8" s="13">
        <v>5</v>
      </c>
      <c r="J8" s="11">
        <v>1000</v>
      </c>
      <c r="K8" s="11">
        <v>-1000</v>
      </c>
      <c r="N8" s="13"/>
      <c r="O8" s="11"/>
      <c r="P8" s="11"/>
    </row>
    <row r="9" customHeight="1" spans="1:16">
      <c r="A9">
        <v>6</v>
      </c>
      <c r="B9" s="7">
        <v>2500</v>
      </c>
      <c r="C9" s="7">
        <v>-2500</v>
      </c>
      <c r="E9" s="13">
        <v>6</v>
      </c>
      <c r="F9" s="11">
        <v>2701</v>
      </c>
      <c r="G9" s="11">
        <v>-2701</v>
      </c>
      <c r="I9" s="13">
        <v>6</v>
      </c>
      <c r="J9" s="11">
        <v>1500</v>
      </c>
      <c r="K9" s="11">
        <v>-1500</v>
      </c>
      <c r="N9" s="13"/>
      <c r="O9" s="11"/>
      <c r="P9" s="11"/>
    </row>
    <row r="10" customHeight="1" spans="1:16">
      <c r="A10">
        <v>7</v>
      </c>
      <c r="B10" s="7">
        <v>2500</v>
      </c>
      <c r="C10" s="7">
        <v>-2500</v>
      </c>
      <c r="E10" s="13">
        <v>7</v>
      </c>
      <c r="F10" s="11">
        <v>2701</v>
      </c>
      <c r="G10" s="11">
        <v>-2701</v>
      </c>
      <c r="I10" s="13">
        <v>7</v>
      </c>
      <c r="J10" s="11">
        <v>1000</v>
      </c>
      <c r="K10" s="11">
        <v>-1000</v>
      </c>
      <c r="N10" s="13"/>
      <c r="O10" s="11"/>
      <c r="P10" s="11"/>
    </row>
    <row r="11" customHeight="1" spans="1:16">
      <c r="A11">
        <v>8</v>
      </c>
      <c r="B11" s="7">
        <v>2500</v>
      </c>
      <c r="C11" s="7">
        <v>-2500</v>
      </c>
      <c r="E11" s="13">
        <v>8</v>
      </c>
      <c r="F11" s="11">
        <v>2701</v>
      </c>
      <c r="G11" s="11">
        <v>-2701</v>
      </c>
      <c r="I11" s="13">
        <v>8</v>
      </c>
      <c r="J11" s="11">
        <v>-500</v>
      </c>
      <c r="K11" s="11">
        <v>500</v>
      </c>
      <c r="N11" s="13"/>
      <c r="O11" s="11"/>
      <c r="P11" s="11"/>
    </row>
    <row r="12" customHeight="1" spans="1:16">
      <c r="A12">
        <v>9</v>
      </c>
      <c r="B12" s="7">
        <v>2500</v>
      </c>
      <c r="C12" s="7">
        <v>-2500</v>
      </c>
      <c r="E12" s="13">
        <v>9</v>
      </c>
      <c r="F12" s="11">
        <v>2701</v>
      </c>
      <c r="G12" s="11">
        <v>-2701</v>
      </c>
      <c r="I12" s="13">
        <v>9</v>
      </c>
      <c r="J12" s="11">
        <v>800</v>
      </c>
      <c r="K12" s="11">
        <v>-800</v>
      </c>
      <c r="N12" s="13"/>
      <c r="O12" s="11"/>
      <c r="P12" s="11"/>
    </row>
    <row r="13" customHeight="1" spans="1:16">
      <c r="A13">
        <v>10</v>
      </c>
      <c r="B13" s="7">
        <v>2500</v>
      </c>
      <c r="C13" s="7">
        <v>-2500</v>
      </c>
      <c r="E13" s="13">
        <v>10</v>
      </c>
      <c r="F13" s="11">
        <v>2701</v>
      </c>
      <c r="G13" s="11">
        <v>-2701</v>
      </c>
      <c r="I13" s="13">
        <v>10</v>
      </c>
      <c r="J13" s="11">
        <v>1000</v>
      </c>
      <c r="K13" s="11">
        <v>-1000</v>
      </c>
      <c r="N13" s="13"/>
      <c r="O13" s="11"/>
      <c r="P13" s="11"/>
    </row>
    <row r="14" customHeight="1" spans="1:16">
      <c r="A14">
        <v>11</v>
      </c>
      <c r="B14" s="7">
        <v>2500</v>
      </c>
      <c r="C14" s="7">
        <v>-2500</v>
      </c>
      <c r="E14">
        <v>11</v>
      </c>
      <c r="F14" s="11">
        <v>2701</v>
      </c>
      <c r="G14" s="11">
        <v>-2701</v>
      </c>
      <c r="J14" t="s">
        <v>136</v>
      </c>
      <c r="K14">
        <v>12000</v>
      </c>
      <c r="N14" s="13"/>
      <c r="O14" s="11"/>
      <c r="P14" s="11"/>
    </row>
    <row r="15" customHeight="1" spans="1:16">
      <c r="A15">
        <v>12</v>
      </c>
      <c r="B15" s="7">
        <v>2500</v>
      </c>
      <c r="C15" s="7">
        <v>-2500</v>
      </c>
      <c r="E15">
        <v>12</v>
      </c>
      <c r="F15" s="11">
        <v>2701</v>
      </c>
      <c r="G15" s="11">
        <v>-2701</v>
      </c>
      <c r="J15" t="s">
        <v>130</v>
      </c>
      <c r="K15" s="1">
        <f>IRR(K4:K14)</f>
        <v>0.0315211936001922</v>
      </c>
      <c r="O15" s="11"/>
      <c r="P15" s="11"/>
    </row>
    <row r="16" customHeight="1" spans="1:16">
      <c r="A16">
        <v>13</v>
      </c>
      <c r="B16" s="7">
        <v>2500</v>
      </c>
      <c r="C16" s="7">
        <v>-2500</v>
      </c>
      <c r="F16" s="10" t="s">
        <v>136</v>
      </c>
      <c r="G16" s="11">
        <v>30000</v>
      </c>
      <c r="J16" t="s">
        <v>137</v>
      </c>
      <c r="K16" s="1">
        <f>(1+0.0315)^12-1</f>
        <v>0.450877640077498</v>
      </c>
      <c r="O16" s="11"/>
      <c r="P16" s="11"/>
    </row>
    <row r="17" customHeight="1" spans="1:16">
      <c r="A17">
        <v>14</v>
      </c>
      <c r="B17" s="7">
        <v>2500</v>
      </c>
      <c r="C17" s="7">
        <v>-2500</v>
      </c>
      <c r="F17" s="10" t="s">
        <v>130</v>
      </c>
      <c r="G17" s="1">
        <f>IRR(G4:G16)</f>
        <v>-0.0119576937609395</v>
      </c>
      <c r="O17" s="10"/>
      <c r="P17" s="11"/>
    </row>
    <row r="18" customHeight="1" spans="1:16">
      <c r="A18">
        <v>15</v>
      </c>
      <c r="B18" s="7">
        <v>2500</v>
      </c>
      <c r="C18" s="7">
        <v>-2500</v>
      </c>
      <c r="F18" s="10" t="s">
        <v>137</v>
      </c>
      <c r="G18" s="1">
        <f>(1+0.012)^12-1</f>
        <v>0.153894624182586</v>
      </c>
      <c r="O18" s="10"/>
      <c r="P18" s="1"/>
    </row>
    <row r="19" customHeight="1" spans="1:16">
      <c r="A19">
        <v>16</v>
      </c>
      <c r="B19" s="7">
        <v>2500</v>
      </c>
      <c r="C19" s="7">
        <v>-2500</v>
      </c>
      <c r="O19" s="10"/>
      <c r="P19" s="1"/>
    </row>
    <row r="20" customHeight="1" spans="1:3">
      <c r="A20">
        <v>17</v>
      </c>
      <c r="B20" s="7">
        <v>2500</v>
      </c>
      <c r="C20" s="7">
        <v>-2500</v>
      </c>
    </row>
    <row r="21" customHeight="1" spans="1:3">
      <c r="A21">
        <v>18</v>
      </c>
      <c r="B21" s="7">
        <v>2500</v>
      </c>
      <c r="C21" s="7">
        <v>-2500</v>
      </c>
    </row>
    <row r="22" customHeight="1" spans="1:3">
      <c r="A22">
        <v>19</v>
      </c>
      <c r="B22" s="7">
        <v>2500</v>
      </c>
      <c r="C22" s="7">
        <v>-2500</v>
      </c>
    </row>
    <row r="23" customHeight="1" spans="1:3">
      <c r="A23">
        <v>20</v>
      </c>
      <c r="B23" s="7">
        <v>2500</v>
      </c>
      <c r="C23" s="7">
        <v>-2500</v>
      </c>
    </row>
    <row r="24" customHeight="1" spans="1:3">
      <c r="A24">
        <v>21</v>
      </c>
      <c r="B24" s="7">
        <v>2500</v>
      </c>
      <c r="C24" s="7">
        <v>-2500</v>
      </c>
    </row>
    <row r="25" customHeight="1" spans="1:3">
      <c r="A25">
        <v>22</v>
      </c>
      <c r="B25" s="7">
        <v>2500</v>
      </c>
      <c r="C25" s="7">
        <v>-2500</v>
      </c>
    </row>
    <row r="26" customHeight="1" spans="1:3">
      <c r="A26">
        <v>23</v>
      </c>
      <c r="B26" s="7">
        <v>2500</v>
      </c>
      <c r="C26" s="7">
        <v>-2500</v>
      </c>
    </row>
    <row r="27" customHeight="1" spans="1:3">
      <c r="A27">
        <v>24</v>
      </c>
      <c r="B27" s="7">
        <v>2500</v>
      </c>
      <c r="C27" s="7">
        <v>-2500</v>
      </c>
    </row>
    <row r="28" customHeight="1" spans="2:3">
      <c r="B28" s="8" t="s">
        <v>136</v>
      </c>
      <c r="C28" s="7">
        <v>80000</v>
      </c>
    </row>
    <row r="29" customHeight="1" spans="2:3">
      <c r="B29" s="8" t="s">
        <v>130</v>
      </c>
      <c r="C29" s="1">
        <f>IRR(C4:C28,0)</f>
        <v>0.0223277556452548</v>
      </c>
    </row>
    <row r="30" customHeight="1" spans="2:3">
      <c r="B30" s="8" t="s">
        <v>137</v>
      </c>
      <c r="C30" s="1">
        <f>(1+0.0223)^12-1</f>
        <v>0.302987740426804</v>
      </c>
    </row>
    <row r="31" customHeight="1" spans="2:3">
      <c r="B31" s="8"/>
      <c r="C31" s="7" t="s">
        <v>138</v>
      </c>
    </row>
    <row r="32" customHeight="1" spans="2:3">
      <c r="B32" s="10"/>
      <c r="C32" s="7"/>
    </row>
    <row r="33" customHeight="1" spans="2:3">
      <c r="B33" s="10"/>
      <c r="C33" s="7"/>
    </row>
    <row r="34" customHeight="1" spans="1:14">
      <c r="A34" s="9" t="s">
        <v>139</v>
      </c>
      <c r="B34" s="9"/>
      <c r="C34" s="9"/>
      <c r="D34" s="9"/>
      <c r="E34" s="9"/>
      <c r="F34" s="9"/>
      <c r="G34" s="9"/>
      <c r="H34" s="9"/>
      <c r="I34" s="9"/>
      <c r="J34" s="9"/>
      <c r="K34" s="9"/>
      <c r="L34" s="9"/>
      <c r="M34" s="9"/>
      <c r="N34" s="9"/>
    </row>
    <row r="35" customHeight="1" spans="1:14">
      <c r="A35" s="6" t="s">
        <v>131</v>
      </c>
      <c r="B35" s="6"/>
      <c r="C35" s="6"/>
      <c r="D35" s="6"/>
      <c r="F35" s="6" t="s">
        <v>132</v>
      </c>
      <c r="G35" s="6"/>
      <c r="H35" s="6"/>
      <c r="I35" s="6"/>
      <c r="K35" s="6" t="s">
        <v>133</v>
      </c>
      <c r="L35" s="6"/>
      <c r="M35" s="6"/>
      <c r="N35" s="6"/>
    </row>
    <row r="36" customHeight="1" spans="1:14">
      <c r="A36" s="6" t="s">
        <v>7</v>
      </c>
      <c r="B36" s="6" t="s">
        <v>134</v>
      </c>
      <c r="C36" s="6" t="s">
        <v>135</v>
      </c>
      <c r="D36" t="s">
        <v>140</v>
      </c>
      <c r="F36" s="14" t="s">
        <v>7</v>
      </c>
      <c r="G36" s="15" t="s">
        <v>141</v>
      </c>
      <c r="H36" s="15" t="s">
        <v>135</v>
      </c>
      <c r="I36" s="20" t="s">
        <v>142</v>
      </c>
      <c r="K36" s="6" t="s">
        <v>7</v>
      </c>
      <c r="L36" s="6" t="s">
        <v>134</v>
      </c>
      <c r="M36" s="6" t="s">
        <v>135</v>
      </c>
      <c r="N36" t="s">
        <v>140</v>
      </c>
    </row>
    <row r="37" customHeight="1" spans="1:14">
      <c r="A37" s="10">
        <v>0</v>
      </c>
      <c r="B37" s="11">
        <v>-30000</v>
      </c>
      <c r="C37" s="11">
        <v>30000</v>
      </c>
      <c r="D37" s="12">
        <v>43895</v>
      </c>
      <c r="F37" s="16">
        <v>1</v>
      </c>
      <c r="G37" s="17">
        <v>2000</v>
      </c>
      <c r="H37" s="17">
        <v>-2000</v>
      </c>
      <c r="I37" s="21">
        <v>43831</v>
      </c>
      <c r="K37">
        <v>0</v>
      </c>
      <c r="M37" s="11">
        <v>116000</v>
      </c>
      <c r="N37" s="22">
        <v>43834</v>
      </c>
    </row>
    <row r="38" customHeight="1" spans="1:14">
      <c r="A38" s="13">
        <v>1</v>
      </c>
      <c r="B38" s="11">
        <v>2701</v>
      </c>
      <c r="C38" s="11">
        <v>-2701</v>
      </c>
      <c r="D38" s="12">
        <v>43927</v>
      </c>
      <c r="F38" s="16">
        <v>2</v>
      </c>
      <c r="G38" s="17">
        <v>2500</v>
      </c>
      <c r="H38" s="17">
        <v>-2500</v>
      </c>
      <c r="I38" s="21">
        <v>43873</v>
      </c>
      <c r="K38">
        <v>1</v>
      </c>
      <c r="L38">
        <v>10000</v>
      </c>
      <c r="M38" s="11">
        <v>-10000</v>
      </c>
      <c r="N38" s="22">
        <v>43865</v>
      </c>
    </row>
    <row r="39" customHeight="1" spans="1:14">
      <c r="A39" s="13">
        <v>2</v>
      </c>
      <c r="B39" s="11">
        <v>2701</v>
      </c>
      <c r="C39" s="11">
        <v>-2701</v>
      </c>
      <c r="D39" s="12">
        <v>43957</v>
      </c>
      <c r="F39" s="16">
        <v>3</v>
      </c>
      <c r="G39" s="17">
        <v>1200</v>
      </c>
      <c r="H39" s="17">
        <v>-1200</v>
      </c>
      <c r="I39" s="21">
        <v>43888</v>
      </c>
      <c r="K39">
        <v>2</v>
      </c>
      <c r="L39">
        <v>10000</v>
      </c>
      <c r="M39" s="11">
        <v>-10000</v>
      </c>
      <c r="N39" s="22">
        <v>43894</v>
      </c>
    </row>
    <row r="40" customHeight="1" spans="1:14">
      <c r="A40" s="13">
        <v>3</v>
      </c>
      <c r="B40" s="11">
        <v>2701</v>
      </c>
      <c r="C40" s="11">
        <v>-2701</v>
      </c>
      <c r="D40" s="12">
        <v>43988</v>
      </c>
      <c r="F40" s="16">
        <v>4</v>
      </c>
      <c r="G40" s="17">
        <v>-800</v>
      </c>
      <c r="H40" s="17">
        <v>800</v>
      </c>
      <c r="I40" s="21">
        <v>43926</v>
      </c>
      <c r="K40">
        <v>3</v>
      </c>
      <c r="L40">
        <v>10000</v>
      </c>
      <c r="M40" s="11">
        <v>-10000</v>
      </c>
      <c r="N40" s="22">
        <v>43925</v>
      </c>
    </row>
    <row r="41" customHeight="1" spans="1:14">
      <c r="A41" s="13">
        <v>4</v>
      </c>
      <c r="B41" s="11">
        <v>2701</v>
      </c>
      <c r="C41" s="11">
        <v>-2701</v>
      </c>
      <c r="D41" s="12">
        <v>44018</v>
      </c>
      <c r="F41" s="16">
        <v>5</v>
      </c>
      <c r="G41" s="17">
        <v>1000</v>
      </c>
      <c r="H41" s="17">
        <v>-1000</v>
      </c>
      <c r="I41" s="21">
        <v>43952</v>
      </c>
      <c r="K41">
        <v>4</v>
      </c>
      <c r="L41">
        <v>10000</v>
      </c>
      <c r="M41" s="11">
        <v>-10000</v>
      </c>
      <c r="N41" s="22">
        <v>43955</v>
      </c>
    </row>
    <row r="42" customHeight="1" spans="1:14">
      <c r="A42" s="13">
        <v>5</v>
      </c>
      <c r="B42" s="11">
        <v>2701</v>
      </c>
      <c r="C42" s="11">
        <v>-2701</v>
      </c>
      <c r="D42" s="12">
        <v>44049</v>
      </c>
      <c r="F42" s="16">
        <v>6</v>
      </c>
      <c r="G42" s="17">
        <v>1500</v>
      </c>
      <c r="H42" s="17">
        <v>-1500</v>
      </c>
      <c r="I42" s="21">
        <v>44005</v>
      </c>
      <c r="K42">
        <v>5</v>
      </c>
      <c r="L42">
        <v>10000</v>
      </c>
      <c r="M42" s="11">
        <v>-10000</v>
      </c>
      <c r="N42" s="22">
        <v>43986</v>
      </c>
    </row>
    <row r="43" customHeight="1" spans="1:14">
      <c r="A43" s="13">
        <v>6</v>
      </c>
      <c r="B43" s="11">
        <v>2701</v>
      </c>
      <c r="C43" s="11">
        <v>-2701</v>
      </c>
      <c r="D43" s="12">
        <v>44080</v>
      </c>
      <c r="F43" s="16">
        <v>7</v>
      </c>
      <c r="G43" s="17">
        <v>1000</v>
      </c>
      <c r="H43" s="17">
        <v>-1000</v>
      </c>
      <c r="I43" s="21">
        <v>44013</v>
      </c>
      <c r="K43">
        <v>6</v>
      </c>
      <c r="L43">
        <v>10000</v>
      </c>
      <c r="M43" s="11">
        <v>-10000</v>
      </c>
      <c r="N43" s="22">
        <v>44016</v>
      </c>
    </row>
    <row r="44" customHeight="1" spans="1:14">
      <c r="A44" s="13">
        <v>7</v>
      </c>
      <c r="B44" s="11">
        <v>2701</v>
      </c>
      <c r="C44" s="11">
        <v>-2701</v>
      </c>
      <c r="D44" s="12">
        <v>44110</v>
      </c>
      <c r="F44" s="16">
        <v>8</v>
      </c>
      <c r="G44" s="17">
        <v>-500</v>
      </c>
      <c r="H44" s="17">
        <v>500</v>
      </c>
      <c r="I44" s="21">
        <v>44045</v>
      </c>
      <c r="K44">
        <v>7</v>
      </c>
      <c r="L44">
        <v>10000</v>
      </c>
      <c r="M44" s="11">
        <v>-10000</v>
      </c>
      <c r="N44" s="22">
        <v>44047</v>
      </c>
    </row>
    <row r="45" customHeight="1" spans="1:14">
      <c r="A45" s="13">
        <v>8</v>
      </c>
      <c r="B45" s="11">
        <v>2701</v>
      </c>
      <c r="C45" s="11">
        <v>-2701</v>
      </c>
      <c r="D45" s="12">
        <v>44141</v>
      </c>
      <c r="F45" s="16">
        <v>9</v>
      </c>
      <c r="G45" s="17">
        <v>800</v>
      </c>
      <c r="H45" s="17">
        <v>-800</v>
      </c>
      <c r="I45" s="21">
        <v>44058</v>
      </c>
      <c r="K45">
        <v>8</v>
      </c>
      <c r="L45">
        <v>10000</v>
      </c>
      <c r="M45" s="11">
        <v>-10000</v>
      </c>
      <c r="N45" s="22">
        <v>44078</v>
      </c>
    </row>
    <row r="46" customHeight="1" spans="1:14">
      <c r="A46" s="13">
        <v>9</v>
      </c>
      <c r="B46" s="11">
        <v>2701</v>
      </c>
      <c r="C46" s="11">
        <v>-2701</v>
      </c>
      <c r="D46" s="12">
        <v>44171</v>
      </c>
      <c r="F46" s="16">
        <v>10</v>
      </c>
      <c r="G46" s="17">
        <v>1000</v>
      </c>
      <c r="H46" s="17">
        <v>-1000</v>
      </c>
      <c r="I46" s="21">
        <v>44126</v>
      </c>
      <c r="K46">
        <v>9</v>
      </c>
      <c r="L46">
        <v>10000</v>
      </c>
      <c r="M46" s="11">
        <v>-10000</v>
      </c>
      <c r="N46" s="22">
        <v>44108</v>
      </c>
    </row>
    <row r="47" customHeight="1" spans="1:14">
      <c r="A47" s="13">
        <v>10</v>
      </c>
      <c r="B47" s="11">
        <v>2701</v>
      </c>
      <c r="C47" s="11">
        <v>-2701</v>
      </c>
      <c r="D47" s="12">
        <v>44202</v>
      </c>
      <c r="F47" s="18"/>
      <c r="G47" s="18" t="s">
        <v>136</v>
      </c>
      <c r="H47" s="11">
        <v>12000</v>
      </c>
      <c r="I47" s="21">
        <v>44194</v>
      </c>
      <c r="K47">
        <v>10</v>
      </c>
      <c r="L47">
        <v>10000</v>
      </c>
      <c r="M47" s="11">
        <v>-10000</v>
      </c>
      <c r="N47" s="22">
        <v>44139</v>
      </c>
    </row>
    <row r="48" customHeight="1" spans="1:14">
      <c r="A48">
        <v>11</v>
      </c>
      <c r="B48" s="11">
        <v>2701</v>
      </c>
      <c r="C48" s="11">
        <v>-2701</v>
      </c>
      <c r="D48" s="12">
        <v>44233</v>
      </c>
      <c r="F48" s="18"/>
      <c r="G48" s="18" t="s">
        <v>139</v>
      </c>
      <c r="H48" s="1">
        <f>XIRR(H37:H47,I37:I47)</f>
        <v>0.347437803563197</v>
      </c>
      <c r="K48">
        <v>11</v>
      </c>
      <c r="L48">
        <v>10000</v>
      </c>
      <c r="M48" s="11">
        <v>-10000</v>
      </c>
      <c r="N48" s="22">
        <v>44169</v>
      </c>
    </row>
    <row r="49" customHeight="1" spans="1:14">
      <c r="A49">
        <v>12</v>
      </c>
      <c r="B49" s="11">
        <v>2701</v>
      </c>
      <c r="C49" s="11">
        <v>-2701</v>
      </c>
      <c r="D49" s="12">
        <v>44261</v>
      </c>
      <c r="I49" s="11"/>
      <c r="K49">
        <v>12</v>
      </c>
      <c r="L49">
        <v>10000</v>
      </c>
      <c r="M49" s="11">
        <v>-10000</v>
      </c>
      <c r="N49" s="22">
        <v>44200</v>
      </c>
    </row>
    <row r="50" customHeight="1" spans="2:13">
      <c r="B50" s="10" t="s">
        <v>139</v>
      </c>
      <c r="C50" s="1">
        <f>XIRR(C37:C49,D37:D49)</f>
        <v>0.153567371157931</v>
      </c>
      <c r="I50" s="1"/>
      <c r="L50" s="10" t="s">
        <v>139</v>
      </c>
      <c r="M50" s="1">
        <f>XIRR(M37:M49,N37:N49)</f>
        <v>0.0648688347006436</v>
      </c>
    </row>
    <row r="51" customHeight="1" spans="2:9">
      <c r="B51" s="10"/>
      <c r="C51" s="1"/>
      <c r="I51" s="1"/>
    </row>
  </sheetData>
  <mergeCells count="9">
    <mergeCell ref="A1:K1"/>
    <mergeCell ref="A2:C2"/>
    <mergeCell ref="E2:G2"/>
    <mergeCell ref="I2:K2"/>
    <mergeCell ref="N2:P2"/>
    <mergeCell ref="A34:N34"/>
    <mergeCell ref="A35:D35"/>
    <mergeCell ref="F35:I35"/>
    <mergeCell ref="K35:N35"/>
  </mergeCell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P38"/>
  <sheetViews>
    <sheetView workbookViewId="0">
      <selection activeCell="C19" sqref="C19"/>
    </sheetView>
  </sheetViews>
  <sheetFormatPr defaultColWidth="9.06666666666667" defaultRowHeight="13.2"/>
  <cols>
    <col min="2" max="2" width="26.0666666666667"/>
    <col min="4" max="4" width="12.6666666666667"/>
    <col min="7" max="7" width="12.6666666666667"/>
    <col min="8" max="8" width="23.8916666666667" customWidth="1"/>
  </cols>
  <sheetData>
    <row r="1" spans="2:2">
      <c r="B1" s="3">
        <f>FV(10%,30,0,-1000000,0)</f>
        <v>17449402.2688864</v>
      </c>
    </row>
    <row r="2" spans="2:2">
      <c r="B2" s="3">
        <f>-PV(12%,20,0,5000000,0)</f>
        <v>518333.825403441</v>
      </c>
    </row>
    <row r="3" spans="2:2">
      <c r="B3" s="1">
        <f>RATE(10,0,-500000,2000000,0)</f>
        <v>0.148698354997035</v>
      </c>
    </row>
    <row r="4" spans="2:2">
      <c r="B4" s="1">
        <f>RATE(24,-2500,0,80000,1)</f>
        <v>0.0223277556452549</v>
      </c>
    </row>
    <row r="5" spans="2:7">
      <c r="B5" s="1">
        <f>(1+2.23%)^12-1</f>
        <v>0.302987740426804</v>
      </c>
      <c r="G5" t="s">
        <v>143</v>
      </c>
    </row>
    <row r="6" spans="2:2">
      <c r="B6" s="1"/>
    </row>
    <row r="7" spans="2:2">
      <c r="B7" s="3">
        <f>FV(11%,20,-20000,-100000,0)</f>
        <v>2090287.79654549</v>
      </c>
    </row>
    <row r="8" spans="2:2">
      <c r="B8" s="3">
        <f>FV(9%,20,-24000,0,1)</f>
        <v>1338348.72983423</v>
      </c>
    </row>
    <row r="9" spans="2:8">
      <c r="B9" s="3">
        <f>-PMT(5%,20,0,5000000,1)</f>
        <v>144012.319955673</v>
      </c>
      <c r="G9" s="4">
        <f>(1+5%)^(1/12)-1</f>
        <v>0.00407412378364835</v>
      </c>
      <c r="H9">
        <v>500466</v>
      </c>
    </row>
    <row r="10" spans="2:2">
      <c r="B10" s="3">
        <f>FV(15.38%,30,-15000,0,1)</f>
        <v>8113334.20953246</v>
      </c>
    </row>
    <row r="11" spans="2:16">
      <c r="B11" s="3">
        <f>-PV(15%,5,-30000,500000,0)</f>
        <v>148023.714708803</v>
      </c>
      <c r="N11" s="6" t="s">
        <v>131</v>
      </c>
      <c r="O11" s="6"/>
      <c r="P11" s="6"/>
    </row>
    <row r="12" spans="14:16">
      <c r="N12" s="6" t="s">
        <v>7</v>
      </c>
      <c r="O12" s="6" t="s">
        <v>134</v>
      </c>
      <c r="P12" s="6" t="s">
        <v>135</v>
      </c>
    </row>
    <row r="13" spans="3:16">
      <c r="C13">
        <v>0</v>
      </c>
      <c r="D13">
        <v>-100000</v>
      </c>
      <c r="N13">
        <v>0</v>
      </c>
      <c r="O13" s="7">
        <v>0</v>
      </c>
      <c r="P13" s="7">
        <v>0</v>
      </c>
    </row>
    <row r="14" spans="3:16">
      <c r="C14">
        <v>1</v>
      </c>
      <c r="D14">
        <v>-20000</v>
      </c>
      <c r="H14" t="s">
        <v>144</v>
      </c>
      <c r="N14">
        <v>1</v>
      </c>
      <c r="O14" s="7">
        <v>2500</v>
      </c>
      <c r="P14" s="7">
        <v>-2500</v>
      </c>
    </row>
    <row r="15" spans="3:16">
      <c r="C15">
        <v>2</v>
      </c>
      <c r="D15">
        <v>-20000</v>
      </c>
      <c r="H15" t="s">
        <v>145</v>
      </c>
      <c r="N15">
        <v>2</v>
      </c>
      <c r="O15" s="7">
        <v>2500</v>
      </c>
      <c r="P15" s="7">
        <v>-2500</v>
      </c>
    </row>
    <row r="16" spans="3:16">
      <c r="C16">
        <v>3</v>
      </c>
      <c r="D16">
        <v>-20000</v>
      </c>
      <c r="N16">
        <v>3</v>
      </c>
      <c r="O16" s="7">
        <v>2500</v>
      </c>
      <c r="P16" s="7">
        <v>-2500</v>
      </c>
    </row>
    <row r="17" ht="24" spans="3:16">
      <c r="C17">
        <v>4</v>
      </c>
      <c r="D17">
        <v>-20000</v>
      </c>
      <c r="H17" s="5" t="s">
        <v>146</v>
      </c>
      <c r="N17">
        <v>4</v>
      </c>
      <c r="O17" s="7">
        <v>2500</v>
      </c>
      <c r="P17" s="7">
        <v>-2500</v>
      </c>
    </row>
    <row r="18" ht="24" spans="3:16">
      <c r="C18">
        <v>5</v>
      </c>
      <c r="D18">
        <v>-20000</v>
      </c>
      <c r="H18" s="5" t="s">
        <v>147</v>
      </c>
      <c r="N18">
        <v>5</v>
      </c>
      <c r="O18" s="7">
        <v>2500</v>
      </c>
      <c r="P18" s="7">
        <v>-2500</v>
      </c>
    </row>
    <row r="19" ht="24" spans="3:16">
      <c r="C19">
        <v>6</v>
      </c>
      <c r="D19">
        <v>-20000</v>
      </c>
      <c r="H19" s="5" t="s">
        <v>148</v>
      </c>
      <c r="N19">
        <v>6</v>
      </c>
      <c r="O19" s="7">
        <v>2500</v>
      </c>
      <c r="P19" s="7">
        <v>-2500</v>
      </c>
    </row>
    <row r="20" spans="3:16">
      <c r="C20">
        <v>7</v>
      </c>
      <c r="D20">
        <v>-20000</v>
      </c>
      <c r="N20">
        <v>7</v>
      </c>
      <c r="O20" s="7">
        <v>2500</v>
      </c>
      <c r="P20" s="7">
        <v>-2500</v>
      </c>
    </row>
    <row r="21" spans="3:16">
      <c r="C21">
        <v>8</v>
      </c>
      <c r="D21">
        <v>-20000</v>
      </c>
      <c r="N21">
        <v>8</v>
      </c>
      <c r="O21" s="7">
        <v>2500</v>
      </c>
      <c r="P21" s="7">
        <v>-2500</v>
      </c>
    </row>
    <row r="22" spans="3:16">
      <c r="C22">
        <v>9</v>
      </c>
      <c r="D22">
        <v>-20000</v>
      </c>
      <c r="N22">
        <v>9</v>
      </c>
      <c r="O22" s="7">
        <v>2500</v>
      </c>
      <c r="P22" s="7">
        <v>-2500</v>
      </c>
    </row>
    <row r="23" spans="3:16">
      <c r="C23">
        <v>10</v>
      </c>
      <c r="D23">
        <v>-20000</v>
      </c>
      <c r="N23">
        <v>10</v>
      </c>
      <c r="O23" s="7">
        <v>2500</v>
      </c>
      <c r="P23" s="7">
        <v>-2500</v>
      </c>
    </row>
    <row r="24" spans="3:16">
      <c r="C24">
        <v>11</v>
      </c>
      <c r="D24">
        <v>-20000</v>
      </c>
      <c r="N24">
        <v>11</v>
      </c>
      <c r="O24" s="7">
        <v>2500</v>
      </c>
      <c r="P24" s="7">
        <v>-2500</v>
      </c>
    </row>
    <row r="25" spans="3:16">
      <c r="C25">
        <v>12</v>
      </c>
      <c r="D25">
        <v>-20000</v>
      </c>
      <c r="N25">
        <v>12</v>
      </c>
      <c r="O25" s="7">
        <v>2500</v>
      </c>
      <c r="P25" s="7">
        <v>-2500</v>
      </c>
    </row>
    <row r="26" spans="3:16">
      <c r="C26">
        <v>13</v>
      </c>
      <c r="D26">
        <v>-20000</v>
      </c>
      <c r="N26">
        <v>13</v>
      </c>
      <c r="O26" s="7">
        <v>2500</v>
      </c>
      <c r="P26" s="7">
        <v>-2500</v>
      </c>
    </row>
    <row r="27" spans="3:16">
      <c r="C27">
        <v>14</v>
      </c>
      <c r="D27">
        <v>-20000</v>
      </c>
      <c r="N27">
        <v>14</v>
      </c>
      <c r="O27" s="7">
        <v>2500</v>
      </c>
      <c r="P27" s="7">
        <v>-2500</v>
      </c>
    </row>
    <row r="28" spans="3:16">
      <c r="C28">
        <v>15</v>
      </c>
      <c r="D28">
        <v>-20000</v>
      </c>
      <c r="N28">
        <v>15</v>
      </c>
      <c r="O28" s="7">
        <v>2500</v>
      </c>
      <c r="P28" s="7">
        <v>-2500</v>
      </c>
    </row>
    <row r="29" spans="3:16">
      <c r="C29">
        <v>16</v>
      </c>
      <c r="D29">
        <v>-20000</v>
      </c>
      <c r="N29">
        <v>16</v>
      </c>
      <c r="O29" s="7">
        <v>2500</v>
      </c>
      <c r="P29" s="7">
        <v>-2500</v>
      </c>
    </row>
    <row r="30" spans="3:16">
      <c r="C30">
        <v>17</v>
      </c>
      <c r="D30">
        <v>-20000</v>
      </c>
      <c r="N30">
        <v>17</v>
      </c>
      <c r="O30" s="7">
        <v>2500</v>
      </c>
      <c r="P30" s="7">
        <v>-2500</v>
      </c>
    </row>
    <row r="31" spans="3:16">
      <c r="C31">
        <v>18</v>
      </c>
      <c r="D31">
        <v>-20000</v>
      </c>
      <c r="N31">
        <v>18</v>
      </c>
      <c r="O31" s="7">
        <v>2500</v>
      </c>
      <c r="P31" s="7">
        <v>-2500</v>
      </c>
    </row>
    <row r="32" spans="3:16">
      <c r="C32">
        <v>19</v>
      </c>
      <c r="D32">
        <v>-20000</v>
      </c>
      <c r="N32">
        <v>19</v>
      </c>
      <c r="O32" s="7">
        <v>2500</v>
      </c>
      <c r="P32" s="7">
        <v>-2500</v>
      </c>
    </row>
    <row r="33" spans="4:16">
      <c r="D33">
        <v>2090288</v>
      </c>
      <c r="N33">
        <v>21</v>
      </c>
      <c r="O33" s="7">
        <v>2500</v>
      </c>
      <c r="P33" s="7">
        <v>-2500</v>
      </c>
    </row>
    <row r="34" spans="4:16">
      <c r="D34" s="1">
        <f>IRR(D13:D33)</f>
        <v>0.110679973001349</v>
      </c>
      <c r="N34">
        <v>22</v>
      </c>
      <c r="O34" s="7">
        <v>2500</v>
      </c>
      <c r="P34" s="7">
        <v>-2500</v>
      </c>
    </row>
    <row r="35" spans="14:16">
      <c r="N35">
        <v>23</v>
      </c>
      <c r="O35" s="7">
        <v>2500</v>
      </c>
      <c r="P35" s="7">
        <v>-2500</v>
      </c>
    </row>
    <row r="36" spans="14:16">
      <c r="N36">
        <v>24</v>
      </c>
      <c r="O36" s="7">
        <v>2500</v>
      </c>
      <c r="P36" s="7">
        <v>-2500</v>
      </c>
    </row>
    <row r="37" spans="15:16">
      <c r="O37" s="8" t="s">
        <v>136</v>
      </c>
      <c r="P37" s="7">
        <v>80000</v>
      </c>
    </row>
    <row r="38" spans="15:16">
      <c r="O38" s="8" t="s">
        <v>130</v>
      </c>
      <c r="P38" s="1">
        <f>IRR(P13:P37,0)</f>
        <v>0.026607574132447</v>
      </c>
    </row>
  </sheetData>
  <mergeCells count="1">
    <mergeCell ref="N11:P11"/>
  </mergeCells>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13"/>
  <sheetViews>
    <sheetView workbookViewId="0">
      <selection activeCell="G13" sqref="G13"/>
    </sheetView>
  </sheetViews>
  <sheetFormatPr defaultColWidth="9.85833333333333" defaultRowHeight="31" customHeight="1"/>
  <cols>
    <col min="1" max="16384" width="9.85833333333333" customWidth="1"/>
  </cols>
  <sheetData>
    <row r="1" customHeight="1" spans="1:12">
      <c r="A1" t="s">
        <v>149</v>
      </c>
      <c r="B1" s="1">
        <f>(1+9)^(1/10)-1</f>
        <v>0.258925411794167</v>
      </c>
      <c r="G1" t="s">
        <v>150</v>
      </c>
      <c r="L1" s="2"/>
    </row>
    <row r="2" customHeight="1" spans="1:7">
      <c r="A2" t="s">
        <v>151</v>
      </c>
      <c r="B2" s="1">
        <f>(1+10)^(1/10)-1</f>
        <v>0.270981615210141</v>
      </c>
      <c r="F2" s="1"/>
      <c r="G2" t="s">
        <v>152</v>
      </c>
    </row>
    <row r="3" customHeight="1" spans="7:9">
      <c r="G3">
        <f>(1+0.1)^30-1</f>
        <v>16.4494022688864</v>
      </c>
      <c r="I3">
        <f>(1+0.1)^30</f>
        <v>17.4494022688864</v>
      </c>
    </row>
    <row r="4" customHeight="1" spans="1:7">
      <c r="A4" t="s">
        <v>111</v>
      </c>
      <c r="B4">
        <v>1500</v>
      </c>
      <c r="G4">
        <f>100*16.449</f>
        <v>1644.9</v>
      </c>
    </row>
    <row r="5" customHeight="1" spans="1:12">
      <c r="A5" t="s">
        <v>153</v>
      </c>
      <c r="B5">
        <v>250</v>
      </c>
      <c r="G5">
        <v>1744.9</v>
      </c>
      <c r="L5" s="2"/>
    </row>
    <row r="6" customHeight="1" spans="1:2">
      <c r="A6" t="s">
        <v>10</v>
      </c>
      <c r="B6" s="1">
        <f>B5/B4</f>
        <v>0.166666666666667</v>
      </c>
    </row>
    <row r="7" customHeight="1" spans="1:7">
      <c r="A7" t="s">
        <v>116</v>
      </c>
      <c r="B7">
        <v>1750</v>
      </c>
      <c r="G7" t="s">
        <v>154</v>
      </c>
    </row>
    <row r="8" customHeight="1" spans="7:7">
      <c r="G8">
        <f>(1+0.12)^20</f>
        <v>9.64629309327495</v>
      </c>
    </row>
    <row r="9" customHeight="1" spans="1:7">
      <c r="A9" t="s">
        <v>155</v>
      </c>
      <c r="B9">
        <v>500</v>
      </c>
      <c r="D9" t="s">
        <v>156</v>
      </c>
      <c r="E9">
        <v>500</v>
      </c>
      <c r="G9">
        <f>500/9.646</f>
        <v>51.8349574953348</v>
      </c>
    </row>
    <row r="10" customHeight="1" spans="1:5">
      <c r="A10" t="s">
        <v>111</v>
      </c>
      <c r="B10">
        <v>2000</v>
      </c>
      <c r="D10" t="s">
        <v>111</v>
      </c>
      <c r="E10">
        <v>1000</v>
      </c>
    </row>
    <row r="11" customHeight="1" spans="1:7">
      <c r="A11" t="s">
        <v>153</v>
      </c>
      <c r="B11">
        <v>250</v>
      </c>
      <c r="D11" t="s">
        <v>153</v>
      </c>
      <c r="E11">
        <v>250</v>
      </c>
      <c r="G11" t="s">
        <v>157</v>
      </c>
    </row>
    <row r="12" customHeight="1" spans="1:7">
      <c r="A12" t="s">
        <v>10</v>
      </c>
      <c r="B12" s="1">
        <f>B11/B10</f>
        <v>0.125</v>
      </c>
      <c r="D12" t="s">
        <v>10</v>
      </c>
      <c r="E12" s="1">
        <f>E11/E10</f>
        <v>0.25</v>
      </c>
      <c r="G12" t="s">
        <v>158</v>
      </c>
    </row>
    <row r="13" customHeight="1" spans="7:7">
      <c r="G13">
        <f>(1+3)^(1/10)-1</f>
        <v>0.148698354997035</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常见误区</vt:lpstr>
      <vt:lpstr>1.百分位法</vt:lpstr>
      <vt:lpstr>2.股债比数据</vt:lpstr>
      <vt:lpstr>3.市值比GDP</vt:lpstr>
      <vt:lpstr>4.市值比M2</vt:lpstr>
      <vt:lpstr>5.周期6阶段</vt:lpstr>
      <vt:lpstr>6,现成公式表</vt:lpstr>
      <vt:lpstr>IRR&amp;XIRR</vt:lpstr>
      <vt:lpstr>PMT草稿</vt:lpstr>
      <vt:lpstr>公式草稿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2020-07-20T10:20:00Z</dcterms:created>
  <dcterms:modified xsi:type="dcterms:W3CDTF">2021-02-10T17:08:41Z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2052-2.7.1.4479</vt:lpwstr>
  </property>
  <property fmtid="{D5CDD505-2E9C-101B-9397-08002B2CF9AE}" pid="3" name="KSOReadingLayout">
    <vt:bool>true</vt:bool>
  </property>
</Properties>
</file>