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iiasahub-my.sharepoint.com/personal/eker_iiasa_ac_at/Documents/Projects/Flagship_report_YoGl/model files/"/>
    </mc:Choice>
  </mc:AlternateContent>
  <xr:revisionPtr revIDLastSave="8" documentId="11_5523B6F1FF37483A581E8314AEA41110AD641C97" xr6:coauthVersionLast="47" xr6:coauthVersionMax="47" xr10:uidLastSave="{6503D35A-3915-4B40-B687-16DB8DD84CAA}"/>
  <bookViews>
    <workbookView minimized="1" xWindow="732" yWindow="732" windowWidth="17280" windowHeight="8964" activeTab="2" xr2:uid="{00000000-000D-0000-FFFF-FFFF00000000}"/>
  </bookViews>
  <sheets>
    <sheet name="BackgroundData" sheetId="1" r:id="rId1"/>
    <sheet name="MeatLandDemand" sheetId="3" r:id="rId2"/>
    <sheet name="Model Input" sheetId="2" r:id="rId3"/>
    <sheet name="Diet-Population" sheetId="8" r:id="rId4"/>
    <sheet name="Flexitarian diet" sheetId="5" r:id="rId5"/>
    <sheet name="Healthy diet" sheetId="7" r:id="rId6"/>
    <sheet name="Sheet1" sheetId="4" r:id="rId7"/>
    <sheet name="WRI" sheetId="6" r:id="rId8"/>
    <sheet name="Sheet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H8" i="8"/>
  <c r="H3" i="8" l="1"/>
  <c r="H4" i="8"/>
  <c r="H5" i="8"/>
  <c r="H7" i="8"/>
  <c r="H6" i="8"/>
  <c r="H9" i="8"/>
  <c r="H2" i="8"/>
  <c r="Y70" i="2" l="1"/>
  <c r="Z70" i="2"/>
  <c r="AA70" i="2"/>
  <c r="AB70" i="2"/>
  <c r="AC70" i="2"/>
  <c r="AD70" i="2"/>
  <c r="AE70" i="2"/>
  <c r="AF70" i="2"/>
  <c r="AG70" i="2"/>
  <c r="AH70" i="2"/>
  <c r="AI70" i="2"/>
  <c r="AJ70" i="2"/>
  <c r="AK70" i="2"/>
  <c r="AL70" i="2"/>
  <c r="AM70" i="2"/>
  <c r="AN70" i="2"/>
  <c r="AO70" i="2"/>
  <c r="AP70" i="2"/>
  <c r="AQ70" i="2"/>
  <c r="AR70" i="2"/>
  <c r="AS70" i="2"/>
  <c r="Z69" i="2"/>
  <c r="AA69" i="2"/>
  <c r="AB69" i="2"/>
  <c r="AC69" i="2"/>
  <c r="AD69" i="2"/>
  <c r="AE69" i="2"/>
  <c r="AF69" i="2"/>
  <c r="AG69" i="2"/>
  <c r="AH69" i="2"/>
  <c r="AI69" i="2"/>
  <c r="AJ69" i="2"/>
  <c r="AK69" i="2"/>
  <c r="AL69" i="2"/>
  <c r="AM69" i="2"/>
  <c r="AN69" i="2"/>
  <c r="AO69" i="2"/>
  <c r="AP69" i="2"/>
  <c r="AQ69" i="2"/>
  <c r="AR69" i="2"/>
  <c r="AS69" i="2"/>
  <c r="Y69" i="2"/>
  <c r="Y67" i="2"/>
  <c r="Z67" i="2"/>
  <c r="AA67" i="2"/>
  <c r="AB67" i="2"/>
  <c r="AC67" i="2"/>
  <c r="AD67" i="2"/>
  <c r="AE67" i="2"/>
  <c r="AF67" i="2"/>
  <c r="AG67" i="2"/>
  <c r="AH67" i="2"/>
  <c r="AI67" i="2"/>
  <c r="AJ67" i="2"/>
  <c r="AK67" i="2"/>
  <c r="AL67" i="2"/>
  <c r="AM67" i="2"/>
  <c r="AN67" i="2"/>
  <c r="AO67" i="2"/>
  <c r="AP67" i="2"/>
  <c r="AQ67" i="2"/>
  <c r="AR67" i="2"/>
  <c r="AS67" i="2"/>
  <c r="Z66" i="2"/>
  <c r="AA66" i="2"/>
  <c r="AB66" i="2"/>
  <c r="AC66" i="2"/>
  <c r="AD66" i="2"/>
  <c r="AE66" i="2"/>
  <c r="AF66" i="2"/>
  <c r="AG66" i="2"/>
  <c r="AH66" i="2"/>
  <c r="AI66" i="2"/>
  <c r="AJ66" i="2"/>
  <c r="AK66" i="2"/>
  <c r="AL66" i="2"/>
  <c r="AM66" i="2"/>
  <c r="AN66" i="2"/>
  <c r="AO66" i="2"/>
  <c r="AP66" i="2"/>
  <c r="AQ66" i="2"/>
  <c r="AR66" i="2"/>
  <c r="AS66" i="2"/>
  <c r="Y66" i="2"/>
  <c r="Y64" i="2"/>
  <c r="Z64" i="2"/>
  <c r="AA64" i="2"/>
  <c r="AB64" i="2"/>
  <c r="AC64" i="2"/>
  <c r="AD64" i="2"/>
  <c r="AE64" i="2"/>
  <c r="AF64" i="2"/>
  <c r="AG64" i="2"/>
  <c r="AH64" i="2"/>
  <c r="AI64" i="2"/>
  <c r="AJ64" i="2"/>
  <c r="AK64" i="2"/>
  <c r="AL64" i="2"/>
  <c r="AM64" i="2"/>
  <c r="AN64" i="2"/>
  <c r="AO64" i="2"/>
  <c r="AP64" i="2"/>
  <c r="AQ64" i="2"/>
  <c r="AR64" i="2"/>
  <c r="AS64" i="2"/>
  <c r="Z63" i="2"/>
  <c r="AA63" i="2"/>
  <c r="AB63" i="2"/>
  <c r="AC63" i="2"/>
  <c r="AD63" i="2"/>
  <c r="AE63" i="2"/>
  <c r="AF63" i="2"/>
  <c r="AG63" i="2"/>
  <c r="AH63" i="2"/>
  <c r="AI63" i="2"/>
  <c r="AJ63" i="2"/>
  <c r="AK63" i="2"/>
  <c r="AL63" i="2"/>
  <c r="AM63" i="2"/>
  <c r="AN63" i="2"/>
  <c r="AO63" i="2"/>
  <c r="AP63" i="2"/>
  <c r="AQ63" i="2"/>
  <c r="AR63" i="2"/>
  <c r="AS63" i="2"/>
  <c r="Y63" i="2"/>
  <c r="Y61" i="2"/>
  <c r="Z61" i="2"/>
  <c r="AA61" i="2"/>
  <c r="AB61" i="2"/>
  <c r="AC61" i="2"/>
  <c r="AD61" i="2"/>
  <c r="AE61" i="2"/>
  <c r="AF61" i="2"/>
  <c r="AG61" i="2"/>
  <c r="AH61" i="2"/>
  <c r="AI61" i="2"/>
  <c r="AJ61" i="2"/>
  <c r="AK61" i="2"/>
  <c r="AL61" i="2"/>
  <c r="AM61" i="2"/>
  <c r="AN61" i="2"/>
  <c r="AO61" i="2"/>
  <c r="AP61" i="2"/>
  <c r="AQ61" i="2"/>
  <c r="AR61" i="2"/>
  <c r="AS61" i="2"/>
  <c r="Z60" i="2"/>
  <c r="AA60" i="2"/>
  <c r="AB60" i="2"/>
  <c r="AC60" i="2"/>
  <c r="AD60" i="2"/>
  <c r="AE60" i="2"/>
  <c r="AF60" i="2"/>
  <c r="AG60" i="2"/>
  <c r="AH60" i="2"/>
  <c r="AI60" i="2"/>
  <c r="AJ60" i="2"/>
  <c r="AK60" i="2"/>
  <c r="AL60" i="2"/>
  <c r="AM60" i="2"/>
  <c r="AN60" i="2"/>
  <c r="AO60" i="2"/>
  <c r="AP60" i="2"/>
  <c r="AQ60" i="2"/>
  <c r="AR60" i="2"/>
  <c r="AS60" i="2"/>
  <c r="Y60" i="2"/>
  <c r="Y44" i="2"/>
  <c r="Z44" i="2"/>
  <c r="AA44" i="2"/>
  <c r="AB44" i="2"/>
  <c r="AC44" i="2"/>
  <c r="AD44" i="2"/>
  <c r="AE44" i="2"/>
  <c r="AF44" i="2"/>
  <c r="AG44" i="2"/>
  <c r="AH44" i="2"/>
  <c r="AI44" i="2"/>
  <c r="AJ44" i="2"/>
  <c r="AK44" i="2"/>
  <c r="AL44" i="2"/>
  <c r="AM44" i="2"/>
  <c r="AN44" i="2"/>
  <c r="AO44" i="2"/>
  <c r="AP44" i="2"/>
  <c r="AQ44" i="2"/>
  <c r="AR44" i="2"/>
  <c r="AS44" i="2"/>
  <c r="Z43" i="2"/>
  <c r="AA43" i="2"/>
  <c r="AB43" i="2"/>
  <c r="AC43" i="2"/>
  <c r="AD43" i="2"/>
  <c r="AE43" i="2"/>
  <c r="AF43" i="2"/>
  <c r="AG43" i="2"/>
  <c r="AH43" i="2"/>
  <c r="AI43" i="2"/>
  <c r="AJ43" i="2"/>
  <c r="AK43" i="2"/>
  <c r="AL43" i="2"/>
  <c r="AM43" i="2"/>
  <c r="AN43" i="2"/>
  <c r="AO43" i="2"/>
  <c r="AP43" i="2"/>
  <c r="AQ43" i="2"/>
  <c r="AR43" i="2"/>
  <c r="AS43" i="2"/>
  <c r="Y43" i="2"/>
  <c r="Y41" i="2"/>
  <c r="Z41" i="2"/>
  <c r="AA41" i="2"/>
  <c r="AB41" i="2"/>
  <c r="AC41" i="2"/>
  <c r="AD41" i="2"/>
  <c r="AE41" i="2"/>
  <c r="AF41" i="2"/>
  <c r="AG41" i="2"/>
  <c r="AH41" i="2"/>
  <c r="AI41" i="2"/>
  <c r="AJ41" i="2"/>
  <c r="AK41" i="2"/>
  <c r="AL41" i="2"/>
  <c r="AM41" i="2"/>
  <c r="AN41" i="2"/>
  <c r="AO41" i="2"/>
  <c r="AP41" i="2"/>
  <c r="AQ41" i="2"/>
  <c r="AR41" i="2"/>
  <c r="AS41" i="2"/>
  <c r="Z40" i="2"/>
  <c r="AA40" i="2"/>
  <c r="AB40" i="2"/>
  <c r="AC40" i="2"/>
  <c r="AD40" i="2"/>
  <c r="AE40" i="2"/>
  <c r="AF40" i="2"/>
  <c r="AG40" i="2"/>
  <c r="AH40" i="2"/>
  <c r="AI40" i="2"/>
  <c r="AJ40" i="2"/>
  <c r="AK40" i="2"/>
  <c r="AL40" i="2"/>
  <c r="AM40" i="2"/>
  <c r="AN40" i="2"/>
  <c r="AO40" i="2"/>
  <c r="AP40" i="2"/>
  <c r="AQ40" i="2"/>
  <c r="AR40" i="2"/>
  <c r="AS40" i="2"/>
  <c r="Y40" i="2"/>
  <c r="Y38" i="2"/>
  <c r="Z38" i="2"/>
  <c r="AA38" i="2"/>
  <c r="AB38" i="2"/>
  <c r="AC38" i="2"/>
  <c r="AD38" i="2"/>
  <c r="AE38" i="2"/>
  <c r="AF38" i="2"/>
  <c r="AG38" i="2"/>
  <c r="AH38" i="2"/>
  <c r="AI38" i="2"/>
  <c r="AJ38" i="2"/>
  <c r="AK38" i="2"/>
  <c r="AL38" i="2"/>
  <c r="AM38" i="2"/>
  <c r="AN38" i="2"/>
  <c r="AO38" i="2"/>
  <c r="AP38" i="2"/>
  <c r="AQ38" i="2"/>
  <c r="AR38" i="2"/>
  <c r="AS38" i="2"/>
  <c r="Z37" i="2"/>
  <c r="AA37" i="2"/>
  <c r="AB37" i="2"/>
  <c r="AC37" i="2"/>
  <c r="AD37" i="2"/>
  <c r="AE37" i="2"/>
  <c r="AF37" i="2"/>
  <c r="AG37" i="2"/>
  <c r="AH37" i="2"/>
  <c r="AI37" i="2"/>
  <c r="AJ37" i="2"/>
  <c r="AK37" i="2"/>
  <c r="AL37" i="2"/>
  <c r="AM37" i="2"/>
  <c r="AN37" i="2"/>
  <c r="AO37" i="2"/>
  <c r="AP37" i="2"/>
  <c r="AQ37" i="2"/>
  <c r="AR37" i="2"/>
  <c r="AS37" i="2"/>
  <c r="Y37" i="2"/>
  <c r="Y35" i="2"/>
  <c r="Z35" i="2"/>
  <c r="AA35" i="2"/>
  <c r="AB35" i="2"/>
  <c r="AC35" i="2"/>
  <c r="AD35" i="2"/>
  <c r="AE35" i="2"/>
  <c r="AF35" i="2"/>
  <c r="AG35" i="2"/>
  <c r="AH35" i="2"/>
  <c r="AI35" i="2"/>
  <c r="AJ35" i="2"/>
  <c r="AK35" i="2"/>
  <c r="AL35" i="2"/>
  <c r="AM35" i="2"/>
  <c r="AN35" i="2"/>
  <c r="AO35" i="2"/>
  <c r="AP35" i="2"/>
  <c r="AQ35" i="2"/>
  <c r="AR35" i="2"/>
  <c r="AS35" i="2"/>
  <c r="Z34" i="2"/>
  <c r="AA34" i="2"/>
  <c r="AB34" i="2"/>
  <c r="AC34" i="2"/>
  <c r="AD34" i="2"/>
  <c r="AE34" i="2"/>
  <c r="AF34" i="2"/>
  <c r="AG34" i="2"/>
  <c r="AH34" i="2"/>
  <c r="AI34" i="2"/>
  <c r="AJ34" i="2"/>
  <c r="AK34" i="2"/>
  <c r="AL34" i="2"/>
  <c r="AM34" i="2"/>
  <c r="AN34" i="2"/>
  <c r="AO34" i="2"/>
  <c r="AP34" i="2"/>
  <c r="AQ34" i="2"/>
  <c r="AR34" i="2"/>
  <c r="AS34" i="2"/>
  <c r="Y34" i="2"/>
  <c r="Y32" i="2"/>
  <c r="Z32" i="2"/>
  <c r="AA32" i="2"/>
  <c r="AB32" i="2"/>
  <c r="AC32" i="2"/>
  <c r="AD32" i="2"/>
  <c r="AE32" i="2"/>
  <c r="AF32" i="2"/>
  <c r="AG32" i="2"/>
  <c r="AH32" i="2"/>
  <c r="AI32" i="2"/>
  <c r="AJ32" i="2"/>
  <c r="AK32" i="2"/>
  <c r="AL32" i="2"/>
  <c r="AM32" i="2"/>
  <c r="AN32" i="2"/>
  <c r="AO32" i="2"/>
  <c r="AP32" i="2"/>
  <c r="AQ32" i="2"/>
  <c r="AR32" i="2"/>
  <c r="AS32" i="2"/>
  <c r="Z31" i="2"/>
  <c r="AA31" i="2"/>
  <c r="AB31" i="2"/>
  <c r="AC31" i="2"/>
  <c r="AD31" i="2"/>
  <c r="AE31" i="2"/>
  <c r="AF31" i="2"/>
  <c r="AG31" i="2"/>
  <c r="AH31" i="2"/>
  <c r="AI31" i="2"/>
  <c r="AJ31" i="2"/>
  <c r="AK31" i="2"/>
  <c r="AL31" i="2"/>
  <c r="AM31" i="2"/>
  <c r="AN31" i="2"/>
  <c r="AO31" i="2"/>
  <c r="AP31" i="2"/>
  <c r="AQ31" i="2"/>
  <c r="AR31" i="2"/>
  <c r="AS31" i="2"/>
  <c r="Y31" i="2"/>
  <c r="Y29" i="2"/>
  <c r="Z29" i="2"/>
  <c r="AA29" i="2"/>
  <c r="AB29" i="2"/>
  <c r="AC29" i="2"/>
  <c r="AD29" i="2"/>
  <c r="AE29" i="2"/>
  <c r="AF29" i="2"/>
  <c r="AG29" i="2"/>
  <c r="AH29" i="2"/>
  <c r="AI29" i="2"/>
  <c r="AJ29" i="2"/>
  <c r="AK29" i="2"/>
  <c r="AL29" i="2"/>
  <c r="AM29" i="2"/>
  <c r="AN29" i="2"/>
  <c r="AO29" i="2"/>
  <c r="AP29" i="2"/>
  <c r="AQ29" i="2"/>
  <c r="AR29" i="2"/>
  <c r="AS29" i="2"/>
  <c r="Z28" i="2"/>
  <c r="AA28" i="2"/>
  <c r="AB28" i="2"/>
  <c r="AC28" i="2"/>
  <c r="AD28" i="2"/>
  <c r="AE28" i="2"/>
  <c r="AF28" i="2"/>
  <c r="AG28" i="2"/>
  <c r="AH28" i="2"/>
  <c r="AI28" i="2"/>
  <c r="AJ28" i="2"/>
  <c r="AK28" i="2"/>
  <c r="AL28" i="2"/>
  <c r="AM28" i="2"/>
  <c r="AN28" i="2"/>
  <c r="AO28" i="2"/>
  <c r="AP28" i="2"/>
  <c r="AQ28" i="2"/>
  <c r="AR28" i="2"/>
  <c r="AS28" i="2"/>
  <c r="Y28" i="2"/>
  <c r="Y26" i="2"/>
  <c r="Z26" i="2"/>
  <c r="AA26" i="2"/>
  <c r="AB26" i="2"/>
  <c r="AC26" i="2"/>
  <c r="AD26" i="2"/>
  <c r="AE26" i="2"/>
  <c r="AF26" i="2"/>
  <c r="AG26" i="2"/>
  <c r="AH26" i="2"/>
  <c r="AI26" i="2"/>
  <c r="AJ26" i="2"/>
  <c r="AK26" i="2"/>
  <c r="AL26" i="2"/>
  <c r="AM26" i="2"/>
  <c r="AN26" i="2"/>
  <c r="AO26" i="2"/>
  <c r="AP26" i="2"/>
  <c r="AQ26" i="2"/>
  <c r="AR26" i="2"/>
  <c r="AS26" i="2"/>
  <c r="Z25" i="2"/>
  <c r="AA25" i="2"/>
  <c r="AB25" i="2"/>
  <c r="AC25" i="2"/>
  <c r="AD25" i="2"/>
  <c r="AE25" i="2"/>
  <c r="AF25" i="2"/>
  <c r="AG25" i="2"/>
  <c r="AH25" i="2"/>
  <c r="AI25" i="2"/>
  <c r="AJ25" i="2"/>
  <c r="AK25" i="2"/>
  <c r="AL25" i="2"/>
  <c r="AM25" i="2"/>
  <c r="AN25" i="2"/>
  <c r="AO25" i="2"/>
  <c r="AP25" i="2"/>
  <c r="AQ25" i="2"/>
  <c r="AR25" i="2"/>
  <c r="AS25" i="2"/>
  <c r="Y25" i="2"/>
  <c r="Y23" i="2"/>
  <c r="V75" i="2"/>
  <c r="B75" i="2"/>
  <c r="C75" i="2"/>
  <c r="D75" i="2"/>
  <c r="E75" i="2"/>
  <c r="F75" i="2"/>
  <c r="G75" i="2"/>
  <c r="H75" i="2"/>
  <c r="I75" i="2"/>
  <c r="J75" i="2"/>
  <c r="K75" i="2"/>
  <c r="L75" i="2"/>
  <c r="M75" i="2"/>
  <c r="N75" i="2"/>
  <c r="O75" i="2"/>
  <c r="P75" i="2"/>
  <c r="Q75" i="2"/>
  <c r="R75" i="2"/>
  <c r="S75" i="2"/>
  <c r="T75" i="2"/>
  <c r="U75" i="2"/>
  <c r="C74" i="2"/>
  <c r="D74" i="2"/>
  <c r="E74" i="2"/>
  <c r="F74" i="2"/>
  <c r="G74" i="2"/>
  <c r="H74" i="2"/>
  <c r="I74" i="2"/>
  <c r="J74" i="2"/>
  <c r="K74" i="2"/>
  <c r="L74" i="2"/>
  <c r="M74" i="2"/>
  <c r="N74" i="2"/>
  <c r="O74" i="2"/>
  <c r="P74" i="2"/>
  <c r="Q74" i="2"/>
  <c r="R74" i="2"/>
  <c r="S74" i="2"/>
  <c r="T74" i="2"/>
  <c r="U74" i="2"/>
  <c r="V74" i="2"/>
  <c r="V48" i="2"/>
  <c r="Z23" i="2"/>
  <c r="AA23" i="2"/>
  <c r="AB23" i="2"/>
  <c r="AC23" i="2"/>
  <c r="AD23" i="2"/>
  <c r="AE23" i="2"/>
  <c r="AF23" i="2"/>
  <c r="AG23" i="2"/>
  <c r="AH23" i="2"/>
  <c r="AI23" i="2"/>
  <c r="AJ23" i="2"/>
  <c r="AK23" i="2"/>
  <c r="AL23" i="2"/>
  <c r="AM23" i="2"/>
  <c r="AN23" i="2"/>
  <c r="AO23" i="2"/>
  <c r="AP23" i="2"/>
  <c r="AQ23" i="2"/>
  <c r="AR23" i="2"/>
  <c r="AS23" i="2"/>
  <c r="Z22" i="2"/>
  <c r="AA22" i="2"/>
  <c r="AB22" i="2"/>
  <c r="AC22" i="2"/>
  <c r="AD22" i="2"/>
  <c r="AE22" i="2"/>
  <c r="AF22" i="2"/>
  <c r="AG22" i="2"/>
  <c r="AH22" i="2"/>
  <c r="AI22" i="2"/>
  <c r="AJ22" i="2"/>
  <c r="AK22" i="2"/>
  <c r="AL22" i="2"/>
  <c r="AM22" i="2"/>
  <c r="AN22" i="2"/>
  <c r="AO22" i="2"/>
  <c r="AP22" i="2"/>
  <c r="AQ22" i="2"/>
  <c r="AR22" i="2"/>
  <c r="AS22" i="2"/>
  <c r="Y22" i="2"/>
  <c r="B96" i="2"/>
  <c r="C96" i="2"/>
  <c r="D96" i="2"/>
  <c r="E96" i="2"/>
  <c r="F96" i="2"/>
  <c r="G96" i="2"/>
  <c r="H96" i="2"/>
  <c r="I96" i="2"/>
  <c r="J96" i="2"/>
  <c r="K96" i="2"/>
  <c r="L96" i="2"/>
  <c r="M96" i="2"/>
  <c r="N96" i="2"/>
  <c r="O96" i="2"/>
  <c r="P96" i="2"/>
  <c r="Q96" i="2"/>
  <c r="R96" i="2"/>
  <c r="S96" i="2"/>
  <c r="T96" i="2"/>
  <c r="U96" i="2"/>
  <c r="V96" i="2"/>
  <c r="C95" i="2"/>
  <c r="D95" i="2"/>
  <c r="E95" i="2"/>
  <c r="F95" i="2"/>
  <c r="G95" i="2"/>
  <c r="H95" i="2"/>
  <c r="I95" i="2"/>
  <c r="J95" i="2"/>
  <c r="K95" i="2"/>
  <c r="L95" i="2"/>
  <c r="M95" i="2"/>
  <c r="N95" i="2"/>
  <c r="O95" i="2"/>
  <c r="P95" i="2"/>
  <c r="Q95" i="2"/>
  <c r="R95" i="2"/>
  <c r="S95" i="2"/>
  <c r="T95" i="2"/>
  <c r="U95" i="2"/>
  <c r="V95" i="2"/>
  <c r="B95" i="2"/>
  <c r="B93" i="2"/>
  <c r="C93" i="2"/>
  <c r="D93" i="2"/>
  <c r="E93" i="2"/>
  <c r="F93" i="2"/>
  <c r="G93" i="2"/>
  <c r="H93" i="2"/>
  <c r="I93" i="2"/>
  <c r="J93" i="2"/>
  <c r="K93" i="2"/>
  <c r="L93" i="2"/>
  <c r="M93" i="2"/>
  <c r="N93" i="2"/>
  <c r="O93" i="2"/>
  <c r="P93" i="2"/>
  <c r="Q93" i="2"/>
  <c r="R93" i="2"/>
  <c r="S93" i="2"/>
  <c r="T93" i="2"/>
  <c r="U93" i="2"/>
  <c r="V93" i="2"/>
  <c r="C92" i="2"/>
  <c r="D92" i="2"/>
  <c r="E92" i="2"/>
  <c r="F92" i="2"/>
  <c r="G92" i="2"/>
  <c r="H92" i="2"/>
  <c r="I92" i="2"/>
  <c r="J92" i="2"/>
  <c r="K92" i="2"/>
  <c r="L92" i="2"/>
  <c r="M92" i="2"/>
  <c r="N92" i="2"/>
  <c r="O92" i="2"/>
  <c r="P92" i="2"/>
  <c r="Q92" i="2"/>
  <c r="R92" i="2"/>
  <c r="S92" i="2"/>
  <c r="T92" i="2"/>
  <c r="U92" i="2"/>
  <c r="V92" i="2"/>
  <c r="B92" i="2"/>
  <c r="B90" i="2"/>
  <c r="C90" i="2"/>
  <c r="D90" i="2"/>
  <c r="E90" i="2"/>
  <c r="F90" i="2"/>
  <c r="G90" i="2"/>
  <c r="H90" i="2"/>
  <c r="I90" i="2"/>
  <c r="J90" i="2"/>
  <c r="K90" i="2"/>
  <c r="L90" i="2"/>
  <c r="M90" i="2"/>
  <c r="N90" i="2"/>
  <c r="O90" i="2"/>
  <c r="P90" i="2"/>
  <c r="Q90" i="2"/>
  <c r="R90" i="2"/>
  <c r="S90" i="2"/>
  <c r="T90" i="2"/>
  <c r="U90" i="2"/>
  <c r="V90" i="2"/>
  <c r="C89" i="2"/>
  <c r="D89" i="2"/>
  <c r="E89" i="2"/>
  <c r="F89" i="2"/>
  <c r="G89" i="2"/>
  <c r="H89" i="2"/>
  <c r="I89" i="2"/>
  <c r="J89" i="2"/>
  <c r="K89" i="2"/>
  <c r="L89" i="2"/>
  <c r="M89" i="2"/>
  <c r="N89" i="2"/>
  <c r="O89" i="2"/>
  <c r="P89" i="2"/>
  <c r="Q89" i="2"/>
  <c r="R89" i="2"/>
  <c r="S89" i="2"/>
  <c r="T89" i="2"/>
  <c r="U89" i="2"/>
  <c r="V89" i="2"/>
  <c r="B89" i="2"/>
  <c r="B87" i="2"/>
  <c r="C87" i="2"/>
  <c r="D87" i="2"/>
  <c r="E87" i="2"/>
  <c r="F87" i="2"/>
  <c r="G87" i="2"/>
  <c r="H87" i="2"/>
  <c r="I87" i="2"/>
  <c r="J87" i="2"/>
  <c r="K87" i="2"/>
  <c r="L87" i="2"/>
  <c r="M87" i="2"/>
  <c r="N87" i="2"/>
  <c r="O87" i="2"/>
  <c r="P87" i="2"/>
  <c r="Q87" i="2"/>
  <c r="R87" i="2"/>
  <c r="S87" i="2"/>
  <c r="T87" i="2"/>
  <c r="U87" i="2"/>
  <c r="V87" i="2"/>
  <c r="C86" i="2"/>
  <c r="D86" i="2"/>
  <c r="E86" i="2"/>
  <c r="F86" i="2"/>
  <c r="G86" i="2"/>
  <c r="H86" i="2"/>
  <c r="I86" i="2"/>
  <c r="J86" i="2"/>
  <c r="K86" i="2"/>
  <c r="L86" i="2"/>
  <c r="M86" i="2"/>
  <c r="N86" i="2"/>
  <c r="O86" i="2"/>
  <c r="P86" i="2"/>
  <c r="Q86" i="2"/>
  <c r="R86" i="2"/>
  <c r="S86" i="2"/>
  <c r="T86" i="2"/>
  <c r="U86" i="2"/>
  <c r="V86" i="2"/>
  <c r="B86" i="2"/>
  <c r="B84" i="2"/>
  <c r="C84" i="2"/>
  <c r="D84" i="2"/>
  <c r="E84" i="2"/>
  <c r="F84" i="2"/>
  <c r="G84" i="2"/>
  <c r="H84" i="2"/>
  <c r="I84" i="2"/>
  <c r="J84" i="2"/>
  <c r="K84" i="2"/>
  <c r="L84" i="2"/>
  <c r="M84" i="2"/>
  <c r="N84" i="2"/>
  <c r="O84" i="2"/>
  <c r="P84" i="2"/>
  <c r="Q84" i="2"/>
  <c r="R84" i="2"/>
  <c r="S84" i="2"/>
  <c r="T84" i="2"/>
  <c r="U84" i="2"/>
  <c r="V84" i="2"/>
  <c r="C83" i="2"/>
  <c r="D83" i="2"/>
  <c r="E83" i="2"/>
  <c r="F83" i="2"/>
  <c r="G83" i="2"/>
  <c r="H83" i="2"/>
  <c r="I83" i="2"/>
  <c r="J83" i="2"/>
  <c r="K83" i="2"/>
  <c r="L83" i="2"/>
  <c r="M83" i="2"/>
  <c r="N83" i="2"/>
  <c r="O83" i="2"/>
  <c r="P83" i="2"/>
  <c r="Q83" i="2"/>
  <c r="R83" i="2"/>
  <c r="S83" i="2"/>
  <c r="T83" i="2"/>
  <c r="U83" i="2"/>
  <c r="V83" i="2"/>
  <c r="B83" i="2"/>
  <c r="B81" i="2"/>
  <c r="C81" i="2"/>
  <c r="D81" i="2"/>
  <c r="E81" i="2"/>
  <c r="F81" i="2"/>
  <c r="G81" i="2"/>
  <c r="H81" i="2"/>
  <c r="I81" i="2"/>
  <c r="J81" i="2"/>
  <c r="K81" i="2"/>
  <c r="L81" i="2"/>
  <c r="M81" i="2"/>
  <c r="N81" i="2"/>
  <c r="O81" i="2"/>
  <c r="P81" i="2"/>
  <c r="Q81" i="2"/>
  <c r="R81" i="2"/>
  <c r="S81" i="2"/>
  <c r="T81" i="2"/>
  <c r="U81" i="2"/>
  <c r="V81" i="2"/>
  <c r="C80" i="2"/>
  <c r="D80" i="2"/>
  <c r="E80" i="2"/>
  <c r="F80" i="2"/>
  <c r="G80" i="2"/>
  <c r="H80" i="2"/>
  <c r="I80" i="2"/>
  <c r="J80" i="2"/>
  <c r="K80" i="2"/>
  <c r="L80" i="2"/>
  <c r="M80" i="2"/>
  <c r="N80" i="2"/>
  <c r="O80" i="2"/>
  <c r="P80" i="2"/>
  <c r="Q80" i="2"/>
  <c r="R80" i="2"/>
  <c r="S80" i="2"/>
  <c r="T80" i="2"/>
  <c r="U80" i="2"/>
  <c r="V80" i="2"/>
  <c r="B80" i="2"/>
  <c r="B77" i="2"/>
  <c r="B78" i="2"/>
  <c r="C78" i="2"/>
  <c r="D78" i="2"/>
  <c r="E78" i="2"/>
  <c r="F78" i="2"/>
  <c r="G78" i="2"/>
  <c r="H78" i="2"/>
  <c r="I78" i="2"/>
  <c r="J78" i="2"/>
  <c r="K78" i="2"/>
  <c r="L78" i="2"/>
  <c r="M78" i="2"/>
  <c r="N78" i="2"/>
  <c r="O78" i="2"/>
  <c r="P78" i="2"/>
  <c r="Q78" i="2"/>
  <c r="R78" i="2"/>
  <c r="S78" i="2"/>
  <c r="T78" i="2"/>
  <c r="U78" i="2"/>
  <c r="V78" i="2"/>
  <c r="C77" i="2"/>
  <c r="D77" i="2"/>
  <c r="E77" i="2"/>
  <c r="F77" i="2"/>
  <c r="G77" i="2"/>
  <c r="H77" i="2"/>
  <c r="I77" i="2"/>
  <c r="J77" i="2"/>
  <c r="K77" i="2"/>
  <c r="L77" i="2"/>
  <c r="M77" i="2"/>
  <c r="N77" i="2"/>
  <c r="O77" i="2"/>
  <c r="P77" i="2"/>
  <c r="Q77" i="2"/>
  <c r="R77" i="2"/>
  <c r="S77" i="2"/>
  <c r="T77" i="2"/>
  <c r="U77" i="2"/>
  <c r="V77" i="2"/>
  <c r="B74" i="2"/>
  <c r="B48" i="2"/>
  <c r="B23" i="2"/>
  <c r="C48" i="2"/>
  <c r="C31" i="2"/>
  <c r="B22" i="2"/>
  <c r="C23" i="2"/>
  <c r="D31" i="6"/>
  <c r="G8" i="7"/>
  <c r="G10" i="7"/>
  <c r="D13" i="7"/>
  <c r="G15" i="7" s="1"/>
  <c r="G19" i="7"/>
  <c r="G18" i="7"/>
  <c r="G17" i="7"/>
  <c r="G16" i="7"/>
  <c r="G12" i="7"/>
  <c r="G11" i="7"/>
  <c r="G9" i="7"/>
  <c r="G7" i="7"/>
  <c r="G6" i="7"/>
  <c r="G5" i="7"/>
  <c r="C3" i="6"/>
  <c r="C4" i="6"/>
  <c r="C5" i="6"/>
  <c r="C6" i="6"/>
  <c r="C7" i="6"/>
  <c r="C8" i="6"/>
  <c r="C9" i="6"/>
  <c r="C10" i="6"/>
  <c r="C11" i="6"/>
  <c r="C12" i="6"/>
  <c r="C13" i="6"/>
  <c r="C14" i="6"/>
  <c r="C15" i="6"/>
  <c r="C16" i="6"/>
  <c r="C17" i="6"/>
  <c r="C18" i="6"/>
  <c r="C19" i="6"/>
  <c r="C20" i="6"/>
  <c r="C21" i="6"/>
  <c r="C22" i="6"/>
  <c r="C23" i="6"/>
  <c r="C24" i="6"/>
  <c r="C25" i="6"/>
  <c r="C26" i="6"/>
  <c r="C27" i="6"/>
  <c r="C28" i="6"/>
  <c r="C2" i="6"/>
  <c r="F10" i="6" l="1"/>
  <c r="G13" i="7"/>
  <c r="G21" i="7"/>
  <c r="H18" i="7" s="1"/>
  <c r="J6" i="7" s="1"/>
  <c r="F5" i="6"/>
  <c r="H15" i="7" l="1"/>
  <c r="H13" i="7"/>
  <c r="J4" i="7" s="1"/>
  <c r="H10" i="7"/>
  <c r="H6" i="7"/>
  <c r="H5" i="7"/>
  <c r="J8" i="7" s="1"/>
  <c r="H12" i="7"/>
  <c r="H11" i="7"/>
  <c r="H14" i="7"/>
  <c r="H17" i="7"/>
  <c r="J7" i="7" s="1"/>
  <c r="H7" i="7"/>
  <c r="J11" i="7" s="1"/>
  <c r="H8" i="7"/>
  <c r="H4" i="7"/>
  <c r="J9" i="7" s="1"/>
  <c r="H19" i="7"/>
  <c r="H16" i="7"/>
  <c r="H9" i="7"/>
  <c r="J10" i="7" l="1"/>
  <c r="J5" i="7"/>
  <c r="G19" i="5" l="1"/>
  <c r="G17" i="5"/>
  <c r="G18" i="5"/>
  <c r="G16" i="5"/>
  <c r="G15" i="5"/>
  <c r="G13" i="5"/>
  <c r="G11" i="5"/>
  <c r="G12" i="5"/>
  <c r="G10" i="5"/>
  <c r="G7" i="5"/>
  <c r="G8" i="5"/>
  <c r="G9" i="5"/>
  <c r="G6" i="5"/>
  <c r="G5" i="5"/>
  <c r="G21" i="5" l="1"/>
  <c r="H11" i="5" s="1"/>
  <c r="W23" i="1"/>
  <c r="W19" i="1"/>
  <c r="W7" i="1"/>
  <c r="W4" i="1"/>
  <c r="H5" i="5" l="1"/>
  <c r="J8" i="5" s="1"/>
  <c r="H15" i="5"/>
  <c r="H18" i="5"/>
  <c r="J6" i="5" s="1"/>
  <c r="H19" i="5"/>
  <c r="H17" i="5"/>
  <c r="J7" i="5" s="1"/>
  <c r="H13" i="5"/>
  <c r="J4" i="5" s="1"/>
  <c r="H7" i="5"/>
  <c r="H14" i="5"/>
  <c r="H10" i="5"/>
  <c r="H6" i="5"/>
  <c r="H9" i="5"/>
  <c r="H8" i="5"/>
  <c r="H4" i="5"/>
  <c r="J9" i="5" s="1"/>
  <c r="H16" i="5"/>
  <c r="H12" i="5"/>
  <c r="J10" i="5"/>
  <c r="W5" i="2"/>
  <c r="W6" i="2"/>
  <c r="W7" i="2"/>
  <c r="W8" i="2"/>
  <c r="W9" i="2"/>
  <c r="W10" i="2"/>
  <c r="W11" i="2"/>
  <c r="W4" i="2"/>
  <c r="J11" i="5" l="1"/>
  <c r="J5" i="5"/>
  <c r="H13" i="2"/>
  <c r="R24" i="1" l="1"/>
  <c r="Q23" i="1" l="1"/>
  <c r="R23" i="1" l="1"/>
  <c r="R26" i="1"/>
  <c r="Q4" i="1"/>
  <c r="R4" i="1"/>
  <c r="O9" i="2" l="1"/>
  <c r="O10" i="2"/>
  <c r="O11" i="2"/>
  <c r="O8" i="2"/>
  <c r="T23" i="1" l="1"/>
  <c r="T4" i="1"/>
  <c r="F32" i="4" l="1"/>
  <c r="H32" i="4"/>
  <c r="H33" i="4"/>
  <c r="H34" i="4"/>
  <c r="H35" i="4"/>
  <c r="H36" i="4"/>
  <c r="H37" i="4"/>
  <c r="F46" i="4"/>
  <c r="F47" i="4"/>
  <c r="F48" i="4"/>
  <c r="F49" i="4"/>
  <c r="F50" i="4"/>
  <c r="F45" i="4"/>
  <c r="F33" i="4"/>
  <c r="F34" i="4"/>
  <c r="F35" i="4"/>
  <c r="F36" i="4"/>
  <c r="F37" i="4"/>
  <c r="F20" i="4"/>
  <c r="F21" i="4"/>
  <c r="F22" i="4"/>
  <c r="F23" i="4"/>
  <c r="F24" i="4"/>
  <c r="F19" i="4"/>
  <c r="F12" i="4"/>
  <c r="F8" i="4"/>
  <c r="F9" i="4"/>
  <c r="F10" i="4"/>
  <c r="F11" i="4"/>
  <c r="F7" i="4"/>
  <c r="T7" i="1" l="1"/>
  <c r="U7" i="1"/>
  <c r="U4" i="1"/>
  <c r="U23" i="1"/>
  <c r="U19" i="1"/>
  <c r="T19" i="1"/>
  <c r="L26" i="1" l="1"/>
  <c r="R5" i="1" l="1"/>
  <c r="R6" i="1"/>
  <c r="R8" i="1"/>
  <c r="L8" i="1" s="1"/>
  <c r="R9" i="1"/>
  <c r="L9" i="1" s="1"/>
  <c r="R10" i="1"/>
  <c r="L10" i="1" s="1"/>
  <c r="R11" i="1"/>
  <c r="L11" i="1" s="1"/>
  <c r="R12" i="1"/>
  <c r="L12" i="1" s="1"/>
  <c r="R13" i="1"/>
  <c r="R14" i="1"/>
  <c r="R15" i="1"/>
  <c r="R16" i="1"/>
  <c r="R17" i="1"/>
  <c r="R18" i="1"/>
  <c r="R20" i="1"/>
  <c r="R21" i="1"/>
  <c r="R22" i="1"/>
  <c r="R25" i="1"/>
  <c r="R27" i="1"/>
  <c r="R28" i="1"/>
  <c r="R3" i="1"/>
  <c r="D66" i="2"/>
  <c r="B70" i="2"/>
  <c r="C70" i="2"/>
  <c r="D70" i="2"/>
  <c r="E70" i="2"/>
  <c r="F70" i="2"/>
  <c r="G70" i="2"/>
  <c r="H70" i="2"/>
  <c r="I70" i="2"/>
  <c r="J70" i="2"/>
  <c r="K70" i="2"/>
  <c r="L70" i="2"/>
  <c r="M70" i="2"/>
  <c r="N70" i="2"/>
  <c r="O70" i="2"/>
  <c r="P70" i="2"/>
  <c r="Q70" i="2"/>
  <c r="R70" i="2"/>
  <c r="S70" i="2"/>
  <c r="T70" i="2"/>
  <c r="U70" i="2"/>
  <c r="V70" i="2"/>
  <c r="C69" i="2"/>
  <c r="D69" i="2"/>
  <c r="E69" i="2"/>
  <c r="F69" i="2"/>
  <c r="G69" i="2"/>
  <c r="H69" i="2"/>
  <c r="I69" i="2"/>
  <c r="J69" i="2"/>
  <c r="K69" i="2"/>
  <c r="L69" i="2"/>
  <c r="M69" i="2"/>
  <c r="N69" i="2"/>
  <c r="O69" i="2"/>
  <c r="P69" i="2"/>
  <c r="Q69" i="2"/>
  <c r="R69" i="2"/>
  <c r="S69" i="2"/>
  <c r="T69" i="2"/>
  <c r="U69" i="2"/>
  <c r="V69" i="2"/>
  <c r="B69" i="2"/>
  <c r="B66" i="2"/>
  <c r="B67" i="2"/>
  <c r="C67" i="2"/>
  <c r="D67" i="2"/>
  <c r="E67" i="2"/>
  <c r="F67" i="2"/>
  <c r="G67" i="2"/>
  <c r="H67" i="2"/>
  <c r="I67" i="2"/>
  <c r="J67" i="2"/>
  <c r="K67" i="2"/>
  <c r="L67" i="2"/>
  <c r="M67" i="2"/>
  <c r="N67" i="2"/>
  <c r="O67" i="2"/>
  <c r="P67" i="2"/>
  <c r="Q67" i="2"/>
  <c r="R67" i="2"/>
  <c r="S67" i="2"/>
  <c r="T67" i="2"/>
  <c r="U67" i="2"/>
  <c r="V67" i="2"/>
  <c r="C66" i="2"/>
  <c r="E66" i="2"/>
  <c r="F66" i="2"/>
  <c r="G66" i="2"/>
  <c r="H66" i="2"/>
  <c r="I66" i="2"/>
  <c r="J66" i="2"/>
  <c r="K66" i="2"/>
  <c r="L66" i="2"/>
  <c r="M66" i="2"/>
  <c r="N66" i="2"/>
  <c r="O66" i="2"/>
  <c r="P66" i="2"/>
  <c r="Q66" i="2"/>
  <c r="R66" i="2"/>
  <c r="S66" i="2"/>
  <c r="T66" i="2"/>
  <c r="U66" i="2"/>
  <c r="V66" i="2"/>
  <c r="B64" i="2"/>
  <c r="C64" i="2"/>
  <c r="D64" i="2"/>
  <c r="E64" i="2"/>
  <c r="F64" i="2"/>
  <c r="G64" i="2"/>
  <c r="H64" i="2"/>
  <c r="I64" i="2"/>
  <c r="J64" i="2"/>
  <c r="K64" i="2"/>
  <c r="L64" i="2"/>
  <c r="M64" i="2"/>
  <c r="N64" i="2"/>
  <c r="O64" i="2"/>
  <c r="P64" i="2"/>
  <c r="Q64" i="2"/>
  <c r="R64" i="2"/>
  <c r="S64" i="2"/>
  <c r="T64" i="2"/>
  <c r="U64" i="2"/>
  <c r="V64" i="2"/>
  <c r="C63" i="2"/>
  <c r="D63" i="2"/>
  <c r="E63" i="2"/>
  <c r="F63" i="2"/>
  <c r="G63" i="2"/>
  <c r="H63" i="2"/>
  <c r="I63" i="2"/>
  <c r="J63" i="2"/>
  <c r="K63" i="2"/>
  <c r="L63" i="2"/>
  <c r="M63" i="2"/>
  <c r="N63" i="2"/>
  <c r="O63" i="2"/>
  <c r="P63" i="2"/>
  <c r="Q63" i="2"/>
  <c r="R63" i="2"/>
  <c r="S63" i="2"/>
  <c r="T63" i="2"/>
  <c r="U63" i="2"/>
  <c r="V63" i="2"/>
  <c r="B63" i="2"/>
  <c r="B60" i="2"/>
  <c r="B61" i="2"/>
  <c r="C61" i="2"/>
  <c r="D61" i="2"/>
  <c r="E61" i="2"/>
  <c r="F61" i="2"/>
  <c r="G61" i="2"/>
  <c r="H61" i="2"/>
  <c r="I61" i="2"/>
  <c r="J61" i="2"/>
  <c r="K61" i="2"/>
  <c r="L61" i="2"/>
  <c r="M61" i="2"/>
  <c r="N61" i="2"/>
  <c r="O61" i="2"/>
  <c r="P61" i="2"/>
  <c r="Q61" i="2"/>
  <c r="R61" i="2"/>
  <c r="S61" i="2"/>
  <c r="T61" i="2"/>
  <c r="U61" i="2"/>
  <c r="V61" i="2"/>
  <c r="C60" i="2"/>
  <c r="D60" i="2"/>
  <c r="E60" i="2"/>
  <c r="F60" i="2"/>
  <c r="G60" i="2"/>
  <c r="H60" i="2"/>
  <c r="I60" i="2"/>
  <c r="J60" i="2"/>
  <c r="K60" i="2"/>
  <c r="L60" i="2"/>
  <c r="M60" i="2"/>
  <c r="N60" i="2"/>
  <c r="O60" i="2"/>
  <c r="P60" i="2"/>
  <c r="Q60" i="2"/>
  <c r="R60" i="2"/>
  <c r="S60" i="2"/>
  <c r="T60" i="2"/>
  <c r="U60" i="2"/>
  <c r="V60" i="2"/>
  <c r="B58" i="2"/>
  <c r="C58" i="2"/>
  <c r="D58" i="2"/>
  <c r="E58" i="2"/>
  <c r="F58" i="2"/>
  <c r="G58" i="2"/>
  <c r="H58" i="2"/>
  <c r="I58" i="2"/>
  <c r="J58" i="2"/>
  <c r="K58" i="2"/>
  <c r="L58" i="2"/>
  <c r="M58" i="2"/>
  <c r="N58" i="2"/>
  <c r="O58" i="2"/>
  <c r="P58" i="2"/>
  <c r="Q58" i="2"/>
  <c r="R58" i="2"/>
  <c r="S58" i="2"/>
  <c r="T58" i="2"/>
  <c r="U58" i="2"/>
  <c r="V58" i="2"/>
  <c r="C57" i="2"/>
  <c r="D57" i="2"/>
  <c r="E57" i="2"/>
  <c r="F57" i="2"/>
  <c r="G57" i="2"/>
  <c r="H57" i="2"/>
  <c r="I57" i="2"/>
  <c r="J57" i="2"/>
  <c r="K57" i="2"/>
  <c r="L57" i="2"/>
  <c r="M57" i="2"/>
  <c r="N57" i="2"/>
  <c r="O57" i="2"/>
  <c r="P57" i="2"/>
  <c r="Q57" i="2"/>
  <c r="R57" i="2"/>
  <c r="S57" i="2"/>
  <c r="T57" i="2"/>
  <c r="U57" i="2"/>
  <c r="V57" i="2"/>
  <c r="B57" i="2"/>
  <c r="B55" i="2"/>
  <c r="C55" i="2"/>
  <c r="D55" i="2"/>
  <c r="E55" i="2"/>
  <c r="F55" i="2"/>
  <c r="G55" i="2"/>
  <c r="H55" i="2"/>
  <c r="I55" i="2"/>
  <c r="J55" i="2"/>
  <c r="K55" i="2"/>
  <c r="L55" i="2"/>
  <c r="M55" i="2"/>
  <c r="N55" i="2"/>
  <c r="O55" i="2"/>
  <c r="P55" i="2"/>
  <c r="Q55" i="2"/>
  <c r="R55" i="2"/>
  <c r="S55" i="2"/>
  <c r="T55" i="2"/>
  <c r="U55" i="2"/>
  <c r="V55" i="2"/>
  <c r="C54" i="2"/>
  <c r="D54" i="2"/>
  <c r="E54" i="2"/>
  <c r="F54" i="2"/>
  <c r="G54" i="2"/>
  <c r="H54" i="2"/>
  <c r="I54" i="2"/>
  <c r="J54" i="2"/>
  <c r="K54" i="2"/>
  <c r="L54" i="2"/>
  <c r="M54" i="2"/>
  <c r="N54" i="2"/>
  <c r="O54" i="2"/>
  <c r="P54" i="2"/>
  <c r="Q54" i="2"/>
  <c r="R54" i="2"/>
  <c r="S54" i="2"/>
  <c r="T54" i="2"/>
  <c r="U54" i="2"/>
  <c r="V54" i="2"/>
  <c r="B54" i="2"/>
  <c r="B52" i="2"/>
  <c r="C52" i="2"/>
  <c r="D52" i="2"/>
  <c r="E52" i="2"/>
  <c r="F52" i="2"/>
  <c r="G52" i="2"/>
  <c r="H52" i="2"/>
  <c r="I52" i="2"/>
  <c r="J52" i="2"/>
  <c r="K52" i="2"/>
  <c r="L52" i="2"/>
  <c r="M52" i="2"/>
  <c r="N52" i="2"/>
  <c r="O52" i="2"/>
  <c r="P52" i="2"/>
  <c r="Q52" i="2"/>
  <c r="R52" i="2"/>
  <c r="S52" i="2"/>
  <c r="T52" i="2"/>
  <c r="U52" i="2"/>
  <c r="V52" i="2"/>
  <c r="C51" i="2"/>
  <c r="D51" i="2"/>
  <c r="E51" i="2"/>
  <c r="F51" i="2"/>
  <c r="G51" i="2"/>
  <c r="H51" i="2"/>
  <c r="I51" i="2"/>
  <c r="J51" i="2"/>
  <c r="K51" i="2"/>
  <c r="L51" i="2"/>
  <c r="M51" i="2"/>
  <c r="N51" i="2"/>
  <c r="O51" i="2"/>
  <c r="P51" i="2"/>
  <c r="Q51" i="2"/>
  <c r="R51" i="2"/>
  <c r="S51" i="2"/>
  <c r="T51" i="2"/>
  <c r="U51" i="2"/>
  <c r="V51" i="2"/>
  <c r="B51" i="2"/>
  <c r="U49" i="2"/>
  <c r="B49" i="2"/>
  <c r="C49" i="2"/>
  <c r="D49" i="2"/>
  <c r="E49" i="2"/>
  <c r="F49" i="2"/>
  <c r="G49" i="2"/>
  <c r="H49" i="2"/>
  <c r="I49" i="2"/>
  <c r="J49" i="2"/>
  <c r="K49" i="2"/>
  <c r="L49" i="2"/>
  <c r="M49" i="2"/>
  <c r="N49" i="2"/>
  <c r="O49" i="2"/>
  <c r="P49" i="2"/>
  <c r="Q49" i="2"/>
  <c r="R49" i="2"/>
  <c r="S49" i="2"/>
  <c r="T49" i="2"/>
  <c r="V49" i="2"/>
  <c r="D48" i="2"/>
  <c r="E48" i="2"/>
  <c r="F48" i="2"/>
  <c r="G48" i="2"/>
  <c r="H48" i="2"/>
  <c r="I48" i="2"/>
  <c r="J48" i="2"/>
  <c r="K48" i="2"/>
  <c r="L48" i="2"/>
  <c r="M48" i="2"/>
  <c r="N48" i="2"/>
  <c r="O48" i="2"/>
  <c r="P48" i="2"/>
  <c r="Q48" i="2"/>
  <c r="R48" i="2"/>
  <c r="S48" i="2"/>
  <c r="T48" i="2"/>
  <c r="U48" i="2"/>
  <c r="F44" i="2"/>
  <c r="B44" i="2"/>
  <c r="C44" i="2"/>
  <c r="D44" i="2"/>
  <c r="E44" i="2"/>
  <c r="G44" i="2"/>
  <c r="H44" i="2"/>
  <c r="I44" i="2"/>
  <c r="J44" i="2"/>
  <c r="K44" i="2"/>
  <c r="L44" i="2"/>
  <c r="M44" i="2"/>
  <c r="N44" i="2"/>
  <c r="O44" i="2"/>
  <c r="P44" i="2"/>
  <c r="Q44" i="2"/>
  <c r="R44" i="2"/>
  <c r="S44" i="2"/>
  <c r="T44" i="2"/>
  <c r="U44" i="2"/>
  <c r="V44" i="2"/>
  <c r="C43" i="2"/>
  <c r="D43" i="2"/>
  <c r="E43" i="2"/>
  <c r="F43" i="2"/>
  <c r="G43" i="2"/>
  <c r="H43" i="2"/>
  <c r="I43" i="2"/>
  <c r="J43" i="2"/>
  <c r="K43" i="2"/>
  <c r="L43" i="2"/>
  <c r="M43" i="2"/>
  <c r="N43" i="2"/>
  <c r="O43" i="2"/>
  <c r="P43" i="2"/>
  <c r="Q43" i="2"/>
  <c r="R43" i="2"/>
  <c r="S43" i="2"/>
  <c r="T43" i="2"/>
  <c r="U43" i="2"/>
  <c r="V43" i="2"/>
  <c r="B43" i="2"/>
  <c r="B41" i="2"/>
  <c r="C41" i="2"/>
  <c r="D41" i="2"/>
  <c r="E41" i="2"/>
  <c r="F41" i="2"/>
  <c r="G41" i="2"/>
  <c r="H41" i="2"/>
  <c r="I41" i="2"/>
  <c r="J41" i="2"/>
  <c r="K41" i="2"/>
  <c r="L41" i="2"/>
  <c r="M41" i="2"/>
  <c r="N41" i="2"/>
  <c r="O41" i="2"/>
  <c r="P41" i="2"/>
  <c r="Q41" i="2"/>
  <c r="R41" i="2"/>
  <c r="S41" i="2"/>
  <c r="T41" i="2"/>
  <c r="U41" i="2"/>
  <c r="V41" i="2"/>
  <c r="C40" i="2"/>
  <c r="D40" i="2"/>
  <c r="E40" i="2"/>
  <c r="F40" i="2"/>
  <c r="G40" i="2"/>
  <c r="H40" i="2"/>
  <c r="I40" i="2"/>
  <c r="J40" i="2"/>
  <c r="K40" i="2"/>
  <c r="L40" i="2"/>
  <c r="M40" i="2"/>
  <c r="N40" i="2"/>
  <c r="O40" i="2"/>
  <c r="P40" i="2"/>
  <c r="Q40" i="2"/>
  <c r="R40" i="2"/>
  <c r="S40" i="2"/>
  <c r="T40" i="2"/>
  <c r="U40" i="2"/>
  <c r="V40" i="2"/>
  <c r="B40" i="2"/>
  <c r="B38" i="2"/>
  <c r="C38" i="2"/>
  <c r="D38" i="2"/>
  <c r="E38" i="2"/>
  <c r="F38" i="2"/>
  <c r="G38" i="2"/>
  <c r="H38" i="2"/>
  <c r="I38" i="2"/>
  <c r="J38" i="2"/>
  <c r="K38" i="2"/>
  <c r="L38" i="2"/>
  <c r="M38" i="2"/>
  <c r="N38" i="2"/>
  <c r="O38" i="2"/>
  <c r="P38" i="2"/>
  <c r="Q38" i="2"/>
  <c r="R38" i="2"/>
  <c r="S38" i="2"/>
  <c r="T38" i="2"/>
  <c r="U38" i="2"/>
  <c r="V38" i="2"/>
  <c r="C37" i="2"/>
  <c r="D37" i="2"/>
  <c r="E37" i="2"/>
  <c r="F37" i="2"/>
  <c r="G37" i="2"/>
  <c r="H37" i="2"/>
  <c r="I37" i="2"/>
  <c r="J37" i="2"/>
  <c r="K37" i="2"/>
  <c r="L37" i="2"/>
  <c r="M37" i="2"/>
  <c r="N37" i="2"/>
  <c r="O37" i="2"/>
  <c r="P37" i="2"/>
  <c r="Q37" i="2"/>
  <c r="R37" i="2"/>
  <c r="S37" i="2"/>
  <c r="T37" i="2"/>
  <c r="U37" i="2"/>
  <c r="V37" i="2"/>
  <c r="B37" i="2"/>
  <c r="B35" i="2"/>
  <c r="C35" i="2"/>
  <c r="D35" i="2"/>
  <c r="E35" i="2"/>
  <c r="F35" i="2"/>
  <c r="G35" i="2"/>
  <c r="H35" i="2"/>
  <c r="I35" i="2"/>
  <c r="J35" i="2"/>
  <c r="K35" i="2"/>
  <c r="L35" i="2"/>
  <c r="M35" i="2"/>
  <c r="N35" i="2"/>
  <c r="O35" i="2"/>
  <c r="P35" i="2"/>
  <c r="Q35" i="2"/>
  <c r="R35" i="2"/>
  <c r="S35" i="2"/>
  <c r="T35" i="2"/>
  <c r="U35" i="2"/>
  <c r="V35" i="2"/>
  <c r="C34" i="2"/>
  <c r="D34" i="2"/>
  <c r="E34" i="2"/>
  <c r="F34" i="2"/>
  <c r="G34" i="2"/>
  <c r="H34" i="2"/>
  <c r="I34" i="2"/>
  <c r="J34" i="2"/>
  <c r="K34" i="2"/>
  <c r="L34" i="2"/>
  <c r="M34" i="2"/>
  <c r="N34" i="2"/>
  <c r="O34" i="2"/>
  <c r="P34" i="2"/>
  <c r="Q34" i="2"/>
  <c r="R34" i="2"/>
  <c r="S34" i="2"/>
  <c r="T34" i="2"/>
  <c r="U34" i="2"/>
  <c r="V34" i="2"/>
  <c r="B34" i="2"/>
  <c r="G31" i="2"/>
  <c r="B32" i="2"/>
  <c r="C32" i="2"/>
  <c r="D32" i="2"/>
  <c r="E32" i="2"/>
  <c r="F32" i="2"/>
  <c r="G32" i="2"/>
  <c r="H32" i="2"/>
  <c r="I32" i="2"/>
  <c r="J32" i="2"/>
  <c r="K32" i="2"/>
  <c r="L32" i="2"/>
  <c r="M32" i="2"/>
  <c r="N32" i="2"/>
  <c r="O32" i="2"/>
  <c r="P32" i="2"/>
  <c r="Q32" i="2"/>
  <c r="R32" i="2"/>
  <c r="S32" i="2"/>
  <c r="T32" i="2"/>
  <c r="U32" i="2"/>
  <c r="V32" i="2"/>
  <c r="D31" i="2"/>
  <c r="E31" i="2"/>
  <c r="F31" i="2"/>
  <c r="H31" i="2"/>
  <c r="I31" i="2"/>
  <c r="J31" i="2"/>
  <c r="K31" i="2"/>
  <c r="L31" i="2"/>
  <c r="M31" i="2"/>
  <c r="N31" i="2"/>
  <c r="O31" i="2"/>
  <c r="P31" i="2"/>
  <c r="Q31" i="2"/>
  <c r="R31" i="2"/>
  <c r="S31" i="2"/>
  <c r="T31" i="2"/>
  <c r="U31" i="2"/>
  <c r="V31" i="2"/>
  <c r="B31" i="2"/>
  <c r="B28" i="2"/>
  <c r="B29" i="2"/>
  <c r="C29" i="2"/>
  <c r="D29" i="2"/>
  <c r="E29" i="2"/>
  <c r="F29" i="2"/>
  <c r="G29" i="2"/>
  <c r="H29" i="2"/>
  <c r="I29" i="2"/>
  <c r="J29" i="2"/>
  <c r="K29" i="2"/>
  <c r="L29" i="2"/>
  <c r="M29" i="2"/>
  <c r="N29" i="2"/>
  <c r="O29" i="2"/>
  <c r="P29" i="2"/>
  <c r="Q29" i="2"/>
  <c r="R29" i="2"/>
  <c r="S29" i="2"/>
  <c r="T29" i="2"/>
  <c r="U29" i="2"/>
  <c r="V29" i="2"/>
  <c r="C28" i="2"/>
  <c r="D28" i="2"/>
  <c r="E28" i="2"/>
  <c r="F28" i="2"/>
  <c r="G28" i="2"/>
  <c r="H28" i="2"/>
  <c r="I28" i="2"/>
  <c r="J28" i="2"/>
  <c r="K28" i="2"/>
  <c r="L28" i="2"/>
  <c r="M28" i="2"/>
  <c r="N28" i="2"/>
  <c r="O28" i="2"/>
  <c r="P28" i="2"/>
  <c r="Q28" i="2"/>
  <c r="R28" i="2"/>
  <c r="S28" i="2"/>
  <c r="T28" i="2"/>
  <c r="U28" i="2"/>
  <c r="V28" i="2"/>
  <c r="B26" i="2"/>
  <c r="C26" i="2"/>
  <c r="D26" i="2"/>
  <c r="E26" i="2"/>
  <c r="F26" i="2"/>
  <c r="G26" i="2"/>
  <c r="H26" i="2"/>
  <c r="I26" i="2"/>
  <c r="J26" i="2"/>
  <c r="K26" i="2"/>
  <c r="L26" i="2"/>
  <c r="M26" i="2"/>
  <c r="N26" i="2"/>
  <c r="O26" i="2"/>
  <c r="P26" i="2"/>
  <c r="Q26" i="2"/>
  <c r="R26" i="2"/>
  <c r="S26" i="2"/>
  <c r="T26" i="2"/>
  <c r="U26" i="2"/>
  <c r="V26" i="2"/>
  <c r="C25" i="2"/>
  <c r="D25" i="2"/>
  <c r="E25" i="2"/>
  <c r="F25" i="2"/>
  <c r="G25" i="2"/>
  <c r="H25" i="2"/>
  <c r="I25" i="2"/>
  <c r="J25" i="2"/>
  <c r="K25" i="2"/>
  <c r="L25" i="2"/>
  <c r="M25" i="2"/>
  <c r="N25" i="2"/>
  <c r="O25" i="2"/>
  <c r="P25" i="2"/>
  <c r="Q25" i="2"/>
  <c r="R25" i="2"/>
  <c r="S25" i="2"/>
  <c r="T25" i="2"/>
  <c r="U25" i="2"/>
  <c r="V25" i="2"/>
  <c r="B25" i="2"/>
  <c r="T23" i="2"/>
  <c r="D23" i="2"/>
  <c r="E23" i="2"/>
  <c r="F23" i="2"/>
  <c r="G23" i="2"/>
  <c r="H23" i="2"/>
  <c r="I23" i="2"/>
  <c r="J23" i="2"/>
  <c r="K23" i="2"/>
  <c r="L23" i="2"/>
  <c r="M23" i="2"/>
  <c r="N23" i="2"/>
  <c r="O23" i="2"/>
  <c r="P23" i="2"/>
  <c r="Q23" i="2"/>
  <c r="R23" i="2"/>
  <c r="S23" i="2"/>
  <c r="U23" i="2"/>
  <c r="V23" i="2"/>
  <c r="C22" i="2"/>
  <c r="D22" i="2"/>
  <c r="E22" i="2"/>
  <c r="F22" i="2"/>
  <c r="G22" i="2"/>
  <c r="H22" i="2"/>
  <c r="I22" i="2"/>
  <c r="J22" i="2"/>
  <c r="K22" i="2"/>
  <c r="L22" i="2"/>
  <c r="M22" i="2"/>
  <c r="N22" i="2"/>
  <c r="O22" i="2"/>
  <c r="P22" i="2"/>
  <c r="Q22" i="2"/>
  <c r="R22" i="2"/>
  <c r="S22" i="2"/>
  <c r="T22" i="2"/>
  <c r="U22" i="2"/>
  <c r="V22" i="2"/>
  <c r="E11" i="2"/>
  <c r="E5" i="2"/>
  <c r="E6" i="2"/>
  <c r="E7" i="2"/>
  <c r="E8" i="2"/>
  <c r="E9" i="2"/>
  <c r="E10" i="2"/>
  <c r="E4" i="2"/>
  <c r="D5" i="2"/>
  <c r="D6" i="2"/>
  <c r="D7" i="2"/>
  <c r="D8" i="2"/>
  <c r="D9" i="2"/>
  <c r="D10" i="2"/>
  <c r="D11" i="2"/>
  <c r="D4" i="2"/>
  <c r="S5" i="1"/>
  <c r="S8" i="1"/>
  <c r="S9" i="1"/>
  <c r="S10" i="1"/>
  <c r="S11" i="1"/>
  <c r="S12" i="1"/>
  <c r="S13" i="1"/>
  <c r="S14" i="1"/>
  <c r="S15" i="1"/>
  <c r="S16" i="1"/>
  <c r="S17" i="1"/>
  <c r="S20" i="1"/>
  <c r="S21" i="1"/>
  <c r="S22" i="1"/>
  <c r="S24" i="1"/>
  <c r="S25" i="1"/>
  <c r="S26" i="1"/>
  <c r="S27" i="1"/>
  <c r="S28" i="1"/>
  <c r="Q7" i="1"/>
  <c r="R7" i="1" s="1"/>
  <c r="P7" i="1"/>
  <c r="O7" i="1"/>
  <c r="J7" i="1"/>
  <c r="K34" i="1" s="1"/>
  <c r="E7" i="1"/>
  <c r="D7" i="1"/>
  <c r="P4" i="1"/>
  <c r="O4" i="1"/>
  <c r="N4" i="1"/>
  <c r="M4" i="1"/>
  <c r="J4" i="1"/>
  <c r="S4" i="1" s="1"/>
  <c r="I4" i="1"/>
  <c r="G4" i="1"/>
  <c r="L4" i="1" s="1"/>
  <c r="E4" i="1"/>
  <c r="D4" i="1"/>
  <c r="J23" i="1"/>
  <c r="P23" i="1"/>
  <c r="O23" i="1"/>
  <c r="Q19" i="1"/>
  <c r="R19" i="1" s="1"/>
  <c r="P19" i="1"/>
  <c r="O19" i="1"/>
  <c r="G7" i="1" l="1"/>
  <c r="L7" i="1" s="1"/>
  <c r="S23" i="1"/>
  <c r="S7" i="1"/>
  <c r="L5" i="1"/>
  <c r="G23" i="1"/>
  <c r="I23" i="1" s="1"/>
  <c r="K23" i="1"/>
  <c r="L23" i="1" s="1"/>
  <c r="J29" i="1"/>
  <c r="G19" i="1"/>
  <c r="I19" i="1" s="1"/>
  <c r="G14" i="1"/>
  <c r="I14" i="1" s="1"/>
  <c r="K19" i="1"/>
  <c r="K30" i="1" s="1"/>
  <c r="J19" i="1"/>
  <c r="J30" i="1" s="1"/>
  <c r="K18" i="1"/>
  <c r="J18" i="1"/>
  <c r="E3" i="1"/>
  <c r="D3" i="1"/>
  <c r="D29" i="1"/>
  <c r="B3" i="1"/>
  <c r="M12" i="1"/>
  <c r="M8" i="1"/>
  <c r="M7" i="1" s="1"/>
  <c r="C23" i="1"/>
  <c r="B23" i="1"/>
  <c r="D19" i="1"/>
  <c r="E19" i="1"/>
  <c r="C19" i="1"/>
  <c r="C30" i="1" s="1"/>
  <c r="B19" i="1"/>
  <c r="E14" i="1"/>
  <c r="D14" i="1"/>
  <c r="E27" i="1"/>
  <c r="D27" i="1"/>
  <c r="E25" i="1"/>
  <c r="D25" i="1"/>
  <c r="E24" i="1"/>
  <c r="D24" i="1"/>
  <c r="I15" i="1"/>
  <c r="I16" i="1"/>
  <c r="I17" i="1"/>
  <c r="I20" i="1"/>
  <c r="I21" i="1"/>
  <c r="I22" i="1"/>
  <c r="I24" i="1"/>
  <c r="I25" i="1"/>
  <c r="I26" i="1"/>
  <c r="I28" i="1"/>
  <c r="I13" i="1"/>
  <c r="H8" i="1"/>
  <c r="V8" i="1" s="1"/>
  <c r="H9" i="1"/>
  <c r="V9" i="1" s="1"/>
  <c r="H11" i="1"/>
  <c r="V11" i="1" s="1"/>
  <c r="H12" i="1"/>
  <c r="V12" i="1" s="1"/>
  <c r="H5" i="1"/>
  <c r="H4" i="1" s="1"/>
  <c r="V4" i="1" s="1"/>
  <c r="C11" i="1"/>
  <c r="C29" i="1" s="1"/>
  <c r="B11" i="1"/>
  <c r="B29" i="1" l="1"/>
  <c r="E29" i="1"/>
  <c r="W14" i="1"/>
  <c r="T14" i="1"/>
  <c r="U14" i="1"/>
  <c r="S18" i="1"/>
  <c r="L18" i="1"/>
  <c r="V5" i="1"/>
  <c r="L19" i="1"/>
  <c r="S19" i="1"/>
  <c r="B30" i="1"/>
  <c r="B31" i="1" s="1"/>
  <c r="H7" i="1"/>
  <c r="E23" i="1"/>
  <c r="E30" i="1" s="1"/>
  <c r="E31" i="1" s="1"/>
  <c r="B4" i="1"/>
  <c r="B7" i="1"/>
  <c r="L30" i="1"/>
  <c r="J31" i="1"/>
  <c r="C31" i="1"/>
  <c r="D23" i="1"/>
  <c r="D30" i="1" s="1"/>
  <c r="D31" i="1" s="1"/>
  <c r="F25" i="1" l="1"/>
  <c r="F27" i="1"/>
  <c r="F3" i="1"/>
  <c r="F14" i="1"/>
  <c r="V7" i="1"/>
  <c r="I7" i="1"/>
  <c r="F12" i="1"/>
  <c r="F20" i="1"/>
  <c r="F8" i="1"/>
  <c r="F10" i="1"/>
  <c r="F11" i="1"/>
  <c r="F5" i="1"/>
  <c r="F13" i="1"/>
  <c r="F21" i="1"/>
  <c r="F15" i="1"/>
  <c r="F17" i="1"/>
  <c r="F18" i="1"/>
  <c r="F6" i="1"/>
  <c r="F22" i="1"/>
  <c r="F9" i="1"/>
  <c r="F28" i="1"/>
  <c r="F16" i="1"/>
  <c r="F26" i="1"/>
  <c r="F4" i="1"/>
  <c r="F7" i="1"/>
  <c r="F24" i="1"/>
  <c r="F23"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Sibel</author>
  </authors>
  <commentList>
    <comment ref="G1" authorId="0" shapeId="0" xr:uid="{00000000-0006-0000-0000-000001000000}">
      <text>
        <r>
          <rPr>
            <b/>
            <sz val="9"/>
            <color indexed="81"/>
            <rFont val="Tahoma"/>
            <family val="2"/>
          </rPr>
          <t>from WRI Shifting diets report; Fig es-2, pg 4</t>
        </r>
      </text>
    </comment>
    <comment ref="B2" authorId="0" shapeId="0" xr:uid="{00000000-0006-0000-0000-000002000000}">
      <text>
        <r>
          <rPr>
            <b/>
            <sz val="9"/>
            <color indexed="81"/>
            <rFont val="Tahoma"/>
            <family val="2"/>
          </rPr>
          <t>admin:</t>
        </r>
        <r>
          <rPr>
            <sz val="9"/>
            <color indexed="81"/>
            <rFont val="Tahoma"/>
            <family val="2"/>
          </rPr>
          <t xml:space="preserve">
from Pimentel and Pimentel 2003, for the US</t>
        </r>
      </text>
    </comment>
    <comment ref="D2" authorId="0" shapeId="0" xr:uid="{00000000-0006-0000-0000-000003000000}">
      <text>
        <r>
          <rPr>
            <b/>
            <sz val="9"/>
            <color indexed="81"/>
            <rFont val="Tahoma"/>
            <family val="2"/>
          </rPr>
          <t>admin:</t>
        </r>
        <r>
          <rPr>
            <sz val="9"/>
            <color indexed="81"/>
            <rFont val="Tahoma"/>
            <family val="2"/>
          </rPr>
          <t xml:space="preserve">
From WRI, Shifting Diets, Table B1
 </t>
        </r>
      </text>
    </comment>
    <comment ref="T2" authorId="0" shapeId="0" xr:uid="{00000000-0006-0000-0000-000004000000}">
      <text>
        <r>
          <rPr>
            <b/>
            <sz val="9"/>
            <color indexed="81"/>
            <rFont val="Tahoma"/>
            <family val="2"/>
          </rPr>
          <t>admin:</t>
        </r>
        <r>
          <rPr>
            <sz val="9"/>
            <color indexed="81"/>
            <rFont val="Tahoma"/>
            <family val="2"/>
          </rPr>
          <t xml:space="preserve">
Chris's calculations based on FAO and USDA
</t>
        </r>
      </text>
    </comment>
    <comment ref="W2" authorId="1" shapeId="0" xr:uid="{00000000-0006-0000-0000-000005000000}">
      <text>
        <r>
          <rPr>
            <b/>
            <sz val="9"/>
            <color indexed="81"/>
            <rFont val="Tahoma"/>
            <family val="2"/>
          </rPr>
          <t>Sibel:</t>
        </r>
        <r>
          <rPr>
            <sz val="9"/>
            <color indexed="81"/>
            <rFont val="Tahoma"/>
            <family val="2"/>
          </rPr>
          <t xml:space="preserve">
Springman 2018 - Nature paper</t>
        </r>
      </text>
    </comment>
    <comment ref="B7" authorId="0" shapeId="0" xr:uid="{00000000-0006-0000-0000-000006000000}">
      <text>
        <r>
          <rPr>
            <b/>
            <sz val="9"/>
            <color indexed="81"/>
            <rFont val="Tahoma"/>
            <family val="2"/>
          </rPr>
          <t>admin:</t>
        </r>
        <r>
          <rPr>
            <sz val="9"/>
            <color indexed="81"/>
            <rFont val="Tahoma"/>
            <family val="2"/>
          </rPr>
          <t xml:space="preserve">
Assuming that 76% of the meat demand is for poultry and pigs - Globiom</t>
        </r>
      </text>
    </comment>
    <comment ref="J10" authorId="0" shapeId="0" xr:uid="{00000000-0006-0000-0000-000007000000}">
      <text>
        <r>
          <rPr>
            <b/>
            <sz val="9"/>
            <color indexed="81"/>
            <rFont val="Tahoma"/>
            <family val="2"/>
          </rPr>
          <t>admin:</t>
        </r>
        <r>
          <rPr>
            <sz val="9"/>
            <color indexed="81"/>
            <rFont val="Tahoma"/>
            <family val="2"/>
          </rPr>
          <t xml:space="preserve">
2013 VALUE</t>
        </r>
      </text>
    </comment>
    <comment ref="A11" authorId="0" shapeId="0" xr:uid="{00000000-0006-0000-0000-000008000000}">
      <text>
        <r>
          <rPr>
            <b/>
            <sz val="9"/>
            <color indexed="81"/>
            <rFont val="Tahoma"/>
            <family val="2"/>
          </rPr>
          <t>admin:</t>
        </r>
        <r>
          <rPr>
            <sz val="9"/>
            <color indexed="81"/>
            <rFont val="Tahoma"/>
            <family val="2"/>
          </rPr>
          <t xml:space="preserve">
milk and animal fats</t>
        </r>
      </text>
    </comment>
    <comment ref="T11" authorId="0" shapeId="0" xr:uid="{00000000-0006-0000-0000-000009000000}">
      <text>
        <r>
          <rPr>
            <b/>
            <sz val="9"/>
            <color indexed="81"/>
            <rFont val="Tahoma"/>
            <family val="2"/>
          </rPr>
          <t>admin:</t>
        </r>
        <r>
          <rPr>
            <sz val="9"/>
            <color indexed="81"/>
            <rFont val="Tahoma"/>
            <family val="2"/>
          </rPr>
          <t xml:space="preserve">
Cow milk, whole</t>
        </r>
      </text>
    </comment>
    <comment ref="T13" authorId="0" shapeId="0" xr:uid="{00000000-0006-0000-0000-00000A000000}">
      <text>
        <r>
          <rPr>
            <b/>
            <sz val="9"/>
            <color indexed="81"/>
            <rFont val="Tahoma"/>
            <family val="2"/>
          </rPr>
          <t>admin:</t>
        </r>
        <r>
          <rPr>
            <sz val="9"/>
            <color indexed="81"/>
            <rFont val="Tahoma"/>
            <family val="2"/>
          </rPr>
          <t xml:space="preserve">
Calculated based on 2016 production values and Chris' concentration data. See CommodityGroups_Nconc_Pconc.xlsx
</t>
        </r>
      </text>
    </comment>
    <comment ref="Q14" authorId="0" shapeId="0" xr:uid="{00000000-0006-0000-0000-00000B000000}">
      <text>
        <r>
          <rPr>
            <b/>
            <sz val="9"/>
            <color indexed="81"/>
            <rFont val="Tahoma"/>
            <family val="2"/>
          </rPr>
          <t>admin:</t>
        </r>
        <r>
          <rPr>
            <sz val="9"/>
            <color indexed="81"/>
            <rFont val="Tahoma"/>
            <family val="2"/>
          </rPr>
          <t xml:space="preserve">
3139244 according to the weighted average
</t>
        </r>
      </text>
    </comment>
    <comment ref="A19" authorId="0" shapeId="0" xr:uid="{00000000-0006-0000-0000-00000C000000}">
      <text>
        <r>
          <rPr>
            <b/>
            <sz val="9"/>
            <color indexed="81"/>
            <rFont val="Tahoma"/>
            <family val="2"/>
          </rPr>
          <t>admin:</t>
        </r>
        <r>
          <rPr>
            <sz val="9"/>
            <color indexed="81"/>
            <rFont val="Tahoma"/>
            <family val="2"/>
          </rPr>
          <t xml:space="preserve">
Including roots and tubers</t>
        </r>
      </text>
    </comment>
    <comment ref="D20" authorId="0" shapeId="0" xr:uid="{00000000-0006-0000-0000-00000D000000}">
      <text>
        <r>
          <rPr>
            <b/>
            <sz val="9"/>
            <color indexed="81"/>
            <rFont val="Tahoma"/>
            <family val="2"/>
          </rPr>
          <t>admin:</t>
        </r>
        <r>
          <rPr>
            <sz val="9"/>
            <color indexed="81"/>
            <rFont val="Tahoma"/>
            <family val="2"/>
          </rPr>
          <t xml:space="preserve">
INCLUDING FRUITS
</t>
        </r>
      </text>
    </comment>
    <comment ref="A23" authorId="0" shapeId="0" xr:uid="{00000000-0006-0000-0000-00000E000000}">
      <text>
        <r>
          <rPr>
            <b/>
            <sz val="9"/>
            <color indexed="81"/>
            <rFont val="Tahoma"/>
            <family val="2"/>
          </rPr>
          <t>admin:</t>
        </r>
        <r>
          <rPr>
            <sz val="9"/>
            <color indexed="81"/>
            <rFont val="Tahoma"/>
            <family val="2"/>
          </rPr>
          <t xml:space="preserve">
including oil crops, sugar, nuts</t>
        </r>
      </text>
    </comment>
    <comment ref="J25" authorId="0" shapeId="0" xr:uid="{00000000-0006-0000-0000-00000F000000}">
      <text>
        <r>
          <rPr>
            <b/>
            <sz val="9"/>
            <color indexed="81"/>
            <rFont val="Tahoma"/>
            <family val="2"/>
          </rPr>
          <t>admin:</t>
        </r>
        <r>
          <rPr>
            <sz val="9"/>
            <color indexed="81"/>
            <rFont val="Tahoma"/>
            <family val="2"/>
          </rPr>
          <t xml:space="preserve">
Oil crop production covers it, because the distinction between "vegetable oils" and "oil crops" is due to the consumption of oil crops without making oil from them. However, vegetables oil production quantity is necessary to aggregate the caloric supply.</t>
        </r>
      </text>
    </comment>
    <comment ref="J26" authorId="0" shapeId="0" xr:uid="{00000000-0006-0000-0000-000010000000}">
      <text>
        <r>
          <rPr>
            <b/>
            <sz val="9"/>
            <color indexed="81"/>
            <rFont val="Tahoma"/>
            <family val="2"/>
          </rPr>
          <t>admin:</t>
        </r>
        <r>
          <rPr>
            <sz val="9"/>
            <color indexed="81"/>
            <rFont val="Tahoma"/>
            <family val="2"/>
          </rPr>
          <t xml:space="preserve">
SUGAR CANE, SUGAR BEET AND OTHER SUGAR CROPS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7" authorId="0" shapeId="0" xr:uid="{00000000-0006-0000-0100-000001000000}">
      <text>
        <r>
          <rPr>
            <b/>
            <sz val="9"/>
            <color indexed="81"/>
            <rFont val="Tahoma"/>
            <family val="2"/>
          </rPr>
          <t>admin:</t>
        </r>
        <r>
          <rPr>
            <sz val="9"/>
            <color indexed="81"/>
            <rFont val="Tahoma"/>
            <family val="2"/>
          </rPr>
          <t xml:space="preserve">
milk and animal fats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3" authorId="0" shapeId="0" xr:uid="{00000000-0006-0000-0200-000001000000}">
      <text>
        <r>
          <rPr>
            <b/>
            <sz val="9"/>
            <color indexed="81"/>
            <rFont val="Tahoma"/>
            <family val="2"/>
          </rPr>
          <t>admin:</t>
        </r>
        <r>
          <rPr>
            <sz val="9"/>
            <color indexed="81"/>
            <rFont val="Tahoma"/>
            <family val="2"/>
          </rPr>
          <t xml:space="preserve">
of production, http://www.fao.org/resources/infographics/infographics-details/en/c/317265/</t>
        </r>
      </text>
    </comment>
    <comment ref="X3" authorId="0" shapeId="0" xr:uid="{00000000-0006-0000-0200-000002000000}">
      <text>
        <r>
          <rPr>
            <b/>
            <sz val="9"/>
            <color indexed="81"/>
            <rFont val="Tahoma"/>
            <family val="2"/>
          </rPr>
          <t>admin:</t>
        </r>
        <r>
          <rPr>
            <sz val="9"/>
            <color indexed="81"/>
            <rFont val="Tahoma"/>
            <family val="2"/>
          </rPr>
          <t xml:space="preserve">
CO2 equivalent</t>
        </r>
      </text>
    </comment>
    <comment ref="AB3" authorId="0" shapeId="0" xr:uid="{00000000-0006-0000-0200-000003000000}">
      <text>
        <r>
          <rPr>
            <b/>
            <sz val="9"/>
            <color indexed="81"/>
            <rFont val="Tahoma"/>
            <family val="2"/>
          </rPr>
          <t>admin:</t>
        </r>
        <r>
          <rPr>
            <sz val="9"/>
            <color indexed="81"/>
            <rFont val="Tahoma"/>
            <family val="2"/>
          </rPr>
          <t xml:space="preserve">
I made this up according to the Vegan Society guidelines. Soybeans are in the 'other crops', so it is high</t>
        </r>
      </text>
    </comment>
    <comment ref="H4" authorId="0" shapeId="0" xr:uid="{00000000-0006-0000-0200-000004000000}">
      <text>
        <r>
          <rPr>
            <b/>
            <sz val="9"/>
            <color indexed="81"/>
            <rFont val="Tahoma"/>
            <family val="2"/>
          </rPr>
          <t>admin:</t>
        </r>
        <r>
          <rPr>
            <sz val="9"/>
            <color indexed="81"/>
            <rFont val="Tahoma"/>
            <family val="2"/>
          </rPr>
          <t xml:space="preserve">
The value estimated from FAO data is 1.567. However, it is very low to match the historical production values in tonnes.</t>
        </r>
      </text>
    </comment>
    <comment ref="I5" authorId="0" shapeId="0" xr:uid="{00000000-0006-0000-0200-000005000000}">
      <text>
        <r>
          <rPr>
            <b/>
            <sz val="9"/>
            <color indexed="81"/>
            <rFont val="Tahoma"/>
            <family val="2"/>
          </rPr>
          <t>admin:</t>
        </r>
        <r>
          <rPr>
            <sz val="9"/>
            <color indexed="81"/>
            <rFont val="Tahoma"/>
            <family val="2"/>
          </rPr>
          <t xml:space="preserve">
Although it is 35% for fish, I take the general meat value.</t>
        </r>
      </text>
    </comment>
    <comment ref="H6" authorId="0" shapeId="0" xr:uid="{00000000-0006-0000-0200-000006000000}">
      <text>
        <r>
          <rPr>
            <b/>
            <sz val="9"/>
            <color indexed="81"/>
            <rFont val="Tahoma"/>
            <family val="2"/>
          </rPr>
          <t>admin:</t>
        </r>
        <r>
          <rPr>
            <sz val="9"/>
            <color indexed="81"/>
            <rFont val="Tahoma"/>
            <family val="2"/>
          </rPr>
          <t xml:space="preserve">
The value estimated from FAO was .778, but it was too high to get match demand in tonnes. Therefore, reduced.
 </t>
        </r>
      </text>
    </comment>
    <comment ref="H11" authorId="0" shapeId="0" xr:uid="{00000000-0006-0000-0200-000007000000}">
      <text>
        <r>
          <rPr>
            <b/>
            <sz val="9"/>
            <color indexed="81"/>
            <rFont val="Tahoma"/>
            <family val="2"/>
          </rPr>
          <t>admin:</t>
        </r>
        <r>
          <rPr>
            <sz val="9"/>
            <color indexed="81"/>
            <rFont val="Tahoma"/>
            <family val="2"/>
          </rPr>
          <t xml:space="preserve">
The estimated value for the average caloric value of other crops was 1.526. However, the total demand and supply values in tonnes are too low if I use this value. It is because the production of oil crops, which have a higher caloric value than sugar crops, have increased more rapidly. The current value (0.8) is based on calibration.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400-000001000000}">
      <text>
        <r>
          <rPr>
            <b/>
            <sz val="9"/>
            <color indexed="81"/>
            <rFont val="Tahoma"/>
            <family val="2"/>
          </rPr>
          <t>admin:</t>
        </r>
        <r>
          <rPr>
            <sz val="9"/>
            <color indexed="81"/>
            <rFont val="Tahoma"/>
            <family val="2"/>
          </rPr>
          <t xml:space="preserve">
Assuming 7 g/day beef-lamb, 7 g/day pork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500-000001000000}">
      <text>
        <r>
          <rPr>
            <b/>
            <sz val="9"/>
            <color indexed="81"/>
            <rFont val="Tahoma"/>
            <family val="2"/>
          </rPr>
          <t>admin:</t>
        </r>
        <r>
          <rPr>
            <sz val="9"/>
            <color indexed="81"/>
            <rFont val="Tahoma"/>
            <family val="2"/>
          </rPr>
          <t xml:space="preserve">
Assuming 7 g/day beef-lamb, 7 g/day pork
</t>
        </r>
      </text>
    </comment>
  </commentList>
</comments>
</file>

<file path=xl/sharedStrings.xml><?xml version="1.0" encoding="utf-8"?>
<sst xmlns="http://schemas.openxmlformats.org/spreadsheetml/2006/main" count="758" uniqueCount="210">
  <si>
    <t>Food category</t>
  </si>
  <si>
    <t>Meat diet</t>
  </si>
  <si>
    <t>Vegetarian diet</t>
  </si>
  <si>
    <t>Cropland demand</t>
  </si>
  <si>
    <t>Pasture demand</t>
  </si>
  <si>
    <t>Meat</t>
  </si>
  <si>
    <t>Dairy</t>
  </si>
  <si>
    <t>Eggs</t>
  </si>
  <si>
    <t>Fish</t>
  </si>
  <si>
    <t>vegetable oils</t>
  </si>
  <si>
    <t>nuts</t>
  </si>
  <si>
    <t>Total</t>
  </si>
  <si>
    <t>Pulses</t>
  </si>
  <si>
    <t>Vegetables and fruits</t>
  </si>
  <si>
    <t>Beef</t>
  </si>
  <si>
    <t>Poultry</t>
  </si>
  <si>
    <t>Pigs</t>
  </si>
  <si>
    <t>Total land demand</t>
  </si>
  <si>
    <t>Wheat</t>
  </si>
  <si>
    <t>Rice</t>
  </si>
  <si>
    <t>Maize</t>
  </si>
  <si>
    <t>Grains (cereals)</t>
  </si>
  <si>
    <t>Vegetables</t>
  </si>
  <si>
    <t>Fruits</t>
  </si>
  <si>
    <t>Roots and tubers</t>
  </si>
  <si>
    <t>oil crops</t>
  </si>
  <si>
    <t>sugar</t>
  </si>
  <si>
    <t>Producing Animals</t>
  </si>
  <si>
    <t>Production [tonnes]</t>
  </si>
  <si>
    <t>Sheep and goats</t>
  </si>
  <si>
    <t>Yield [ton/An]</t>
  </si>
  <si>
    <t>NA</t>
  </si>
  <si>
    <t>FAO 2016 Values</t>
  </si>
  <si>
    <t>DIET COMPOSITION [kcal/capita/day]</t>
  </si>
  <si>
    <t>US Reference</t>
  </si>
  <si>
    <t>World Reference</t>
  </si>
  <si>
    <t>others</t>
  </si>
  <si>
    <t>other cereals</t>
  </si>
  <si>
    <t>Total animal-based</t>
  </si>
  <si>
    <t>Total crop-based</t>
  </si>
  <si>
    <t>LAND DEMAND [ha/mil kcal]</t>
  </si>
  <si>
    <t>Area harvested [ha]</t>
  </si>
  <si>
    <t xml:space="preserve">Oil crops: </t>
  </si>
  <si>
    <t>Vegetable oils:</t>
  </si>
  <si>
    <t>kcal/ton</t>
  </si>
  <si>
    <t>Supply [kcal/capita/day]</t>
  </si>
  <si>
    <t>Supply [kg/cap/year]</t>
  </si>
  <si>
    <t>Pasture-based meat</t>
  </si>
  <si>
    <t>Crop-based meat</t>
  </si>
  <si>
    <t>Production [M kcal]</t>
  </si>
  <si>
    <t>Vegetarian</t>
  </si>
  <si>
    <t>0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</si>
  <si>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</si>
  <si>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</si>
  <si>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</si>
  <si>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</si>
  <si>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</si>
  <si>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</si>
  <si>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</si>
  <si>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</si>
  <si>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</si>
  <si>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</si>
  <si>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</si>
  <si>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</si>
  <si>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</si>
  <si>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</si>
  <si>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</si>
  <si>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</si>
  <si>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</si>
  <si>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</si>
  <si>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</si>
  <si>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</si>
  <si>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</si>
  <si>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</si>
  <si>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World avg calorie consumption</t>
  </si>
  <si>
    <t>Age and gender adjustment</t>
  </si>
  <si>
    <t>These are the multipliers of Average calorie consumption, to adjust it according to the age and gender.</t>
  </si>
  <si>
    <t>male</t>
  </si>
  <si>
    <t>female</t>
  </si>
  <si>
    <t>Meat Diet</t>
  </si>
  <si>
    <t>Others crops</t>
  </si>
  <si>
    <t>Grains</t>
  </si>
  <si>
    <t>PasMeat</t>
  </si>
  <si>
    <t>CropMeat</t>
  </si>
  <si>
    <t>VegFruits</t>
  </si>
  <si>
    <t>OtherCrops</t>
  </si>
  <si>
    <t>US diet, kcal</t>
  </si>
  <si>
    <t>US diet, %</t>
  </si>
  <si>
    <t>Model input, %</t>
  </si>
  <si>
    <t>AVERAGE  TOTAL CALORIE CONSUMPTION</t>
  </si>
  <si>
    <t>MEAT DIET</t>
  </si>
  <si>
    <t>VEGETARIAN DIET</t>
  </si>
  <si>
    <t>VegFruit</t>
  </si>
  <si>
    <t>Mkcal/ton</t>
  </si>
  <si>
    <t>Caloric value of food [Mkcal/ton]</t>
  </si>
  <si>
    <t>Waste fraction</t>
  </si>
  <si>
    <t>Cropland Yield [ton/ha]</t>
  </si>
  <si>
    <t>Reference CropYield</t>
  </si>
  <si>
    <t>N concentration</t>
  </si>
  <si>
    <t>P concentration</t>
  </si>
  <si>
    <t>N Concentration</t>
  </si>
  <si>
    <t>Grassland Yield</t>
  </si>
  <si>
    <t>World Ref %</t>
  </si>
  <si>
    <t>World Ref Diet Composition</t>
  </si>
  <si>
    <t>Grassland Yield [ton/ha]</t>
  </si>
  <si>
    <t>Feed share of crop types</t>
  </si>
  <si>
    <t>Feed per meat</t>
  </si>
  <si>
    <t>Other uses multiplier for food</t>
  </si>
  <si>
    <t>PROD</t>
  </si>
  <si>
    <t>1000 t</t>
  </si>
  <si>
    <t>BVMEAT</t>
  </si>
  <si>
    <t>ALMILK</t>
  </si>
  <si>
    <t>PTMEAT</t>
  </si>
  <si>
    <t>PTEGGS</t>
  </si>
  <si>
    <t>YILD</t>
  </si>
  <si>
    <t>fm t/ha</t>
  </si>
  <si>
    <t>Area</t>
  </si>
  <si>
    <t>1000 ha</t>
  </si>
  <si>
    <t>Feed fraction</t>
  </si>
  <si>
    <t>Other uses multiplier</t>
  </si>
  <si>
    <t>Meat to eggs</t>
  </si>
  <si>
    <t>GHG intensity [tonCO2/ton]</t>
  </si>
  <si>
    <t>Flexitarian Diet</t>
  </si>
  <si>
    <t>g/d</t>
  </si>
  <si>
    <t>serving</t>
  </si>
  <si>
    <t>MIN</t>
  </si>
  <si>
    <t>MAX</t>
  </si>
  <si>
    <t>Roots</t>
  </si>
  <si>
    <t>legumes</t>
  </si>
  <si>
    <t>soybeans</t>
  </si>
  <si>
    <t>veggies</t>
  </si>
  <si>
    <t>fruits</t>
  </si>
  <si>
    <t>palm oil</t>
  </si>
  <si>
    <t>veg oil</t>
  </si>
  <si>
    <t>beef</t>
  </si>
  <si>
    <t>lamb</t>
  </si>
  <si>
    <t>pork</t>
  </si>
  <si>
    <t>poultry</t>
  </si>
  <si>
    <t>eggs</t>
  </si>
  <si>
    <t>milk</t>
  </si>
  <si>
    <t>fish</t>
  </si>
  <si>
    <t>860 kcal/d</t>
  </si>
  <si>
    <t>1/3 of energy</t>
  </si>
  <si>
    <t>.5</t>
  </si>
  <si>
    <t>.25</t>
  </si>
  <si>
    <t>3-4</t>
  </si>
  <si>
    <t>2-3</t>
  </si>
  <si>
    <t>5% of energy</t>
  </si>
  <si>
    <t>14 g/d</t>
  </si>
  <si>
    <t>1/7</t>
  </si>
  <si>
    <t>1</t>
  </si>
  <si>
    <t>.2</t>
  </si>
  <si>
    <t>kcal/g</t>
  </si>
  <si>
    <t>kcal/day</t>
  </si>
  <si>
    <t>TOTAL</t>
  </si>
  <si>
    <t>GHG intensity</t>
  </si>
  <si>
    <t>Average Diet Composition FAO 2013</t>
  </si>
  <si>
    <t>World Ref Diet Composition - WRI</t>
  </si>
  <si>
    <t>3/7</t>
  </si>
  <si>
    <t>roots</t>
  </si>
  <si>
    <t>dairy</t>
  </si>
  <si>
    <t>sheep and goat</t>
  </si>
  <si>
    <t>fibers</t>
  </si>
  <si>
    <t>furits and veg</t>
  </si>
  <si>
    <t>maize</t>
  </si>
  <si>
    <t>oil - other oil crops</t>
  </si>
  <si>
    <t>other cereal</t>
  </si>
  <si>
    <t>other oilcrops</t>
  </si>
  <si>
    <t>other plant products</t>
  </si>
  <si>
    <t>other productsa</t>
  </si>
  <si>
    <t>Plm oils</t>
  </si>
  <si>
    <t>pulses</t>
  </si>
  <si>
    <t>rapeseed</t>
  </si>
  <si>
    <t>rapeseed oil</t>
  </si>
  <si>
    <t>rice</t>
  </si>
  <si>
    <t>soybean oil</t>
  </si>
  <si>
    <t>sunflowerseed</t>
  </si>
  <si>
    <t>sunflower seed oil</t>
  </si>
  <si>
    <t>wheat</t>
  </si>
  <si>
    <t>total</t>
  </si>
  <si>
    <t>%</t>
  </si>
  <si>
    <t>US AMBITIOUS</t>
  </si>
  <si>
    <t>Health Diet WHO - Springmann</t>
  </si>
  <si>
    <t>Vegan Diet</t>
  </si>
  <si>
    <t>HEALTHY DIET</t>
  </si>
  <si>
    <t>FLEXITARIAN DIET</t>
  </si>
  <si>
    <t>VEGAN DIET</t>
  </si>
  <si>
    <t>Weighted average</t>
  </si>
  <si>
    <t>color</t>
  </si>
  <si>
    <t>World average FAO</t>
  </si>
  <si>
    <t>Flexitarian</t>
  </si>
  <si>
    <t>World average WRI</t>
  </si>
  <si>
    <t>#006837</t>
  </si>
  <si>
    <t>#c2e699</t>
  </si>
  <si>
    <t>#78c679</t>
  </si>
  <si>
    <t>#fecc5c</t>
  </si>
  <si>
    <t>#fd8d3c</t>
  </si>
  <si>
    <t>#f03b20</t>
  </si>
  <si>
    <t>#bd0026</t>
  </si>
  <si>
    <t>#31a354</t>
  </si>
  <si>
    <t>Reference Meat</t>
  </si>
  <si>
    <t>Reference Vegetarian</t>
  </si>
  <si>
    <t>Healthy eating</t>
  </si>
  <si>
    <t>Reference meat-based diet</t>
  </si>
  <si>
    <t>Reference vegetarian diet</t>
  </si>
  <si>
    <t>Flexitarian diet</t>
  </si>
  <si>
    <t>Healthy-eating diet</t>
  </si>
  <si>
    <t>Vegan diet</t>
  </si>
  <si>
    <t>World reference diet (WRI)</t>
  </si>
  <si>
    <t>World average diet (FAO)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</si>
</sst>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2"/>
      <color theme="1"/>
      <name val="Calibri"/>
      <family val="2"/>
      <scheme val="minor"/>
    </font>
    <font>
      <i/>
      <sz val="11"/>
      <color theme="0" tint="-0.499984740745262"/>
      <name val="Calibri"/>
      <family val="2"/>
      <scheme val="minor"/>
    </font>
    <font>
      <sz val="11"/>
      <color theme="0" tint="-0.499984740745262"/>
      <name val="Calibri"/>
      <family val="2"/>
      <scheme val="minor"/>
    </font>
    <font>
      <sz val="11"/>
      <color rgb="FFC00000"/>
      <name val="Calibri"/>
      <family val="2"/>
      <scheme val="minor"/>
    </font>
    <font>
      <sz val="11"/>
      <name val="Calibri"/>
      <family val="2"/>
      <scheme val="minor"/>
    </font>
    <font>
      <sz val="11"/>
      <color theme="1" tint="0.499984740745262"/>
      <name val="Calibri"/>
      <family val="2"/>
      <scheme val="minor"/>
    </font>
    <font>
      <sz val="11"/>
      <color theme="5" tint="0.39997558519241921"/>
      <name val="Calibri"/>
      <family val="2"/>
      <scheme val="minor"/>
    </font>
    <font>
      <i/>
      <sz val="11"/>
      <color theme="1"/>
      <name val="Calibri"/>
      <family val="2"/>
      <scheme val="minor"/>
    </font>
    <font>
      <sz val="11"/>
      <color theme="2" tint="-0.499984740745262"/>
      <name val="Calibri"/>
      <family val="2"/>
      <scheme val="minor"/>
    </font>
    <font>
      <sz val="11"/>
      <color theme="1" tint="0.3499862666707357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7">
    <xf numFmtId="0" fontId="0" fillId="0" borderId="0" xfId="0"/>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16" fillId="33" borderId="18" xfId="0" applyFont="1" applyFill="1" applyBorder="1"/>
    <xf numFmtId="0" fontId="0" fillId="0" borderId="18" xfId="0" applyBorder="1"/>
    <xf numFmtId="0" fontId="16" fillId="34" borderId="18" xfId="0" applyFont="1" applyFill="1" applyBorder="1"/>
    <xf numFmtId="0" fontId="0" fillId="0" borderId="0" xfId="0"/>
    <xf numFmtId="0" fontId="0" fillId="35" borderId="0" xfId="0" applyFill="1"/>
    <xf numFmtId="0" fontId="16" fillId="35" borderId="18" xfId="0" applyFont="1" applyFill="1" applyBorder="1"/>
    <xf numFmtId="0" fontId="0" fillId="35" borderId="10" xfId="0" applyFill="1" applyBorder="1"/>
    <xf numFmtId="0" fontId="0" fillId="35" borderId="0" xfId="0" applyFill="1" applyBorder="1"/>
    <xf numFmtId="0" fontId="0" fillId="35" borderId="11" xfId="0" applyFill="1" applyBorder="1"/>
    <xf numFmtId="0" fontId="16" fillId="33" borderId="19" xfId="0" applyFont="1" applyFill="1" applyBorder="1"/>
    <xf numFmtId="0" fontId="21" fillId="35" borderId="0" xfId="0" applyFont="1" applyFill="1" applyAlignment="1">
      <alignment horizontal="right"/>
    </xf>
    <xf numFmtId="0" fontId="21" fillId="35" borderId="0" xfId="0" applyFont="1" applyFill="1" applyBorder="1" applyAlignment="1">
      <alignment horizontal="right"/>
    </xf>
    <xf numFmtId="0" fontId="0" fillId="33" borderId="0" xfId="0" applyFill="1" applyBorder="1" applyAlignment="1">
      <alignment horizontal="right"/>
    </xf>
    <xf numFmtId="0" fontId="0" fillId="33" borderId="12" xfId="0" applyFill="1" applyBorder="1" applyAlignment="1">
      <alignment horizontal="right"/>
    </xf>
    <xf numFmtId="0" fontId="22" fillId="33" borderId="0" xfId="0" applyFont="1" applyFill="1" applyBorder="1" applyAlignment="1">
      <alignment horizontal="right"/>
    </xf>
    <xf numFmtId="0" fontId="22" fillId="33" borderId="12" xfId="0" applyFont="1" applyFill="1" applyBorder="1" applyAlignment="1">
      <alignment horizontal="right"/>
    </xf>
    <xf numFmtId="0" fontId="0" fillId="33" borderId="10" xfId="0" applyFill="1" applyBorder="1" applyAlignment="1">
      <alignment horizontal="right"/>
    </xf>
    <xf numFmtId="0" fontId="0" fillId="33" borderId="13" xfId="0" applyFill="1" applyBorder="1" applyAlignment="1">
      <alignment horizontal="right"/>
    </xf>
    <xf numFmtId="0" fontId="0" fillId="33" borderId="14" xfId="0" applyFill="1" applyBorder="1" applyAlignment="1">
      <alignment horizontal="right"/>
    </xf>
    <xf numFmtId="0" fontId="22" fillId="33" borderId="10" xfId="0" applyFont="1" applyFill="1" applyBorder="1" applyAlignment="1">
      <alignment horizontal="right"/>
    </xf>
    <xf numFmtId="0" fontId="0" fillId="33" borderId="11" xfId="0" applyFill="1" applyBorder="1" applyAlignment="1">
      <alignment horizontal="right"/>
    </xf>
    <xf numFmtId="0" fontId="16" fillId="36" borderId="20" xfId="0" applyFont="1" applyFill="1" applyBorder="1"/>
    <xf numFmtId="0" fontId="16" fillId="36" borderId="18" xfId="0" applyFont="1" applyFill="1" applyBorder="1"/>
    <xf numFmtId="0" fontId="16" fillId="36" borderId="19" xfId="0" applyFont="1" applyFill="1" applyBorder="1"/>
    <xf numFmtId="0" fontId="0" fillId="34" borderId="0" xfId="0" applyFill="1" applyAlignment="1">
      <alignment horizontal="right"/>
    </xf>
    <xf numFmtId="0" fontId="0" fillId="34" borderId="10" xfId="0" applyFill="1" applyBorder="1" applyAlignment="1">
      <alignment horizontal="right"/>
    </xf>
    <xf numFmtId="0" fontId="0" fillId="34" borderId="0" xfId="0" applyFill="1" applyBorder="1" applyAlignment="1">
      <alignment horizontal="right"/>
    </xf>
    <xf numFmtId="0" fontId="22" fillId="34" borderId="0" xfId="0" applyFont="1" applyFill="1" applyAlignment="1">
      <alignment horizontal="right"/>
    </xf>
    <xf numFmtId="0" fontId="22" fillId="34" borderId="0" xfId="0" applyFont="1" applyFill="1" applyBorder="1" applyAlignment="1">
      <alignment horizontal="right"/>
    </xf>
    <xf numFmtId="0" fontId="22" fillId="34" borderId="16" xfId="0" applyFont="1" applyFill="1" applyBorder="1" applyAlignment="1">
      <alignment horizontal="right"/>
    </xf>
    <xf numFmtId="0" fontId="22" fillId="34" borderId="10" xfId="0" applyFont="1" applyFill="1" applyBorder="1" applyAlignment="1">
      <alignment horizontal="right"/>
    </xf>
    <xf numFmtId="0" fontId="0" fillId="36" borderId="15" xfId="0" applyFill="1" applyBorder="1" applyAlignment="1">
      <alignment horizontal="right"/>
    </xf>
    <xf numFmtId="0" fontId="0" fillId="36" borderId="0" xfId="0" applyFill="1" applyBorder="1" applyAlignment="1">
      <alignment horizontal="right"/>
    </xf>
    <xf numFmtId="0" fontId="0" fillId="36" borderId="12" xfId="0" applyFill="1" applyBorder="1" applyAlignment="1">
      <alignment horizontal="right"/>
    </xf>
    <xf numFmtId="0" fontId="0" fillId="36" borderId="17" xfId="0" applyFill="1" applyBorder="1" applyAlignment="1">
      <alignment horizontal="right"/>
    </xf>
    <xf numFmtId="0" fontId="0" fillId="36" borderId="11" xfId="0" applyFill="1" applyBorder="1" applyAlignment="1">
      <alignment horizontal="right"/>
    </xf>
    <xf numFmtId="0" fontId="0" fillId="36" borderId="14" xfId="0" applyFill="1" applyBorder="1" applyAlignment="1">
      <alignment horizontal="right"/>
    </xf>
    <xf numFmtId="0" fontId="22" fillId="34" borderId="0" xfId="0" applyFont="1" applyFill="1"/>
    <xf numFmtId="2" fontId="22" fillId="34" borderId="0" xfId="0" applyNumberFormat="1" applyFont="1" applyFill="1" applyAlignment="1">
      <alignment horizontal="right"/>
    </xf>
    <xf numFmtId="2" fontId="22" fillId="34" borderId="0" xfId="0" applyNumberFormat="1" applyFont="1" applyFill="1"/>
    <xf numFmtId="2" fontId="22" fillId="34" borderId="10" xfId="0" applyNumberFormat="1" applyFont="1" applyFill="1" applyBorder="1" applyAlignment="1">
      <alignment horizontal="right"/>
    </xf>
    <xf numFmtId="2" fontId="0" fillId="34" borderId="0" xfId="0" applyNumberFormat="1" applyFill="1" applyAlignment="1">
      <alignment horizontal="right"/>
    </xf>
    <xf numFmtId="0" fontId="0" fillId="0" borderId="0" xfId="0"/>
    <xf numFmtId="164" fontId="0" fillId="36" borderId="15" xfId="0" applyNumberFormat="1" applyFill="1" applyBorder="1" applyAlignment="1">
      <alignment horizontal="right"/>
    </xf>
    <xf numFmtId="164" fontId="0" fillId="36" borderId="0" xfId="0" applyNumberFormat="1" applyFill="1" applyBorder="1" applyAlignment="1">
      <alignment horizontal="right"/>
    </xf>
    <xf numFmtId="164" fontId="22" fillId="36" borderId="0" xfId="0" applyNumberFormat="1" applyFont="1" applyFill="1" applyBorder="1" applyAlignment="1">
      <alignment horizontal="right"/>
    </xf>
    <xf numFmtId="164" fontId="0" fillId="36" borderId="10" xfId="0" applyNumberFormat="1" applyFill="1" applyBorder="1" applyAlignment="1">
      <alignment horizontal="right"/>
    </xf>
    <xf numFmtId="164" fontId="0" fillId="36" borderId="16" xfId="0" applyNumberFormat="1" applyFill="1" applyBorder="1" applyAlignment="1">
      <alignment horizontal="right"/>
    </xf>
    <xf numFmtId="164" fontId="22" fillId="36" borderId="15" xfId="0" applyNumberFormat="1" applyFont="1" applyFill="1" applyBorder="1" applyAlignment="1">
      <alignment horizontal="right"/>
    </xf>
    <xf numFmtId="164" fontId="23" fillId="36" borderId="15" xfId="0" applyNumberFormat="1" applyFont="1" applyFill="1" applyBorder="1" applyAlignment="1">
      <alignment horizontal="right"/>
    </xf>
    <xf numFmtId="164" fontId="0" fillId="36" borderId="12" xfId="0" applyNumberFormat="1" applyFill="1" applyBorder="1" applyAlignment="1">
      <alignment horizontal="right"/>
    </xf>
    <xf numFmtId="164" fontId="22" fillId="36" borderId="12" xfId="0" applyNumberFormat="1" applyFont="1" applyFill="1" applyBorder="1" applyAlignment="1">
      <alignment horizontal="right"/>
    </xf>
    <xf numFmtId="164" fontId="0" fillId="36" borderId="13" xfId="0" applyNumberFormat="1" applyFill="1" applyBorder="1" applyAlignment="1">
      <alignment horizontal="right"/>
    </xf>
    <xf numFmtId="0" fontId="0" fillId="34" borderId="0" xfId="0" applyNumberFormat="1" applyFill="1" applyAlignment="1">
      <alignment horizontal="right"/>
    </xf>
    <xf numFmtId="2" fontId="0" fillId="0" borderId="0" xfId="0" applyNumberFormat="1"/>
    <xf numFmtId="1" fontId="0" fillId="0" borderId="0" xfId="0" applyNumberFormat="1"/>
    <xf numFmtId="0" fontId="0" fillId="34" borderId="0" xfId="0" applyFill="1"/>
    <xf numFmtId="0" fontId="0" fillId="34" borderId="10" xfId="0" applyFill="1" applyBorder="1"/>
    <xf numFmtId="1" fontId="0" fillId="34" borderId="10" xfId="0" applyNumberFormat="1" applyFill="1" applyBorder="1"/>
    <xf numFmtId="1" fontId="0" fillId="34" borderId="0" xfId="0" applyNumberFormat="1" applyFill="1" applyAlignment="1">
      <alignment horizontal="right"/>
    </xf>
    <xf numFmtId="0" fontId="16" fillId="34" borderId="18" xfId="0" applyFont="1" applyFill="1" applyBorder="1" applyAlignment="1">
      <alignment horizontal="center"/>
    </xf>
    <xf numFmtId="0" fontId="24" fillId="34" borderId="0" xfId="0" applyFont="1" applyFill="1" applyAlignment="1">
      <alignment horizontal="right"/>
    </xf>
    <xf numFmtId="0" fontId="25" fillId="34" borderId="0" xfId="0" applyFont="1" applyFill="1" applyAlignment="1">
      <alignment horizontal="right"/>
    </xf>
    <xf numFmtId="1" fontId="25" fillId="34" borderId="0" xfId="0" applyNumberFormat="1" applyFont="1" applyFill="1" applyAlignment="1">
      <alignment horizontal="right"/>
    </xf>
    <xf numFmtId="1" fontId="22" fillId="34" borderId="0" xfId="0" applyNumberFormat="1" applyFont="1" applyFill="1"/>
    <xf numFmtId="1" fontId="22" fillId="34" borderId="0" xfId="0" applyNumberFormat="1" applyFont="1" applyFill="1" applyAlignment="1">
      <alignment horizontal="right"/>
    </xf>
    <xf numFmtId="1" fontId="22" fillId="34" borderId="0" xfId="0" applyNumberFormat="1" applyFont="1" applyFill="1" applyBorder="1" applyAlignment="1">
      <alignment horizontal="right"/>
    </xf>
    <xf numFmtId="1" fontId="22" fillId="34" borderId="10" xfId="0" applyNumberFormat="1" applyFont="1" applyFill="1" applyBorder="1" applyAlignment="1">
      <alignment horizontal="right"/>
    </xf>
    <xf numFmtId="1" fontId="23" fillId="34" borderId="0" xfId="0" applyNumberFormat="1" applyFont="1" applyFill="1" applyAlignment="1">
      <alignment horizontal="right"/>
    </xf>
    <xf numFmtId="0" fontId="24" fillId="35" borderId="0" xfId="0" applyFont="1" applyFill="1" applyAlignment="1">
      <alignment horizontal="left"/>
    </xf>
    <xf numFmtId="0" fontId="24" fillId="33" borderId="0" xfId="0" applyFont="1" applyFill="1" applyBorder="1" applyAlignment="1">
      <alignment horizontal="right"/>
    </xf>
    <xf numFmtId="0" fontId="24" fillId="33" borderId="12" xfId="0" applyFont="1" applyFill="1" applyBorder="1" applyAlignment="1">
      <alignment horizontal="right"/>
    </xf>
    <xf numFmtId="0" fontId="24" fillId="0" borderId="0" xfId="0" applyFont="1"/>
    <xf numFmtId="0" fontId="25" fillId="35" borderId="0" xfId="0" applyFont="1" applyFill="1"/>
    <xf numFmtId="0" fontId="25" fillId="33" borderId="0" xfId="0" applyFont="1" applyFill="1" applyBorder="1" applyAlignment="1">
      <alignment horizontal="right"/>
    </xf>
    <xf numFmtId="0" fontId="25" fillId="33" borderId="12" xfId="0" applyFont="1" applyFill="1" applyBorder="1" applyAlignment="1">
      <alignment horizontal="right"/>
    </xf>
    <xf numFmtId="164" fontId="25" fillId="36" borderId="15" xfId="0" applyNumberFormat="1" applyFont="1" applyFill="1" applyBorder="1" applyAlignment="1">
      <alignment horizontal="right"/>
    </xf>
    <xf numFmtId="164" fontId="25" fillId="36" borderId="0" xfId="0" applyNumberFormat="1" applyFont="1" applyFill="1" applyBorder="1" applyAlignment="1">
      <alignment horizontal="right"/>
    </xf>
    <xf numFmtId="164" fontId="25" fillId="36" borderId="12" xfId="0" applyNumberFormat="1" applyFont="1" applyFill="1" applyBorder="1" applyAlignment="1">
      <alignment horizontal="right"/>
    </xf>
    <xf numFmtId="0" fontId="25" fillId="0" borderId="0" xfId="0" applyFont="1"/>
    <xf numFmtId="164" fontId="24" fillId="34" borderId="0" xfId="0" applyNumberFormat="1" applyFont="1" applyFill="1" applyAlignment="1">
      <alignment horizontal="right"/>
    </xf>
    <xf numFmtId="164" fontId="23" fillId="34" borderId="0" xfId="0" applyNumberFormat="1" applyFont="1" applyFill="1" applyAlignment="1">
      <alignment horizontal="right"/>
    </xf>
    <xf numFmtId="1" fontId="0" fillId="33" borderId="0" xfId="0" applyNumberFormat="1" applyFill="1" applyBorder="1" applyAlignment="1">
      <alignment horizontal="right"/>
    </xf>
    <xf numFmtId="1" fontId="24" fillId="33" borderId="0" xfId="0" applyNumberFormat="1" applyFont="1" applyFill="1" applyBorder="1" applyAlignment="1">
      <alignment horizontal="right"/>
    </xf>
    <xf numFmtId="1" fontId="23" fillId="34" borderId="0" xfId="0" applyNumberFormat="1" applyFont="1" applyFill="1"/>
    <xf numFmtId="1" fontId="23" fillId="34" borderId="10" xfId="0" applyNumberFormat="1" applyFont="1" applyFill="1" applyBorder="1"/>
    <xf numFmtId="1" fontId="26" fillId="34" borderId="0" xfId="0" applyNumberFormat="1" applyFont="1" applyFill="1"/>
    <xf numFmtId="1" fontId="26" fillId="34" borderId="10" xfId="0" applyNumberFormat="1" applyFont="1" applyFill="1" applyBorder="1"/>
    <xf numFmtId="164" fontId="23" fillId="36" borderId="0" xfId="0" applyNumberFormat="1" applyFont="1" applyFill="1" applyBorder="1" applyAlignment="1"/>
    <xf numFmtId="164" fontId="23" fillId="36" borderId="12" xfId="0" applyNumberFormat="1" applyFont="1" applyFill="1" applyBorder="1" applyAlignment="1"/>
    <xf numFmtId="0" fontId="16" fillId="0" borderId="23" xfId="0" applyFont="1" applyBorder="1"/>
    <xf numFmtId="0" fontId="16" fillId="0" borderId="24" xfId="0" applyFont="1" applyBorder="1"/>
    <xf numFmtId="0" fontId="0" fillId="0" borderId="23" xfId="0" applyBorder="1"/>
    <xf numFmtId="0" fontId="0" fillId="0" borderId="24" xfId="0" applyBorder="1"/>
    <xf numFmtId="0" fontId="0" fillId="0" borderId="25" xfId="0" applyBorder="1"/>
    <xf numFmtId="0" fontId="0" fillId="0" borderId="26" xfId="0" applyBorder="1"/>
    <xf numFmtId="0" fontId="16" fillId="0" borderId="0" xfId="0" applyFont="1"/>
    <xf numFmtId="0" fontId="27" fillId="0" borderId="0" xfId="0" applyFont="1"/>
    <xf numFmtId="0" fontId="0" fillId="37" borderId="0" xfId="0" applyFill="1"/>
    <xf numFmtId="0" fontId="0" fillId="37" borderId="0" xfId="0" applyFont="1" applyFill="1" applyBorder="1"/>
    <xf numFmtId="164" fontId="0" fillId="0" borderId="0" xfId="0" applyNumberFormat="1"/>
    <xf numFmtId="0" fontId="27" fillId="0" borderId="0" xfId="0" applyFont="1" applyFill="1"/>
    <xf numFmtId="0" fontId="0" fillId="34" borderId="0" xfId="0" applyFont="1" applyFill="1" applyBorder="1"/>
    <xf numFmtId="0" fontId="0" fillId="0" borderId="0" xfId="0" applyBorder="1"/>
    <xf numFmtId="0" fontId="16" fillId="0" borderId="0" xfId="0" applyFont="1" applyBorder="1"/>
    <xf numFmtId="165" fontId="0" fillId="0" borderId="23" xfId="0" applyNumberFormat="1" applyBorder="1"/>
    <xf numFmtId="165" fontId="0" fillId="0" borderId="25" xfId="0" applyNumberFormat="1" applyBorder="1"/>
    <xf numFmtId="165" fontId="0" fillId="0" borderId="24" xfId="0" applyNumberFormat="1" applyBorder="1"/>
    <xf numFmtId="165" fontId="0" fillId="0" borderId="26" xfId="0" applyNumberFormat="1" applyBorder="1"/>
    <xf numFmtId="165" fontId="0" fillId="0" borderId="23" xfId="0" applyNumberFormat="1" applyFont="1" applyBorder="1"/>
    <xf numFmtId="165" fontId="0" fillId="0" borderId="24" xfId="0" applyNumberFormat="1" applyFont="1" applyBorder="1"/>
    <xf numFmtId="165" fontId="0" fillId="0" borderId="25" xfId="0" applyNumberFormat="1" applyFont="1" applyBorder="1"/>
    <xf numFmtId="165" fontId="0" fillId="0" borderId="26" xfId="0" applyNumberFormat="1" applyFont="1" applyBorder="1"/>
    <xf numFmtId="0" fontId="0" fillId="0" borderId="0" xfId="0" applyFont="1" applyFill="1" applyBorder="1"/>
    <xf numFmtId="0" fontId="20" fillId="34" borderId="0" xfId="0" applyFont="1" applyFill="1" applyBorder="1" applyAlignment="1">
      <alignment horizontal="center"/>
    </xf>
    <xf numFmtId="164" fontId="25" fillId="34" borderId="0" xfId="0" applyNumberFormat="1" applyFont="1" applyFill="1" applyAlignment="1">
      <alignment horizontal="right"/>
    </xf>
    <xf numFmtId="164" fontId="24" fillId="34" borderId="10" xfId="0" applyNumberFormat="1" applyFont="1" applyFill="1" applyBorder="1" applyAlignment="1">
      <alignment horizontal="right"/>
    </xf>
    <xf numFmtId="164" fontId="25" fillId="34" borderId="10" xfId="0" applyNumberFormat="1" applyFont="1" applyFill="1" applyBorder="1" applyAlignment="1">
      <alignment horizontal="right"/>
    </xf>
    <xf numFmtId="164" fontId="0" fillId="0" borderId="0" xfId="0" applyNumberFormat="1" applyFont="1" applyBorder="1"/>
    <xf numFmtId="0" fontId="16" fillId="0" borderId="0" xfId="0" applyFont="1" applyBorder="1" applyAlignment="1"/>
    <xf numFmtId="164" fontId="25" fillId="34" borderId="0" xfId="0" applyNumberFormat="1" applyFont="1" applyFill="1" applyBorder="1" applyAlignment="1">
      <alignment horizontal="right"/>
    </xf>
    <xf numFmtId="164" fontId="23" fillId="34" borderId="0" xfId="0" applyNumberFormat="1" applyFont="1" applyFill="1" applyBorder="1" applyAlignment="1">
      <alignment horizontal="right"/>
    </xf>
    <xf numFmtId="164" fontId="23" fillId="34" borderId="10" xfId="0" applyNumberFormat="1" applyFont="1" applyFill="1" applyBorder="1" applyAlignment="1">
      <alignment horizontal="right"/>
    </xf>
    <xf numFmtId="164" fontId="26" fillId="34" borderId="0" xfId="0" applyNumberFormat="1" applyFont="1" applyFill="1" applyBorder="1" applyAlignment="1">
      <alignment horizontal="right"/>
    </xf>
    <xf numFmtId="2" fontId="0" fillId="0" borderId="0" xfId="0" applyNumberFormat="1" applyFont="1" applyBorder="1"/>
    <xf numFmtId="0" fontId="16" fillId="0" borderId="0" xfId="0" applyFont="1" applyFill="1" applyBorder="1"/>
    <xf numFmtId="2" fontId="23" fillId="34" borderId="0" xfId="0" applyNumberFormat="1" applyFont="1" applyFill="1" applyAlignment="1">
      <alignment horizontal="right"/>
    </xf>
    <xf numFmtId="2" fontId="24" fillId="0" borderId="0" xfId="0" applyNumberFormat="1" applyFont="1" applyFill="1" applyBorder="1" applyAlignment="1">
      <alignment horizontal="right"/>
    </xf>
    <xf numFmtId="0" fontId="28" fillId="0" borderId="0" xfId="0" applyFont="1" applyFill="1"/>
    <xf numFmtId="166" fontId="0" fillId="0" borderId="0" xfId="0" applyNumberFormat="1"/>
    <xf numFmtId="2" fontId="0" fillId="0" borderId="0" xfId="0" applyNumberFormat="1" applyFill="1"/>
    <xf numFmtId="2" fontId="29" fillId="0" borderId="0" xfId="0" applyNumberFormat="1" applyFont="1" applyFill="1"/>
    <xf numFmtId="2" fontId="23" fillId="0" borderId="0" xfId="0" applyNumberFormat="1" applyFont="1" applyFill="1"/>
    <xf numFmtId="2" fontId="23" fillId="0" borderId="0" xfId="0" applyNumberFormat="1" applyFont="1"/>
    <xf numFmtId="2" fontId="25" fillId="0" borderId="0" xfId="0" applyNumberFormat="1" applyFont="1"/>
    <xf numFmtId="2" fontId="29" fillId="0" borderId="0" xfId="0" applyNumberFormat="1" applyFont="1"/>
    <xf numFmtId="166" fontId="0" fillId="0" borderId="0" xfId="0" applyNumberFormat="1" applyBorder="1"/>
    <xf numFmtId="0" fontId="20" fillId="33" borderId="0" xfId="0" applyFont="1" applyFill="1" applyBorder="1" applyAlignment="1">
      <alignment horizontal="center"/>
    </xf>
    <xf numFmtId="165" fontId="25" fillId="33" borderId="0" xfId="0" applyNumberFormat="1" applyFont="1" applyFill="1" applyBorder="1" applyAlignment="1">
      <alignment horizontal="right"/>
    </xf>
    <xf numFmtId="165" fontId="24" fillId="33" borderId="0" xfId="0" applyNumberFormat="1" applyFont="1" applyFill="1" applyBorder="1" applyAlignment="1">
      <alignment horizontal="right"/>
    </xf>
    <xf numFmtId="2" fontId="0" fillId="0" borderId="0" xfId="0" applyNumberFormat="1" applyBorder="1"/>
    <xf numFmtId="0" fontId="21" fillId="35" borderId="0" xfId="0" applyFont="1" applyFill="1" applyAlignment="1">
      <alignment horizontal="left"/>
    </xf>
    <xf numFmtId="0" fontId="0" fillId="35" borderId="0" xfId="0" applyFill="1" applyBorder="1" applyAlignment="1">
      <alignment horizontal="left"/>
    </xf>
    <xf numFmtId="0" fontId="0" fillId="35" borderId="10" xfId="0" applyFill="1" applyBorder="1" applyAlignment="1">
      <alignment horizontal="left"/>
    </xf>
    <xf numFmtId="0" fontId="0" fillId="38" borderId="0" xfId="0" applyFill="1"/>
    <xf numFmtId="165" fontId="0" fillId="0" borderId="24" xfId="0" applyNumberFormat="1" applyFont="1" applyFill="1" applyBorder="1"/>
    <xf numFmtId="165" fontId="0" fillId="0" borderId="23" xfId="0" applyNumberFormat="1" applyFont="1" applyFill="1" applyBorder="1"/>
    <xf numFmtId="2" fontId="24" fillId="0" borderId="0" xfId="0" applyNumberFormat="1" applyFont="1"/>
    <xf numFmtId="2" fontId="22" fillId="0" borderId="0" xfId="0" applyNumberFormat="1" applyFont="1"/>
    <xf numFmtId="0" fontId="0" fillId="0" borderId="0" xfId="0" applyAlignment="1">
      <alignment horizontal="center"/>
    </xf>
    <xf numFmtId="0" fontId="0" fillId="0" borderId="0" xfId="0" applyAlignment="1">
      <alignment horizontal="center"/>
    </xf>
    <xf numFmtId="49" fontId="0" fillId="0" borderId="0" xfId="0" applyNumberFormat="1"/>
    <xf numFmtId="0" fontId="14" fillId="0" borderId="0" xfId="0" applyFont="1"/>
    <xf numFmtId="2" fontId="0" fillId="0" borderId="0" xfId="0" applyNumberFormat="1" applyAlignment="1">
      <alignment horizontal="center"/>
    </xf>
    <xf numFmtId="2" fontId="0" fillId="38" borderId="0" xfId="0" applyNumberFormat="1" applyFill="1" applyAlignment="1">
      <alignment horizontal="center"/>
    </xf>
    <xf numFmtId="0" fontId="0" fillId="0" borderId="0" xfId="0" applyFill="1" applyAlignment="1">
      <alignment horizontal="center"/>
    </xf>
    <xf numFmtId="2" fontId="0" fillId="0" borderId="0" xfId="0" applyNumberFormat="1" applyFill="1" applyAlignment="1">
      <alignment horizontal="center"/>
    </xf>
    <xf numFmtId="0" fontId="0" fillId="0" borderId="0" xfId="0" applyFont="1"/>
    <xf numFmtId="2" fontId="0" fillId="0" borderId="23" xfId="0" applyNumberFormat="1" applyFont="1" applyFill="1" applyBorder="1"/>
    <xf numFmtId="2" fontId="0" fillId="0" borderId="24" xfId="0" applyNumberFormat="1" applyFont="1" applyFill="1" applyBorder="1"/>
    <xf numFmtId="0" fontId="0" fillId="0" borderId="10" xfId="0" applyBorder="1"/>
    <xf numFmtId="2" fontId="0" fillId="0" borderId="10" xfId="0" applyNumberFormat="1" applyBorder="1"/>
    <xf numFmtId="165" fontId="0" fillId="0" borderId="27" xfId="0" applyNumberFormat="1" applyFont="1" applyBorder="1"/>
    <xf numFmtId="165" fontId="0" fillId="0" borderId="28" xfId="0" applyNumberFormat="1" applyFont="1" applyBorder="1"/>
    <xf numFmtId="0" fontId="20" fillId="36" borderId="15" xfId="0" applyFont="1" applyFill="1" applyBorder="1" applyAlignment="1">
      <alignment horizontal="center"/>
    </xf>
    <xf numFmtId="0" fontId="20" fillId="36" borderId="0" xfId="0" applyFont="1" applyFill="1" applyBorder="1" applyAlignment="1">
      <alignment horizontal="center"/>
    </xf>
    <xf numFmtId="0" fontId="20" fillId="36" borderId="12" xfId="0" applyFont="1" applyFill="1" applyBorder="1" applyAlignment="1">
      <alignment horizontal="center"/>
    </xf>
    <xf numFmtId="0" fontId="20" fillId="33" borderId="0" xfId="0" applyFont="1" applyFill="1" applyBorder="1" applyAlignment="1">
      <alignment horizontal="center"/>
    </xf>
    <xf numFmtId="0" fontId="20" fillId="33" borderId="12" xfId="0" applyFont="1" applyFill="1" applyBorder="1" applyAlignment="1">
      <alignment horizontal="center"/>
    </xf>
    <xf numFmtId="0" fontId="20" fillId="34" borderId="16" xfId="0" applyFont="1" applyFill="1" applyBorder="1" applyAlignment="1">
      <alignment horizontal="center"/>
    </xf>
    <xf numFmtId="0" fontId="20" fillId="34" borderId="10" xfId="0" applyFon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49" fontId="0" fillId="0" borderId="0" xfId="0" applyNumberFormat="1" applyAlignment="1">
      <alignment horizontal="center"/>
    </xf>
    <xf numFmtId="0" fontId="0" fillId="0"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'Model Input'!$Y$3</c:f>
              <c:strCache>
                <c:ptCount val="1"/>
                <c:pt idx="0">
                  <c:v>Flexitarian Diet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Input'!$Y$4:$Y$11</c:f>
              <c:numCache>
                <c:formatCode>General</c:formatCode>
                <c:ptCount val="8"/>
                <c:pt idx="0">
                  <c:v>0.45</c:v>
                </c:pt>
                <c:pt idx="1">
                  <c:v>2.52</c:v>
                </c:pt>
                <c:pt idx="2">
                  <c:v>7.98</c:v>
                </c:pt>
                <c:pt idx="3">
                  <c:v>0.76</c:v>
                </c:pt>
                <c:pt idx="4">
                  <c:v>7.06</c:v>
                </c:pt>
                <c:pt idx="5">
                  <c:v>29.988</c:v>
                </c:pt>
                <c:pt idx="6">
                  <c:v>12.061999999999999</c:v>
                </c:pt>
                <c:pt idx="7">
                  <c:v>38.43</c:v>
                </c:pt>
              </c:numCache>
            </c:numRef>
          </c:val>
          <c:extLst>
            <c:ext xmlns:c16="http://schemas.microsoft.com/office/drawing/2014/chart" uri="{C3380CC4-5D6E-409C-BE32-E72D297353CC}">
              <c16:uniqueId val="{00000000-BA16-4DAC-8AEF-BC527A90B160}"/>
            </c:ext>
          </c:extLst>
        </c:ser>
        <c:ser>
          <c:idx val="2"/>
          <c:order val="1"/>
          <c:tx>
            <c:v>Healthy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Input'!$AA$4:$AA$11</c:f>
              <c:numCache>
                <c:formatCode>General</c:formatCode>
                <c:ptCount val="8"/>
                <c:pt idx="0">
                  <c:v>1.34</c:v>
                </c:pt>
                <c:pt idx="1">
                  <c:v>4.09</c:v>
                </c:pt>
                <c:pt idx="2">
                  <c:v>7.78</c:v>
                </c:pt>
                <c:pt idx="3">
                  <c:v>0.74</c:v>
                </c:pt>
                <c:pt idx="4">
                  <c:v>6.88</c:v>
                </c:pt>
                <c:pt idx="5">
                  <c:v>29.2315</c:v>
                </c:pt>
                <c:pt idx="6">
                  <c:v>11.7585</c:v>
                </c:pt>
                <c:pt idx="7">
                  <c:v>37.450000000000003</c:v>
                </c:pt>
              </c:numCache>
            </c:numRef>
          </c:val>
          <c:extLst>
            <c:ext xmlns:c16="http://schemas.microsoft.com/office/drawing/2014/chart" uri="{C3380CC4-5D6E-409C-BE32-E72D297353CC}">
              <c16:uniqueId val="{00000002-BA16-4DAC-8AEF-BC527A90B160}"/>
            </c:ext>
          </c:extLst>
        </c:ser>
        <c:ser>
          <c:idx val="1"/>
          <c:order val="2"/>
          <c:tx>
            <c:v>World Average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Input'!$Z$4:$Z$11</c:f>
              <c:numCache>
                <c:formatCode>General</c:formatCode>
                <c:ptCount val="8"/>
                <c:pt idx="0">
                  <c:v>1.77</c:v>
                </c:pt>
                <c:pt idx="1">
                  <c:v>7.54</c:v>
                </c:pt>
                <c:pt idx="2">
                  <c:v>6.92</c:v>
                </c:pt>
                <c:pt idx="3">
                  <c:v>1.25</c:v>
                </c:pt>
                <c:pt idx="4">
                  <c:v>2.36</c:v>
                </c:pt>
                <c:pt idx="5">
                  <c:v>46.11</c:v>
                </c:pt>
                <c:pt idx="6">
                  <c:v>12.77</c:v>
                </c:pt>
                <c:pt idx="7">
                  <c:v>20.399999999999999</c:v>
                </c:pt>
              </c:numCache>
            </c:numRef>
          </c:val>
          <c:extLst>
            <c:ext xmlns:c16="http://schemas.microsoft.com/office/drawing/2014/chart" uri="{C3380CC4-5D6E-409C-BE32-E72D297353CC}">
              <c16:uniqueId val="{00000001-BA16-4DAC-8AEF-BC527A90B1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Sheet1!$E$39:$E$44</c:f>
              <c:numCache>
                <c:formatCode>General</c:formatCode>
                <c:ptCount val="6"/>
                <c:pt idx="0">
                  <c:v>1043086.78450025</c:v>
                </c:pt>
                <c:pt idx="1">
                  <c:v>1004937.97850023</c:v>
                </c:pt>
                <c:pt idx="2">
                  <c:v>1011233.32315164</c:v>
                </c:pt>
                <c:pt idx="3">
                  <c:v>1028433.1229571101</c:v>
                </c:pt>
                <c:pt idx="4">
                  <c:v>1034649.3648125801</c:v>
                </c:pt>
                <c:pt idx="5">
                  <c:v>1035878.80248976</c:v>
                </c:pt>
              </c:numCache>
            </c:numRef>
          </c:val>
          <c:smooth val="0"/>
          <c:extLst>
            <c:ext xmlns:c16="http://schemas.microsoft.com/office/drawing/2014/chart" uri="{C3380CC4-5D6E-409C-BE32-E72D297353CC}">
              <c16:uniqueId val="{00000000-D194-4EF2-94BB-D9F058F05BFD}"/>
            </c:ext>
          </c:extLst>
        </c:ser>
        <c:dLbls>
          <c:showLegendKey val="0"/>
          <c:showVal val="0"/>
          <c:showCatName val="0"/>
          <c:showSerName val="0"/>
          <c:showPercent val="0"/>
          <c:showBubbleSize val="0"/>
        </c:dLbls>
        <c:smooth val="0"/>
        <c:axId val="-154311120"/>
        <c:axId val="-154307312"/>
      </c:lineChart>
      <c:catAx>
        <c:axId val="-154311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07312"/>
        <c:crosses val="autoZero"/>
        <c:auto val="1"/>
        <c:lblAlgn val="ctr"/>
        <c:lblOffset val="100"/>
        <c:noMultiLvlLbl val="0"/>
      </c:catAx>
      <c:valAx>
        <c:axId val="-15430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0</xdr:colOff>
      <xdr:row>3</xdr:row>
      <xdr:rowOff>123825</xdr:rowOff>
    </xdr:from>
    <xdr:to>
      <xdr:col>39</xdr:col>
      <xdr:colOff>457200</xdr:colOff>
      <xdr:row>18</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47625</xdr:colOff>
      <xdr:row>33</xdr:row>
      <xdr:rowOff>114300</xdr:rowOff>
    </xdr:from>
    <xdr:to>
      <xdr:col>18</xdr:col>
      <xdr:colOff>352425</xdr:colOff>
      <xdr:row>48</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21</xdr:col>
      <xdr:colOff>0</xdr:colOff>
      <xdr:row>40</xdr:row>
      <xdr:rowOff>47454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48375" y="0"/>
          <a:ext cx="7315200" cy="76674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workbookViewId="0">
      <pane xSplit="1" topLeftCell="B1" activePane="topRight" state="frozen"/>
      <selection pane="topRight" activeCell="F4" sqref="F4"/>
    </sheetView>
  </sheetViews>
  <sheetFormatPr defaultRowHeight="14.4" x14ac:dyDescent="0.3"/>
  <cols>
    <col min="1" max="1" width="20.109375" bestFit="1" customWidth="1"/>
    <col min="2" max="2" width="14.21875" customWidth="1"/>
    <col min="3" max="3" width="14.88671875" customWidth="1"/>
    <col min="4" max="5" width="14.88671875" style="10" customWidth="1"/>
    <col min="6" max="6" width="14.88671875" style="49" customWidth="1"/>
    <col min="7" max="7" width="16.88671875" customWidth="1"/>
    <col min="8" max="8" width="15.5546875" customWidth="1"/>
    <col min="9" max="9" width="15.5546875" style="1" customWidth="1"/>
    <col min="10" max="10" width="19" customWidth="1"/>
    <col min="11" max="11" width="18.77734375" customWidth="1"/>
    <col min="12" max="12" width="13.5546875" customWidth="1"/>
    <col min="13" max="13" width="17.77734375" customWidth="1"/>
    <col min="14" max="14" width="14.88671875" customWidth="1"/>
    <col min="15" max="15" width="22.88671875" customWidth="1"/>
    <col min="16" max="16" width="19.77734375" customWidth="1"/>
    <col min="17" max="17" width="17.88671875" customWidth="1"/>
    <col min="18" max="18" width="17.88671875" style="49" customWidth="1"/>
    <col min="19" max="19" width="18.44140625" customWidth="1"/>
    <col min="20" max="20" width="15.21875" customWidth="1"/>
    <col min="21" max="21" width="15" customWidth="1"/>
    <col min="22" max="22" width="14.5546875" customWidth="1"/>
    <col min="26" max="26" width="13.109375" customWidth="1"/>
  </cols>
  <sheetData>
    <row r="1" spans="1:27" ht="15.6" x14ac:dyDescent="0.3">
      <c r="A1" s="11"/>
      <c r="B1" s="174" t="s">
        <v>33</v>
      </c>
      <c r="C1" s="174"/>
      <c r="D1" s="174"/>
      <c r="E1" s="175"/>
      <c r="F1" s="144"/>
      <c r="G1" s="171" t="s">
        <v>40</v>
      </c>
      <c r="H1" s="172"/>
      <c r="I1" s="173"/>
      <c r="J1" s="176" t="s">
        <v>32</v>
      </c>
      <c r="K1" s="177"/>
      <c r="L1" s="177"/>
      <c r="M1" s="177"/>
      <c r="N1" s="177"/>
      <c r="O1" s="177"/>
      <c r="P1" s="177"/>
      <c r="Q1" s="177"/>
      <c r="R1" s="121"/>
      <c r="S1" s="63"/>
    </row>
    <row r="2" spans="1:27" s="8" customFormat="1" x14ac:dyDescent="0.3">
      <c r="A2" s="12" t="s">
        <v>0</v>
      </c>
      <c r="B2" s="7" t="s">
        <v>1</v>
      </c>
      <c r="C2" s="16" t="s">
        <v>2</v>
      </c>
      <c r="D2" s="7" t="s">
        <v>34</v>
      </c>
      <c r="E2" s="7" t="s">
        <v>35</v>
      </c>
      <c r="F2" s="7" t="s">
        <v>102</v>
      </c>
      <c r="G2" s="28" t="s">
        <v>3</v>
      </c>
      <c r="H2" s="29" t="s">
        <v>4</v>
      </c>
      <c r="I2" s="30" t="s">
        <v>17</v>
      </c>
      <c r="J2" s="9" t="s">
        <v>28</v>
      </c>
      <c r="K2" s="9" t="s">
        <v>41</v>
      </c>
      <c r="L2" s="9" t="s">
        <v>96</v>
      </c>
      <c r="M2" s="9" t="s">
        <v>27</v>
      </c>
      <c r="N2" s="9" t="s">
        <v>30</v>
      </c>
      <c r="O2" s="67" t="s">
        <v>45</v>
      </c>
      <c r="P2" s="67" t="s">
        <v>46</v>
      </c>
      <c r="Q2" s="67" t="s">
        <v>44</v>
      </c>
      <c r="R2" s="67" t="s">
        <v>93</v>
      </c>
      <c r="S2" s="9" t="s">
        <v>49</v>
      </c>
      <c r="T2" s="8" t="s">
        <v>98</v>
      </c>
      <c r="U2" s="8" t="s">
        <v>99</v>
      </c>
      <c r="V2" s="8" t="s">
        <v>101</v>
      </c>
      <c r="W2" s="8" t="s">
        <v>121</v>
      </c>
    </row>
    <row r="3" spans="1:27" s="86" customFormat="1" x14ac:dyDescent="0.3">
      <c r="A3" s="80" t="s">
        <v>5</v>
      </c>
      <c r="B3" s="81">
        <f>452+28</f>
        <v>480</v>
      </c>
      <c r="C3" s="82">
        <v>0</v>
      </c>
      <c r="D3" s="81">
        <f>SUM(D5:D10)</f>
        <v>695</v>
      </c>
      <c r="E3" s="81">
        <f>SUM(E5:E10)</f>
        <v>390</v>
      </c>
      <c r="F3" s="145">
        <f>100*E3/$E$31</f>
        <v>15.028901734104046</v>
      </c>
      <c r="G3" s="83"/>
      <c r="H3" s="84"/>
      <c r="I3" s="85"/>
      <c r="J3" s="69"/>
      <c r="K3" s="69" t="s">
        <v>31</v>
      </c>
      <c r="L3" s="69"/>
      <c r="M3" s="69"/>
      <c r="N3" s="69"/>
      <c r="O3" s="69"/>
      <c r="P3" s="69"/>
      <c r="Q3" s="70"/>
      <c r="R3" s="122">
        <f>Q3/1000000</f>
        <v>0</v>
      </c>
      <c r="S3" s="91"/>
      <c r="W3" s="141"/>
    </row>
    <row r="4" spans="1:27" s="49" customFormat="1" x14ac:dyDescent="0.3">
      <c r="A4" s="11" t="s">
        <v>47</v>
      </c>
      <c r="B4" s="89">
        <f>0.24*B3</f>
        <v>115.19999999999999</v>
      </c>
      <c r="C4" s="20">
        <v>0</v>
      </c>
      <c r="D4" s="19">
        <f>D5+D6</f>
        <v>97</v>
      </c>
      <c r="E4" s="19">
        <f>E5+E6</f>
        <v>46</v>
      </c>
      <c r="F4" s="146">
        <f t="shared" ref="F4:F28" si="0">100*E4/$E$31</f>
        <v>1.7726396917148362</v>
      </c>
      <c r="G4" s="50">
        <f>G5</f>
        <v>0.5</v>
      </c>
      <c r="H4" s="51">
        <f>H5</f>
        <v>12.125</v>
      </c>
      <c r="I4" s="57">
        <f>I5</f>
        <v>12.625</v>
      </c>
      <c r="J4" s="31">
        <f>J5+J6</f>
        <v>84731677</v>
      </c>
      <c r="K4" s="34" t="s">
        <v>31</v>
      </c>
      <c r="L4" s="128">
        <f>1/(R4*G4)</f>
        <v>1.2767123287671269</v>
      </c>
      <c r="M4" s="31">
        <f>M5+M6</f>
        <v>1339491220</v>
      </c>
      <c r="N4" s="88">
        <f>SUMPRODUCT(N5:N6,M5:M6)/SUM(M5:M6)</f>
        <v>6.3290555768704473E-2</v>
      </c>
      <c r="O4" s="31">
        <f>O5</f>
        <v>40</v>
      </c>
      <c r="P4" s="31">
        <f t="shared" ref="P4" si="1">P5</f>
        <v>9.32</v>
      </c>
      <c r="Q4" s="66">
        <f>Q5</f>
        <v>1566523.60515021</v>
      </c>
      <c r="R4" s="87">
        <f>Q4/1000000</f>
        <v>1.5665236051502101</v>
      </c>
      <c r="S4" s="91">
        <f t="shared" ref="S4:S28" si="2">J4*Q4/1000000</f>
        <v>132734172.12446313</v>
      </c>
      <c r="T4" s="140">
        <f>SUMPRODUCT(T5:T6,$J$5:$J$6)/SUM($J$5:$J$6)</f>
        <v>2.888112648826719</v>
      </c>
      <c r="U4" s="140">
        <f>SUMPRODUCT(U5:U6,$J$5:$J$6)/SUM($J$5:$J$6)</f>
        <v>0.16352450595306875</v>
      </c>
      <c r="V4" s="61">
        <f>1/(H4*R4)</f>
        <v>5.2647931083180492E-2</v>
      </c>
      <c r="W4" s="61">
        <f>SUMPRODUCT(W5:W6,J5:J6)/SUM(J5:J6)</f>
        <v>32.583399407756325</v>
      </c>
    </row>
    <row r="5" spans="1:27" s="1" customFormat="1" x14ac:dyDescent="0.3">
      <c r="A5" s="17" t="s">
        <v>14</v>
      </c>
      <c r="B5" s="21" t="s">
        <v>31</v>
      </c>
      <c r="C5" s="22">
        <v>0</v>
      </c>
      <c r="D5" s="21">
        <v>94</v>
      </c>
      <c r="E5" s="21">
        <v>36</v>
      </c>
      <c r="F5" s="145">
        <f t="shared" si="0"/>
        <v>1.3872832369942196</v>
      </c>
      <c r="G5" s="55">
        <v>0.5</v>
      </c>
      <c r="H5" s="52">
        <f>I5-G5</f>
        <v>12.125</v>
      </c>
      <c r="I5" s="58">
        <v>12.625</v>
      </c>
      <c r="J5" s="34">
        <v>69799812</v>
      </c>
      <c r="K5" s="34" t="s">
        <v>31</v>
      </c>
      <c r="L5" s="130">
        <f t="shared" ref="L5:L12" si="3">1/(R5*G5)</f>
        <v>1.2767123287671269</v>
      </c>
      <c r="M5" s="34">
        <v>328209569</v>
      </c>
      <c r="N5" s="34">
        <v>0.2127</v>
      </c>
      <c r="O5" s="44">
        <v>40</v>
      </c>
      <c r="P5" s="44">
        <v>9.32</v>
      </c>
      <c r="Q5" s="71">
        <v>1566523.60515021</v>
      </c>
      <c r="R5" s="122">
        <f t="shared" ref="R5:R28" si="4">Q5/1000000</f>
        <v>1.5665236051502101</v>
      </c>
      <c r="S5" s="93">
        <f t="shared" si="2"/>
        <v>109343053.1330469</v>
      </c>
      <c r="T5" s="86">
        <v>2.8</v>
      </c>
      <c r="U5" s="86">
        <v>0.16</v>
      </c>
      <c r="V5" s="141">
        <f t="shared" ref="V5:V12" si="5">1/(H5*R5)</f>
        <v>5.2647931083180492E-2</v>
      </c>
      <c r="W5" s="155">
        <v>32.49</v>
      </c>
    </row>
    <row r="6" spans="1:27" s="10" customFormat="1" x14ac:dyDescent="0.3">
      <c r="A6" s="17" t="s">
        <v>29</v>
      </c>
      <c r="B6" s="21" t="s">
        <v>31</v>
      </c>
      <c r="C6" s="22">
        <v>0</v>
      </c>
      <c r="D6" s="21">
        <v>3</v>
      </c>
      <c r="E6" s="21">
        <v>10</v>
      </c>
      <c r="F6" s="145">
        <f t="shared" si="0"/>
        <v>0.38535645472061658</v>
      </c>
      <c r="G6" s="55" t="s">
        <v>31</v>
      </c>
      <c r="H6" s="52" t="s">
        <v>31</v>
      </c>
      <c r="I6" s="58"/>
      <c r="J6" s="34">
        <v>14931865</v>
      </c>
      <c r="K6" s="34" t="s">
        <v>31</v>
      </c>
      <c r="L6" s="127"/>
      <c r="M6" s="34">
        <v>1011281651</v>
      </c>
      <c r="N6" s="34">
        <v>1.4800000000000001E-2</v>
      </c>
      <c r="O6" s="34"/>
      <c r="P6" s="34"/>
      <c r="Q6" s="72"/>
      <c r="R6" s="122">
        <f t="shared" si="4"/>
        <v>0</v>
      </c>
      <c r="S6" s="91"/>
      <c r="T6" s="86">
        <v>3.3</v>
      </c>
      <c r="U6" s="86">
        <v>0.18</v>
      </c>
      <c r="V6" s="61"/>
      <c r="W6" s="155">
        <v>33.020000000000003</v>
      </c>
    </row>
    <row r="7" spans="1:27" s="79" customFormat="1" x14ac:dyDescent="0.3">
      <c r="A7" s="76" t="s">
        <v>48</v>
      </c>
      <c r="B7" s="90">
        <f>0.76*B3+B10</f>
        <v>392.8</v>
      </c>
      <c r="C7" s="78">
        <v>0</v>
      </c>
      <c r="D7" s="77">
        <f>SUM(D8:D10)</f>
        <v>299</v>
      </c>
      <c r="E7" s="78">
        <f>SUM(E8:E10)</f>
        <v>172</v>
      </c>
      <c r="F7" s="146">
        <f t="shared" si="0"/>
        <v>6.628131021194605</v>
      </c>
      <c r="G7" s="95">
        <f>SUMPRODUCT(G8:G10, S8:S10)/SUM(S8:S10)</f>
        <v>0.99036032987009592</v>
      </c>
      <c r="H7" s="95">
        <f>SUMPRODUCT(H8:H10, S8:S10)/SUM(S8:S10)</f>
        <v>0.12720277726506907</v>
      </c>
      <c r="I7" s="96">
        <f>G7+H7</f>
        <v>1.117563107135165</v>
      </c>
      <c r="J7" s="68">
        <f>SUM(J8:J10)</f>
        <v>393318603</v>
      </c>
      <c r="K7" s="68" t="s">
        <v>31</v>
      </c>
      <c r="L7" s="128">
        <f>1/(R7*G7)</f>
        <v>0.65327998456062986</v>
      </c>
      <c r="M7" s="68">
        <f>SUM(M8:M10)</f>
        <v>71769185073</v>
      </c>
      <c r="N7" s="68"/>
      <c r="O7" s="68">
        <f>SUM(O8:O10)</f>
        <v>217</v>
      </c>
      <c r="P7" s="68">
        <f>SUM(P8:P10)</f>
        <v>49.989999999999995</v>
      </c>
      <c r="Q7" s="75">
        <f>SUMPRODUCT(Q8:Q10,J8:J10)/SUM(J8:J10)</f>
        <v>1545636.6668226973</v>
      </c>
      <c r="R7" s="87">
        <f t="shared" si="4"/>
        <v>1.5456366668226973</v>
      </c>
      <c r="S7" s="91">
        <f t="shared" si="2"/>
        <v>607927654.54027975</v>
      </c>
      <c r="T7" s="140">
        <f>SUMPRODUCT(T8:T10,$J$8:$J$10)/SUM($J$8:$J$10)</f>
        <v>1.4845577672566359</v>
      </c>
      <c r="U7" s="140">
        <f>SUMPRODUCT(U8:U10,$J$8:$J$10)/SUM($J$8:$J$10)</f>
        <v>9.4823988796416708E-2</v>
      </c>
      <c r="V7" s="61">
        <f>1/(H7*R7)</f>
        <v>5.0862299936957696</v>
      </c>
      <c r="W7" s="154">
        <f>SUMPRODUCT(W8:W10,J8:J10)/SUM(J8:J10)</f>
        <v>1.3164263009192065</v>
      </c>
    </row>
    <row r="8" spans="1:27" s="1" customFormat="1" x14ac:dyDescent="0.3">
      <c r="A8" s="17" t="s">
        <v>15</v>
      </c>
      <c r="B8" s="21" t="s">
        <v>31</v>
      </c>
      <c r="C8" s="22">
        <v>0</v>
      </c>
      <c r="D8" s="21">
        <v>165</v>
      </c>
      <c r="E8" s="21">
        <v>46</v>
      </c>
      <c r="F8" s="145">
        <f t="shared" si="0"/>
        <v>1.7726396917148362</v>
      </c>
      <c r="G8" s="55">
        <v>1.375</v>
      </c>
      <c r="H8" s="52">
        <f t="shared" ref="H8:H12" si="6">I8-G8</f>
        <v>0.375</v>
      </c>
      <c r="I8" s="58">
        <v>1.75</v>
      </c>
      <c r="J8" s="34">
        <v>120301673</v>
      </c>
      <c r="K8" s="34" t="s">
        <v>31</v>
      </c>
      <c r="L8" s="130">
        <f t="shared" si="3"/>
        <v>0.50623720370643976</v>
      </c>
      <c r="M8" s="34">
        <f>70291018*1000</f>
        <v>70291018000</v>
      </c>
      <c r="N8" s="34">
        <v>1.7114999999999999E-3</v>
      </c>
      <c r="O8" s="44">
        <v>59</v>
      </c>
      <c r="P8" s="44">
        <v>14.99</v>
      </c>
      <c r="Q8" s="71">
        <v>1436624.4162775183</v>
      </c>
      <c r="R8" s="122">
        <f t="shared" si="4"/>
        <v>1.4366244162775184</v>
      </c>
      <c r="S8" s="93">
        <f t="shared" si="2"/>
        <v>172828320.75083387</v>
      </c>
      <c r="T8" s="141">
        <v>2.4274598064831499</v>
      </c>
      <c r="U8" s="141">
        <v>0.13321237173729303</v>
      </c>
      <c r="V8" s="141">
        <f t="shared" si="5"/>
        <v>1.856203080256946</v>
      </c>
      <c r="W8" s="155">
        <v>1.41</v>
      </c>
    </row>
    <row r="9" spans="1:27" s="1" customFormat="1" x14ac:dyDescent="0.3">
      <c r="A9" s="17" t="s">
        <v>16</v>
      </c>
      <c r="B9" s="21" t="s">
        <v>31</v>
      </c>
      <c r="C9" s="22">
        <v>0</v>
      </c>
      <c r="D9" s="21">
        <v>113</v>
      </c>
      <c r="E9" s="21">
        <v>100</v>
      </c>
      <c r="F9" s="145">
        <f t="shared" si="0"/>
        <v>3.8535645472061657</v>
      </c>
      <c r="G9" s="55">
        <v>0.71250000000000002</v>
      </c>
      <c r="H9" s="52">
        <f t="shared" si="6"/>
        <v>3.7499999999999978E-2</v>
      </c>
      <c r="I9" s="58">
        <v>0.75</v>
      </c>
      <c r="J9" s="34">
        <v>118168709</v>
      </c>
      <c r="K9" s="34" t="s">
        <v>31</v>
      </c>
      <c r="L9" s="130">
        <f t="shared" si="3"/>
        <v>0.49677884503570013</v>
      </c>
      <c r="M9" s="34">
        <v>1478167073</v>
      </c>
      <c r="N9" s="34">
        <v>7.9899999999999999E-2</v>
      </c>
      <c r="O9" s="44">
        <v>124</v>
      </c>
      <c r="P9" s="44">
        <v>16.02</v>
      </c>
      <c r="Q9" s="71">
        <v>2825218.4769038702</v>
      </c>
      <c r="R9" s="122">
        <f t="shared" si="4"/>
        <v>2.8252184769038702</v>
      </c>
      <c r="S9" s="93">
        <f t="shared" si="2"/>
        <v>333852420.05867666</v>
      </c>
      <c r="T9" s="86">
        <v>2.4700000000000002</v>
      </c>
      <c r="U9" s="86">
        <v>0.18</v>
      </c>
      <c r="V9" s="141">
        <f t="shared" si="5"/>
        <v>9.4387980556783084</v>
      </c>
      <c r="W9" s="155">
        <v>2.92</v>
      </c>
    </row>
    <row r="10" spans="1:27" s="49" customFormat="1" x14ac:dyDescent="0.3">
      <c r="A10" s="17" t="s">
        <v>8</v>
      </c>
      <c r="B10" s="21">
        <v>28</v>
      </c>
      <c r="C10" s="22">
        <v>0</v>
      </c>
      <c r="D10" s="21">
        <v>21</v>
      </c>
      <c r="E10" s="21">
        <v>26</v>
      </c>
      <c r="F10" s="145">
        <f t="shared" si="0"/>
        <v>1.0019267822736031</v>
      </c>
      <c r="G10" s="55">
        <v>1.25</v>
      </c>
      <c r="H10" s="52">
        <v>0</v>
      </c>
      <c r="I10" s="58">
        <v>1.25</v>
      </c>
      <c r="J10" s="34">
        <v>154848221</v>
      </c>
      <c r="K10" s="34" t="s">
        <v>31</v>
      </c>
      <c r="L10" s="130">
        <f>1/(R10*G10)</f>
        <v>1.223529411764706</v>
      </c>
      <c r="M10" s="34" t="s">
        <v>31</v>
      </c>
      <c r="N10" s="34" t="s">
        <v>31</v>
      </c>
      <c r="O10" s="44">
        <v>34</v>
      </c>
      <c r="P10" s="44">
        <v>18.98</v>
      </c>
      <c r="Q10" s="71">
        <v>653846.15384615376</v>
      </c>
      <c r="R10" s="122">
        <f t="shared" si="4"/>
        <v>0.65384615384615374</v>
      </c>
      <c r="S10" s="93">
        <f t="shared" si="2"/>
        <v>101246913.73076922</v>
      </c>
      <c r="U10" s="62"/>
      <c r="V10" s="61"/>
      <c r="W10" s="155">
        <v>0.02</v>
      </c>
    </row>
    <row r="11" spans="1:27" x14ac:dyDescent="0.3">
      <c r="A11" s="14" t="s">
        <v>6</v>
      </c>
      <c r="B11" s="19">
        <f>385+127</f>
        <v>512</v>
      </c>
      <c r="C11" s="20">
        <f>473+127</f>
        <v>600</v>
      </c>
      <c r="D11" s="19">
        <v>306</v>
      </c>
      <c r="E11" s="19">
        <v>119</v>
      </c>
      <c r="F11" s="146">
        <f t="shared" si="0"/>
        <v>4.5857418111753372</v>
      </c>
      <c r="G11" s="50">
        <v>0.2</v>
      </c>
      <c r="H11" s="51">
        <f t="shared" si="6"/>
        <v>1.8</v>
      </c>
      <c r="I11" s="57">
        <v>2</v>
      </c>
      <c r="J11" s="33">
        <v>798476317</v>
      </c>
      <c r="K11" s="33" t="s">
        <v>31</v>
      </c>
      <c r="L11" s="128">
        <f>1/(R11*G11)</f>
        <v>6.4239003235354852</v>
      </c>
      <c r="M11" s="33">
        <v>798308405</v>
      </c>
      <c r="N11" s="33">
        <v>1.0002</v>
      </c>
      <c r="O11" s="63">
        <v>199</v>
      </c>
      <c r="P11" s="63">
        <v>93.32</v>
      </c>
      <c r="Q11" s="66">
        <v>778343.33476210898</v>
      </c>
      <c r="R11" s="87">
        <f t="shared" si="4"/>
        <v>0.77834333476210893</v>
      </c>
      <c r="S11" s="91">
        <f t="shared" si="2"/>
        <v>621488719.30234683</v>
      </c>
      <c r="T11" s="49">
        <v>0.51</v>
      </c>
      <c r="U11" s="49">
        <v>0.09</v>
      </c>
      <c r="V11" s="61">
        <f>1/(H11*R11)</f>
        <v>0.71376670261505382</v>
      </c>
      <c r="W11" s="61">
        <v>1.22</v>
      </c>
    </row>
    <row r="12" spans="1:27" x14ac:dyDescent="0.3">
      <c r="A12" s="13" t="s">
        <v>7</v>
      </c>
      <c r="B12" s="23">
        <v>55</v>
      </c>
      <c r="C12" s="24">
        <v>73</v>
      </c>
      <c r="D12" s="23">
        <v>45</v>
      </c>
      <c r="E12" s="23">
        <v>31</v>
      </c>
      <c r="F12" s="146">
        <f t="shared" si="0"/>
        <v>1.1946050096339114</v>
      </c>
      <c r="G12" s="54">
        <v>0.875</v>
      </c>
      <c r="H12" s="53">
        <f t="shared" si="6"/>
        <v>0.375</v>
      </c>
      <c r="I12" s="59">
        <v>1.25</v>
      </c>
      <c r="J12" s="32">
        <v>80753612</v>
      </c>
      <c r="K12" s="32" t="s">
        <v>31</v>
      </c>
      <c r="L12" s="129">
        <f t="shared" si="3"/>
        <v>0.7993041965644706</v>
      </c>
      <c r="M12" s="32">
        <f>7883195*1000</f>
        <v>7883195000</v>
      </c>
      <c r="N12" s="32">
        <v>1.0243800000000001E-2</v>
      </c>
      <c r="O12" s="64">
        <v>36</v>
      </c>
      <c r="P12" s="64">
        <v>9.19</v>
      </c>
      <c r="Q12" s="65">
        <v>1429815.0163220891</v>
      </c>
      <c r="R12" s="123">
        <f t="shared" si="4"/>
        <v>1.4298150163220891</v>
      </c>
      <c r="S12" s="92">
        <f t="shared" si="2"/>
        <v>115462727.05984765</v>
      </c>
      <c r="T12" s="49">
        <v>2.0099999999999998</v>
      </c>
      <c r="U12" s="49">
        <v>0.2</v>
      </c>
      <c r="V12" s="61">
        <f t="shared" si="5"/>
        <v>1.865043125317098</v>
      </c>
      <c r="W12" s="61">
        <v>1.58</v>
      </c>
    </row>
    <row r="13" spans="1:27" s="1" customFormat="1" x14ac:dyDescent="0.3">
      <c r="A13" s="11" t="s">
        <v>12</v>
      </c>
      <c r="B13" s="19">
        <v>40</v>
      </c>
      <c r="C13" s="20">
        <v>70</v>
      </c>
      <c r="D13" s="19">
        <v>40</v>
      </c>
      <c r="E13" s="19">
        <v>58</v>
      </c>
      <c r="F13" s="146">
        <f t="shared" si="0"/>
        <v>2.235067437379576</v>
      </c>
      <c r="G13" s="50">
        <v>0.4325</v>
      </c>
      <c r="H13" s="51" t="s">
        <v>31</v>
      </c>
      <c r="I13" s="57">
        <f>G13</f>
        <v>0.4325</v>
      </c>
      <c r="J13" s="31">
        <v>81799807</v>
      </c>
      <c r="K13" s="31">
        <v>82382029</v>
      </c>
      <c r="L13" s="48">
        <v>0.992932657679504</v>
      </c>
      <c r="M13" s="31" t="s">
        <v>31</v>
      </c>
      <c r="N13" s="31" t="s">
        <v>31</v>
      </c>
      <c r="O13" s="66">
        <v>68</v>
      </c>
      <c r="P13" s="48">
        <v>7.21</v>
      </c>
      <c r="Q13" s="66">
        <v>3442441.0540915392</v>
      </c>
      <c r="R13" s="87">
        <f t="shared" si="4"/>
        <v>3.4424410540915393</v>
      </c>
      <c r="S13" s="91">
        <f t="shared" si="2"/>
        <v>281591013.83356452</v>
      </c>
      <c r="T13" s="140">
        <v>3.6032740677493287</v>
      </c>
      <c r="U13" s="140">
        <v>0.37011384745687714</v>
      </c>
      <c r="W13" s="61">
        <v>0.23</v>
      </c>
    </row>
    <row r="14" spans="1:27" s="1" customFormat="1" x14ac:dyDescent="0.3">
      <c r="A14" s="11" t="s">
        <v>21</v>
      </c>
      <c r="B14" s="19">
        <v>849</v>
      </c>
      <c r="C14" s="20">
        <v>1132</v>
      </c>
      <c r="D14" s="19">
        <f>SUM(D15:D18)</f>
        <v>937</v>
      </c>
      <c r="E14" s="19">
        <f>SUM(E15:E18)</f>
        <v>1186</v>
      </c>
      <c r="F14" s="146">
        <f t="shared" si="0"/>
        <v>45.703275529865124</v>
      </c>
      <c r="G14" s="56">
        <f>SUMPRODUCT(G15:G17,J15:J17)/SUM(J15:J17)</f>
        <v>0.1000666421124924</v>
      </c>
      <c r="H14" s="51" t="s">
        <v>31</v>
      </c>
      <c r="I14" s="57">
        <f t="shared" ref="I14:I28" si="7">G14</f>
        <v>0.1000666421124924</v>
      </c>
      <c r="J14" s="31">
        <v>2848661914</v>
      </c>
      <c r="K14" s="31">
        <v>718130478</v>
      </c>
      <c r="L14" s="48">
        <v>3.9667748428301599</v>
      </c>
      <c r="M14" s="31" t="s">
        <v>31</v>
      </c>
      <c r="N14" s="31" t="s">
        <v>31</v>
      </c>
      <c r="O14" s="66">
        <v>1292</v>
      </c>
      <c r="P14" s="48">
        <v>147.06</v>
      </c>
      <c r="Q14" s="66">
        <v>3206718.3462532298</v>
      </c>
      <c r="R14" s="87">
        <f t="shared" si="4"/>
        <v>3.2067183462532296</v>
      </c>
      <c r="S14" s="91">
        <f t="shared" si="2"/>
        <v>9134856421.8966408</v>
      </c>
      <c r="T14" s="139">
        <f>SUMPRODUCT(T15:T18,$J$15:$J$18)/SUM($J$15:$J$18)</f>
        <v>1.5536536662911273</v>
      </c>
      <c r="U14" s="139">
        <f>SUMPRODUCT(U15:U18,$J$15:$J$18)/SUM($J$15:$J$18)</f>
        <v>0.22922442466438647</v>
      </c>
      <c r="W14" s="61">
        <f>SUMPRODUCT(W15:W18,J15:J18)/SUM(J15:J18)</f>
        <v>0.46849690478573225</v>
      </c>
    </row>
    <row r="15" spans="1:27" s="3" customFormat="1" x14ac:dyDescent="0.3">
      <c r="A15" s="17" t="s">
        <v>18</v>
      </c>
      <c r="B15" s="21" t="s">
        <v>31</v>
      </c>
      <c r="C15" s="22" t="s">
        <v>31</v>
      </c>
      <c r="D15" s="21">
        <v>432</v>
      </c>
      <c r="E15" s="21">
        <v>442</v>
      </c>
      <c r="F15" s="145">
        <f t="shared" si="0"/>
        <v>17.032755298651253</v>
      </c>
      <c r="G15" s="55">
        <v>0.12</v>
      </c>
      <c r="H15" s="52" t="s">
        <v>31</v>
      </c>
      <c r="I15" s="58">
        <f t="shared" si="7"/>
        <v>0.12</v>
      </c>
      <c r="J15" s="44">
        <v>749460077</v>
      </c>
      <c r="K15" s="44">
        <v>220107551</v>
      </c>
      <c r="L15" s="46">
        <v>3.4049999999999998</v>
      </c>
      <c r="M15" s="34" t="s">
        <v>31</v>
      </c>
      <c r="N15" s="34" t="s">
        <v>31</v>
      </c>
      <c r="O15" s="72">
        <v>527</v>
      </c>
      <c r="P15" s="45">
        <v>65.430000000000007</v>
      </c>
      <c r="Q15" s="72">
        <v>2939859.3917163378</v>
      </c>
      <c r="R15" s="122">
        <f t="shared" si="4"/>
        <v>2.9398593917163378</v>
      </c>
      <c r="S15" s="93">
        <f t="shared" si="2"/>
        <v>2203307246.0848999</v>
      </c>
      <c r="T15" s="135">
        <v>1.94</v>
      </c>
      <c r="U15" s="135">
        <v>0.36</v>
      </c>
      <c r="W15" s="155">
        <v>0.23</v>
      </c>
      <c r="AA15" s="49"/>
    </row>
    <row r="16" spans="1:27" s="3" customFormat="1" x14ac:dyDescent="0.3">
      <c r="A16" s="17" t="s">
        <v>19</v>
      </c>
      <c r="B16" s="21" t="s">
        <v>31</v>
      </c>
      <c r="C16" s="22" t="s">
        <v>31</v>
      </c>
      <c r="D16" s="21">
        <v>268</v>
      </c>
      <c r="E16" s="21">
        <v>493</v>
      </c>
      <c r="F16" s="145">
        <f t="shared" si="0"/>
        <v>18.998073217726397</v>
      </c>
      <c r="G16" s="55">
        <v>0.08</v>
      </c>
      <c r="H16" s="52" t="s">
        <v>31</v>
      </c>
      <c r="I16" s="58">
        <f t="shared" si="7"/>
        <v>0.08</v>
      </c>
      <c r="J16" s="44">
        <v>740961445</v>
      </c>
      <c r="K16" s="44">
        <v>159807722</v>
      </c>
      <c r="L16" s="46">
        <v>4.6365999999999996</v>
      </c>
      <c r="M16" s="34" t="s">
        <v>31</v>
      </c>
      <c r="N16" s="34" t="s">
        <v>31</v>
      </c>
      <c r="O16" s="44">
        <v>541</v>
      </c>
      <c r="P16" s="44">
        <v>53.92</v>
      </c>
      <c r="Q16" s="71">
        <v>3662184.7181008896</v>
      </c>
      <c r="R16" s="122">
        <f t="shared" si="4"/>
        <v>3.6621847181008897</v>
      </c>
      <c r="S16" s="93">
        <f t="shared" si="2"/>
        <v>2713537680.5809531</v>
      </c>
      <c r="T16" s="135">
        <v>1.0900000000000001</v>
      </c>
      <c r="U16" s="135">
        <v>0.1</v>
      </c>
      <c r="W16" s="155">
        <v>1.18</v>
      </c>
    </row>
    <row r="17" spans="1:26" s="3" customFormat="1" x14ac:dyDescent="0.3">
      <c r="A17" s="17" t="s">
        <v>20</v>
      </c>
      <c r="B17" s="21" t="s">
        <v>31</v>
      </c>
      <c r="C17" s="22" t="s">
        <v>31</v>
      </c>
      <c r="D17" s="21">
        <v>140</v>
      </c>
      <c r="E17" s="21">
        <v>146</v>
      </c>
      <c r="F17" s="145">
        <f t="shared" si="0"/>
        <v>5.6262042389210016</v>
      </c>
      <c r="G17" s="55">
        <v>0.1</v>
      </c>
      <c r="H17" s="52" t="s">
        <v>31</v>
      </c>
      <c r="I17" s="58">
        <f t="shared" si="7"/>
        <v>0.1</v>
      </c>
      <c r="J17" s="44">
        <v>1060107470</v>
      </c>
      <c r="K17" s="44">
        <v>187959116</v>
      </c>
      <c r="L17" s="46">
        <v>5.6401000000000003</v>
      </c>
      <c r="M17" s="34" t="s">
        <v>31</v>
      </c>
      <c r="N17" s="34" t="s">
        <v>31</v>
      </c>
      <c r="O17" s="72">
        <v>147</v>
      </c>
      <c r="P17" s="45">
        <v>17.89</v>
      </c>
      <c r="Q17" s="72">
        <v>2999161.5427613193</v>
      </c>
      <c r="R17" s="122">
        <f t="shared" si="4"/>
        <v>2.9991615427613194</v>
      </c>
      <c r="S17" s="93">
        <f t="shared" si="2"/>
        <v>3179433555.217999</v>
      </c>
      <c r="T17" s="135">
        <v>1.51</v>
      </c>
      <c r="U17" s="135">
        <v>0.21</v>
      </c>
      <c r="V17" s="61"/>
      <c r="W17" s="155">
        <v>0.19</v>
      </c>
      <c r="X17" s="62"/>
      <c r="Y17" s="62"/>
      <c r="Z17" s="62"/>
    </row>
    <row r="18" spans="1:26" s="10" customFormat="1" x14ac:dyDescent="0.3">
      <c r="A18" s="17" t="s">
        <v>37</v>
      </c>
      <c r="B18" s="21"/>
      <c r="C18" s="22"/>
      <c r="D18" s="21">
        <v>97</v>
      </c>
      <c r="E18" s="21">
        <v>105</v>
      </c>
      <c r="F18" s="145">
        <f t="shared" si="0"/>
        <v>4.0462427745664744</v>
      </c>
      <c r="G18" s="55"/>
      <c r="H18" s="52" t="s">
        <v>31</v>
      </c>
      <c r="I18" s="58"/>
      <c r="J18" s="34">
        <f>J14-SUM(J15:J17)</f>
        <v>298132922</v>
      </c>
      <c r="K18" s="34">
        <f t="shared" ref="K18" si="8">K14-SUM(K15:K17)</f>
        <v>150256089</v>
      </c>
      <c r="L18" s="45">
        <f>J18/K18</f>
        <v>1.9841653272367552</v>
      </c>
      <c r="M18" s="34" t="s">
        <v>31</v>
      </c>
      <c r="N18" s="34" t="s">
        <v>31</v>
      </c>
      <c r="O18" s="44">
        <v>42</v>
      </c>
      <c r="P18" s="44">
        <v>5.4</v>
      </c>
      <c r="Q18" s="71">
        <v>2838888.8888888885</v>
      </c>
      <c r="R18" s="122">
        <f t="shared" si="4"/>
        <v>2.8388888888888886</v>
      </c>
      <c r="S18" s="93">
        <f t="shared" si="2"/>
        <v>846366239.67777765</v>
      </c>
      <c r="T18" s="135">
        <v>1.89</v>
      </c>
      <c r="U18" s="135">
        <v>0.28999999999999998</v>
      </c>
      <c r="V18" s="61"/>
      <c r="W18" s="155">
        <v>0.28999999999999998</v>
      </c>
    </row>
    <row r="19" spans="1:26" s="1" customFormat="1" x14ac:dyDescent="0.3">
      <c r="A19" s="11" t="s">
        <v>13</v>
      </c>
      <c r="B19" s="19">
        <f>SUM(B20:B22)</f>
        <v>269</v>
      </c>
      <c r="C19" s="20">
        <f>SUM(C20:C22)</f>
        <v>277</v>
      </c>
      <c r="D19" s="19">
        <f>SUM(D20:D22)</f>
        <v>201</v>
      </c>
      <c r="E19" s="19">
        <f t="shared" ref="E19" si="9">SUM(E20:E22)</f>
        <v>267</v>
      </c>
      <c r="F19" s="146">
        <f t="shared" si="0"/>
        <v>10.289017341040463</v>
      </c>
      <c r="G19" s="56">
        <f>SUMPRODUCT(G20:G22,J20:J22)/SUM(J20:J22)</f>
        <v>0.210535429081257</v>
      </c>
      <c r="H19" s="51" t="s">
        <v>31</v>
      </c>
      <c r="I19" s="57">
        <f t="shared" si="7"/>
        <v>0.210535429081257</v>
      </c>
      <c r="J19" s="31">
        <f>SUM(J20:J22)</f>
        <v>2787200980</v>
      </c>
      <c r="K19" s="31">
        <f>SUM(K20:K22)</f>
        <v>184164175</v>
      </c>
      <c r="L19" s="48">
        <f>J19/K19</f>
        <v>15.134327726877391</v>
      </c>
      <c r="M19" s="31" t="s">
        <v>31</v>
      </c>
      <c r="N19" s="31" t="s">
        <v>31</v>
      </c>
      <c r="O19" s="66">
        <f>SUM(O20:O22)</f>
        <v>333</v>
      </c>
      <c r="P19" s="66">
        <f>SUM(P20:P22)</f>
        <v>281.70999999999998</v>
      </c>
      <c r="Q19" s="75">
        <f>SUMPRODUCT(Q20:Q22,J20:J22)/SUM(J20:J22)</f>
        <v>483048.80897582095</v>
      </c>
      <c r="R19" s="87">
        <f t="shared" si="4"/>
        <v>0.48304880897582098</v>
      </c>
      <c r="S19" s="91">
        <f t="shared" si="2"/>
        <v>1346354113.7652409</v>
      </c>
      <c r="T19" s="140">
        <f>SUMPRODUCT(T20:T22,$J$20:$J$22)/SUM($J$20:$J$22)</f>
        <v>0.20773422761537641</v>
      </c>
      <c r="U19" s="140">
        <f>SUMPRODUCT(U20:U22,$J$20:$J$22)/SUM($J$20:$J$22)</f>
        <v>3.7189414421836625E-2</v>
      </c>
      <c r="W19" s="61">
        <f>SUMPRODUCT(W20:W22,J20:J22)/SUM(J20:J22)</f>
        <v>7.2355585182809462E-2</v>
      </c>
    </row>
    <row r="20" spans="1:26" s="3" customFormat="1" x14ac:dyDescent="0.3">
      <c r="A20" s="17" t="s">
        <v>22</v>
      </c>
      <c r="B20" s="21">
        <v>147</v>
      </c>
      <c r="C20" s="22">
        <v>155</v>
      </c>
      <c r="D20" s="21">
        <v>138</v>
      </c>
      <c r="E20" s="21">
        <v>149</v>
      </c>
      <c r="F20" s="145">
        <f t="shared" si="0"/>
        <v>5.7418111753371868</v>
      </c>
      <c r="G20" s="55">
        <v>0.25</v>
      </c>
      <c r="H20" s="52" t="s">
        <v>31</v>
      </c>
      <c r="I20" s="58">
        <f t="shared" si="7"/>
        <v>0.25</v>
      </c>
      <c r="J20" s="34">
        <v>1075203877</v>
      </c>
      <c r="K20" s="34">
        <v>57003435</v>
      </c>
      <c r="L20" s="45">
        <v>18.862089223219598</v>
      </c>
      <c r="M20" s="34" t="s">
        <v>31</v>
      </c>
      <c r="N20" s="34" t="s">
        <v>31</v>
      </c>
      <c r="O20" s="72">
        <v>95</v>
      </c>
      <c r="P20" s="45">
        <v>140.47999999999999</v>
      </c>
      <c r="Q20" s="72">
        <v>246832.2892938497</v>
      </c>
      <c r="R20" s="122">
        <f t="shared" si="4"/>
        <v>0.2468322892938497</v>
      </c>
      <c r="S20" s="93">
        <f t="shared" si="2"/>
        <v>265395034.41753277</v>
      </c>
      <c r="T20" s="61">
        <v>0.23849215418007405</v>
      </c>
      <c r="U20" s="61">
        <v>3.759706457251237E-2</v>
      </c>
      <c r="W20" s="155">
        <v>0.06</v>
      </c>
    </row>
    <row r="21" spans="1:26" s="3" customFormat="1" x14ac:dyDescent="0.3">
      <c r="A21" s="17" t="s">
        <v>23</v>
      </c>
      <c r="B21" s="21">
        <v>122</v>
      </c>
      <c r="C21" s="22">
        <v>122</v>
      </c>
      <c r="D21" s="21"/>
      <c r="E21" s="21"/>
      <c r="F21" s="145">
        <f t="shared" si="0"/>
        <v>0</v>
      </c>
      <c r="G21" s="55">
        <v>0.25</v>
      </c>
      <c r="H21" s="52" t="s">
        <v>31</v>
      </c>
      <c r="I21" s="58">
        <f t="shared" si="7"/>
        <v>0.25</v>
      </c>
      <c r="J21" s="34">
        <v>865876405</v>
      </c>
      <c r="K21" s="34">
        <v>65235907</v>
      </c>
      <c r="L21" s="45">
        <v>13.273003240377999</v>
      </c>
      <c r="M21" s="34" t="s">
        <v>31</v>
      </c>
      <c r="N21" s="34" t="s">
        <v>31</v>
      </c>
      <c r="O21" s="72">
        <v>97</v>
      </c>
      <c r="P21" s="45">
        <v>77.87</v>
      </c>
      <c r="Q21" s="72">
        <v>454668.0364710415</v>
      </c>
      <c r="R21" s="122">
        <f t="shared" si="4"/>
        <v>0.45466803647104148</v>
      </c>
      <c r="S21" s="93">
        <f t="shared" si="2"/>
        <v>393686324.88795429</v>
      </c>
      <c r="T21" s="61">
        <v>0.12782935451417407</v>
      </c>
      <c r="U21" s="61">
        <v>1.8579743981208218E-2</v>
      </c>
      <c r="W21" s="155">
        <v>0.09</v>
      </c>
    </row>
    <row r="22" spans="1:26" s="3" customFormat="1" x14ac:dyDescent="0.3">
      <c r="A22" s="17" t="s">
        <v>24</v>
      </c>
      <c r="B22" s="21" t="s">
        <v>31</v>
      </c>
      <c r="C22" s="22" t="s">
        <v>31</v>
      </c>
      <c r="D22" s="21">
        <v>63</v>
      </c>
      <c r="E22" s="21">
        <v>118</v>
      </c>
      <c r="F22" s="145">
        <f t="shared" si="0"/>
        <v>4.5472061657032752</v>
      </c>
      <c r="G22" s="55">
        <v>0.12</v>
      </c>
      <c r="H22" s="52" t="s">
        <v>31</v>
      </c>
      <c r="I22" s="58">
        <f t="shared" si="7"/>
        <v>0.12</v>
      </c>
      <c r="J22" s="34">
        <v>846120698</v>
      </c>
      <c r="K22" s="34">
        <v>61924833</v>
      </c>
      <c r="L22" s="45">
        <v>13.6636734732897</v>
      </c>
      <c r="M22" s="34" t="s">
        <v>31</v>
      </c>
      <c r="N22" s="34" t="s">
        <v>31</v>
      </c>
      <c r="O22" s="72">
        <v>141</v>
      </c>
      <c r="P22" s="45">
        <v>63.36</v>
      </c>
      <c r="Q22" s="72">
        <v>812263.25757575757</v>
      </c>
      <c r="R22" s="122">
        <f t="shared" si="4"/>
        <v>0.81226325757575757</v>
      </c>
      <c r="S22" s="93">
        <f t="shared" si="2"/>
        <v>687272754.45975375</v>
      </c>
      <c r="T22" s="137">
        <v>0.250419275336554</v>
      </c>
      <c r="U22" s="61">
        <v>5.5715574523997252E-2</v>
      </c>
      <c r="W22" s="155">
        <v>7.0000000000000007E-2</v>
      </c>
    </row>
    <row r="23" spans="1:26" x14ac:dyDescent="0.3">
      <c r="A23" s="14" t="s">
        <v>80</v>
      </c>
      <c r="B23" s="19">
        <f>SUM(B24:B28)</f>
        <v>1328</v>
      </c>
      <c r="C23" s="20">
        <f>SUM(C24:C28)</f>
        <v>1381</v>
      </c>
      <c r="D23" s="19">
        <f>SUM(D24:D28)</f>
        <v>965</v>
      </c>
      <c r="E23" s="20">
        <f>SUM(E24:E28)</f>
        <v>544</v>
      </c>
      <c r="F23" s="146">
        <f>100*E23/$E$31</f>
        <v>20.96339113680154</v>
      </c>
      <c r="G23" s="56">
        <f>SUMPRODUCT(G24:G28,J24:J28)/SUM(J24:J28)</f>
        <v>9.0523495541134993E-2</v>
      </c>
      <c r="H23" s="51" t="s">
        <v>31</v>
      </c>
      <c r="I23" s="57">
        <f t="shared" si="7"/>
        <v>9.0523495541134993E-2</v>
      </c>
      <c r="J23" s="33">
        <f>SUM(J24:J28)-J25</f>
        <v>3145460691</v>
      </c>
      <c r="K23" s="33">
        <f>SUM(K24:K28)</f>
        <v>348364134</v>
      </c>
      <c r="L23" s="133">
        <f>J23/K23</f>
        <v>9.0292323003607482</v>
      </c>
      <c r="M23" s="31" t="s">
        <v>31</v>
      </c>
      <c r="N23" s="31" t="s">
        <v>31</v>
      </c>
      <c r="O23" s="66">
        <f>SUM(O24:O28)</f>
        <v>587</v>
      </c>
      <c r="P23" s="66">
        <f>SUM(P24:P28)</f>
        <v>50.45</v>
      </c>
      <c r="Q23" s="75">
        <f>SUMPRODUCT(Q24:Q28,J24:J28)/SUM(J24:J28)</f>
        <v>1526048.0167554147</v>
      </c>
      <c r="R23" s="87">
        <f>Q23/1000000</f>
        <v>1.5260480167554147</v>
      </c>
      <c r="S23" s="91">
        <f>J23*Q23/1000000</f>
        <v>4800124049.2826662</v>
      </c>
      <c r="T23" s="139">
        <f>(T24*$J$24+$J$26*T26+$J$28*T28)/($J$24+$J$26+$J$28)</f>
        <v>1.1313346140510341</v>
      </c>
      <c r="U23" s="139">
        <f>(U24*$J$24+$J$26*U26+$J$28*U28)/($J$24+$J$26+$J$28)</f>
        <v>0.15952961000631619</v>
      </c>
      <c r="W23" s="61">
        <f>SUMPRODUCT(W24:W28,J24:J28)/SUM(J24:J28)</f>
        <v>0.29572304994050513</v>
      </c>
    </row>
    <row r="24" spans="1:26" s="3" customFormat="1" x14ac:dyDescent="0.3">
      <c r="A24" s="18" t="s">
        <v>25</v>
      </c>
      <c r="B24" s="21">
        <v>71</v>
      </c>
      <c r="C24" s="22">
        <v>95</v>
      </c>
      <c r="D24" s="21">
        <f>54+45+1+5</f>
        <v>105</v>
      </c>
      <c r="E24" s="21">
        <f>37+20+13+0</f>
        <v>70</v>
      </c>
      <c r="F24" s="145">
        <f t="shared" si="0"/>
        <v>2.6974951830443161</v>
      </c>
      <c r="G24" s="55">
        <v>0.2</v>
      </c>
      <c r="H24" s="52" t="s">
        <v>31</v>
      </c>
      <c r="I24" s="58">
        <f t="shared" si="7"/>
        <v>0.2</v>
      </c>
      <c r="J24" s="34">
        <v>959622175</v>
      </c>
      <c r="K24" s="34">
        <v>305261053</v>
      </c>
      <c r="L24" s="45">
        <v>3.1436115599063901</v>
      </c>
      <c r="M24" s="34" t="s">
        <v>31</v>
      </c>
      <c r="N24" s="34" t="s">
        <v>31</v>
      </c>
      <c r="O24" s="72">
        <v>60</v>
      </c>
      <c r="P24" s="45">
        <v>7.42</v>
      </c>
      <c r="Q24" s="72">
        <v>2951482.4797843699</v>
      </c>
      <c r="R24" s="122">
        <f>Q24/1000000</f>
        <v>2.9514824797843699</v>
      </c>
      <c r="S24" s="93">
        <f t="shared" si="2"/>
        <v>2832308036.7250705</v>
      </c>
      <c r="T24" s="142">
        <v>3.4804146776027065</v>
      </c>
      <c r="U24" s="142">
        <v>0.48312111777152017</v>
      </c>
      <c r="W24" s="155">
        <v>0.46</v>
      </c>
    </row>
    <row r="25" spans="1:26" s="5" customFormat="1" x14ac:dyDescent="0.3">
      <c r="A25" s="18" t="s">
        <v>9</v>
      </c>
      <c r="B25" s="21">
        <v>548</v>
      </c>
      <c r="C25" s="22">
        <v>570</v>
      </c>
      <c r="D25" s="21">
        <f>29+1+56+395+6</f>
        <v>487</v>
      </c>
      <c r="E25" s="21">
        <f>38+50+29+71+27</f>
        <v>215</v>
      </c>
      <c r="F25" s="145">
        <f t="shared" si="0"/>
        <v>8.2851637764932562</v>
      </c>
      <c r="G25" s="55"/>
      <c r="H25" s="52" t="s">
        <v>31</v>
      </c>
      <c r="I25" s="58">
        <f t="shared" si="7"/>
        <v>0</v>
      </c>
      <c r="J25" s="35">
        <v>172654906</v>
      </c>
      <c r="K25" s="34" t="s">
        <v>31</v>
      </c>
      <c r="L25" s="45"/>
      <c r="M25" s="34" t="s">
        <v>31</v>
      </c>
      <c r="N25" s="34" t="s">
        <v>31</v>
      </c>
      <c r="O25" s="72">
        <v>271</v>
      </c>
      <c r="P25" s="45">
        <v>11.37</v>
      </c>
      <c r="Q25" s="72">
        <v>8699648.1970096752</v>
      </c>
      <c r="R25" s="122">
        <f t="shared" si="4"/>
        <v>8.699648197009676</v>
      </c>
      <c r="S25" s="93">
        <f t="shared" si="2"/>
        <v>1502036941.6877749</v>
      </c>
      <c r="T25" s="138"/>
      <c r="U25" s="142"/>
      <c r="W25" s="155">
        <v>0.67</v>
      </c>
    </row>
    <row r="26" spans="1:26" s="3" customFormat="1" x14ac:dyDescent="0.3">
      <c r="A26" s="18" t="s">
        <v>26</v>
      </c>
      <c r="B26" s="21">
        <v>686</v>
      </c>
      <c r="C26" s="22">
        <v>686</v>
      </c>
      <c r="D26" s="21">
        <v>253</v>
      </c>
      <c r="E26" s="21">
        <v>194</v>
      </c>
      <c r="F26" s="145">
        <f t="shared" si="0"/>
        <v>7.4759152215799611</v>
      </c>
      <c r="G26" s="55">
        <v>0.05</v>
      </c>
      <c r="H26" s="52" t="s">
        <v>31</v>
      </c>
      <c r="I26" s="58">
        <f t="shared" si="7"/>
        <v>0.05</v>
      </c>
      <c r="J26" s="44">
        <v>2168859749</v>
      </c>
      <c r="K26" s="44">
        <v>31456494</v>
      </c>
      <c r="L26" s="45">
        <f>J26/K26</f>
        <v>68.947917368032179</v>
      </c>
      <c r="M26" s="34" t="s">
        <v>31</v>
      </c>
      <c r="N26" s="34" t="s">
        <v>31</v>
      </c>
      <c r="O26" s="34">
        <v>240</v>
      </c>
      <c r="P26" s="34">
        <v>29.32</v>
      </c>
      <c r="Q26" s="49">
        <v>316703</v>
      </c>
      <c r="R26" s="122">
        <f>Q26/1000000</f>
        <v>0.31670300000000001</v>
      </c>
      <c r="S26" s="93">
        <f t="shared" si="2"/>
        <v>686884389.08754694</v>
      </c>
      <c r="T26" s="138">
        <v>8.0433888406308385E-2</v>
      </c>
      <c r="U26" s="142">
        <v>1.5108472101577095E-2</v>
      </c>
      <c r="W26" s="155">
        <v>0.19</v>
      </c>
    </row>
    <row r="27" spans="1:26" s="10" customFormat="1" x14ac:dyDescent="0.3">
      <c r="A27" s="18" t="s">
        <v>36</v>
      </c>
      <c r="B27" s="21"/>
      <c r="C27" s="22"/>
      <c r="D27" s="21">
        <f>54+66</f>
        <v>120</v>
      </c>
      <c r="E27" s="21">
        <f>28+37</f>
        <v>65</v>
      </c>
      <c r="F27" s="145">
        <f t="shared" si="0"/>
        <v>2.5048169556840079</v>
      </c>
      <c r="G27" s="55"/>
      <c r="H27" s="52" t="s">
        <v>31</v>
      </c>
      <c r="I27" s="58"/>
      <c r="J27" s="35"/>
      <c r="K27" s="34"/>
      <c r="L27" s="45"/>
      <c r="M27" s="34" t="s">
        <v>31</v>
      </c>
      <c r="N27" s="34" t="s">
        <v>31</v>
      </c>
      <c r="O27" s="35"/>
      <c r="P27" s="35"/>
      <c r="Q27" s="73"/>
      <c r="R27" s="122">
        <f t="shared" si="4"/>
        <v>0</v>
      </c>
      <c r="S27" s="93">
        <f t="shared" si="2"/>
        <v>0</v>
      </c>
      <c r="T27" s="138"/>
      <c r="U27" s="142"/>
      <c r="W27" s="61"/>
    </row>
    <row r="28" spans="1:26" s="3" customFormat="1" x14ac:dyDescent="0.3">
      <c r="A28" s="18" t="s">
        <v>10</v>
      </c>
      <c r="B28" s="21">
        <v>23</v>
      </c>
      <c r="C28" s="22">
        <v>30</v>
      </c>
      <c r="D28" s="26"/>
      <c r="E28" s="21"/>
      <c r="F28" s="145">
        <f t="shared" si="0"/>
        <v>0</v>
      </c>
      <c r="G28" s="55"/>
      <c r="H28" s="52" t="s">
        <v>31</v>
      </c>
      <c r="I28" s="58">
        <f t="shared" si="7"/>
        <v>0</v>
      </c>
      <c r="J28" s="36">
        <v>16978767</v>
      </c>
      <c r="K28" s="37">
        <v>11646587</v>
      </c>
      <c r="L28" s="47">
        <v>1.4578319811632301</v>
      </c>
      <c r="M28" s="37" t="s">
        <v>31</v>
      </c>
      <c r="N28" s="37" t="s">
        <v>31</v>
      </c>
      <c r="O28" s="74">
        <v>16</v>
      </c>
      <c r="P28" s="47">
        <v>2.34</v>
      </c>
      <c r="Q28" s="74">
        <v>2495726.4957264955</v>
      </c>
      <c r="R28" s="124">
        <f t="shared" si="4"/>
        <v>2.4957264957264953</v>
      </c>
      <c r="S28" s="94">
        <f t="shared" si="2"/>
        <v>42374358.666666664</v>
      </c>
      <c r="T28" s="138">
        <v>2.6053500246602912</v>
      </c>
      <c r="U28" s="142">
        <v>0.3187641653301736</v>
      </c>
      <c r="W28" s="155">
        <v>0.71</v>
      </c>
    </row>
    <row r="29" spans="1:26" x14ac:dyDescent="0.3">
      <c r="A29" s="15" t="s">
        <v>38</v>
      </c>
      <c r="B29" s="27">
        <f>SUM(B11:B12,B3)</f>
        <v>1047</v>
      </c>
      <c r="C29" s="25">
        <f>SUM(C11:C12,C3)</f>
        <v>673</v>
      </c>
      <c r="D29" s="27">
        <f>SUM(D11:D12,D3)</f>
        <v>1046</v>
      </c>
      <c r="E29" s="27">
        <f>SUM(E11:E12,E3)</f>
        <v>540</v>
      </c>
      <c r="F29" s="27"/>
      <c r="G29" s="41"/>
      <c r="H29" s="42"/>
      <c r="I29" s="43"/>
      <c r="J29" s="60">
        <f>SUM(J3,J11,J12)</f>
        <v>879229929</v>
      </c>
      <c r="K29" s="60" t="s">
        <v>31</v>
      </c>
      <c r="L29" s="60" t="s">
        <v>31</v>
      </c>
      <c r="M29" s="60" t="s">
        <v>31</v>
      </c>
      <c r="N29" s="31" t="s">
        <v>31</v>
      </c>
      <c r="O29" s="31"/>
      <c r="P29" s="31"/>
      <c r="Q29" s="31"/>
      <c r="R29" s="70"/>
      <c r="S29" s="91"/>
      <c r="T29" s="6"/>
    </row>
    <row r="30" spans="1:26" x14ac:dyDescent="0.3">
      <c r="A30" s="11" t="s">
        <v>39</v>
      </c>
      <c r="B30" s="19">
        <f>B13+B14+B19+B23</f>
        <v>2486</v>
      </c>
      <c r="C30" s="20">
        <f t="shared" ref="C30:E30" si="10">C13+C14+C19+C23</f>
        <v>2860</v>
      </c>
      <c r="D30" s="19">
        <f t="shared" si="10"/>
        <v>2143</v>
      </c>
      <c r="E30" s="19">
        <f t="shared" si="10"/>
        <v>2055</v>
      </c>
      <c r="F30" s="19"/>
      <c r="G30" s="38"/>
      <c r="H30" s="39"/>
      <c r="I30" s="40"/>
      <c r="J30" s="60">
        <f>SUM(J13,J14,J19,J23)</f>
        <v>8863123392</v>
      </c>
      <c r="K30" s="60">
        <f>SUM(K13,K14,K19,K23)</f>
        <v>1333040816</v>
      </c>
      <c r="L30" s="48">
        <f>J30/K30</f>
        <v>6.6488012112001229</v>
      </c>
      <c r="M30" s="31" t="s">
        <v>31</v>
      </c>
      <c r="N30" s="31" t="s">
        <v>31</v>
      </c>
      <c r="O30" s="31"/>
      <c r="P30" s="31"/>
      <c r="Q30" s="31"/>
      <c r="R30" s="70"/>
      <c r="S30" s="91"/>
      <c r="T30" s="6"/>
    </row>
    <row r="31" spans="1:26" x14ac:dyDescent="0.3">
      <c r="A31" s="11" t="s">
        <v>11</v>
      </c>
      <c r="B31" s="19">
        <f>SUM(B29:B30)</f>
        <v>3533</v>
      </c>
      <c r="C31" s="20">
        <f t="shared" ref="C31:E31" si="11">SUM(C29:C30)</f>
        <v>3533</v>
      </c>
      <c r="D31" s="19">
        <f t="shared" si="11"/>
        <v>3189</v>
      </c>
      <c r="E31" s="19">
        <f t="shared" si="11"/>
        <v>2595</v>
      </c>
      <c r="F31" s="19"/>
      <c r="G31" s="38"/>
      <c r="H31" s="39"/>
      <c r="I31" s="40"/>
      <c r="J31" s="60">
        <f>SUM(J29:J30)</f>
        <v>9742353321</v>
      </c>
      <c r="K31" s="31"/>
      <c r="L31" s="31"/>
      <c r="M31" s="31" t="s">
        <v>31</v>
      </c>
      <c r="N31" s="31" t="s">
        <v>31</v>
      </c>
      <c r="O31" s="31"/>
      <c r="P31" s="31"/>
      <c r="Q31" s="31"/>
      <c r="R31" s="31"/>
      <c r="S31" s="91"/>
    </row>
    <row r="32" spans="1:26" x14ac:dyDescent="0.3">
      <c r="K32" s="6"/>
      <c r="L32" s="6"/>
      <c r="M32" s="6"/>
      <c r="N32" s="6"/>
      <c r="O32" s="6"/>
    </row>
    <row r="33" spans="1:19" x14ac:dyDescent="0.3">
      <c r="H33" s="3"/>
      <c r="I33" s="3"/>
      <c r="J33" s="3"/>
      <c r="K33" s="6"/>
      <c r="L33" s="6"/>
      <c r="M33" s="6"/>
      <c r="N33" s="6"/>
      <c r="O33" s="6"/>
    </row>
    <row r="34" spans="1:19" x14ac:dyDescent="0.3">
      <c r="H34" s="3"/>
      <c r="I34" s="3"/>
      <c r="J34" s="3" t="s">
        <v>120</v>
      </c>
      <c r="K34" s="6">
        <f>J12/J7</f>
        <v>0.20531348221024776</v>
      </c>
      <c r="L34" s="6"/>
      <c r="M34" s="6"/>
      <c r="N34" s="6"/>
      <c r="Q34" s="2"/>
      <c r="R34" s="6"/>
    </row>
    <row r="35" spans="1:19" x14ac:dyDescent="0.3">
      <c r="A35" t="s">
        <v>42</v>
      </c>
      <c r="C35" s="4"/>
      <c r="D35" s="6"/>
      <c r="E35" s="6"/>
      <c r="F35" s="6"/>
      <c r="G35" s="4"/>
      <c r="H35" s="4"/>
      <c r="I35" s="4"/>
      <c r="J35" s="4"/>
      <c r="K35" s="6"/>
      <c r="L35" s="6"/>
      <c r="M35" s="6"/>
      <c r="N35" s="6"/>
      <c r="Q35" s="2"/>
      <c r="R35" s="6"/>
      <c r="S35" s="2"/>
    </row>
    <row r="36" spans="1:19" x14ac:dyDescent="0.3">
      <c r="A36" t="s">
        <v>43</v>
      </c>
      <c r="C36" s="4"/>
      <c r="D36" s="6"/>
      <c r="E36" s="6"/>
      <c r="F36" s="6"/>
      <c r="G36" s="4"/>
      <c r="H36" s="4"/>
      <c r="I36" s="4"/>
      <c r="J36" s="4"/>
      <c r="K36" s="6"/>
      <c r="L36" s="6"/>
      <c r="M36" s="6"/>
      <c r="N36" s="6"/>
      <c r="O36" s="6"/>
      <c r="P36" s="2"/>
      <c r="Q36" s="2"/>
      <c r="R36" s="6"/>
      <c r="S36" s="2"/>
    </row>
    <row r="37" spans="1:19" x14ac:dyDescent="0.3">
      <c r="C37" s="4"/>
      <c r="D37" s="6"/>
      <c r="E37" s="6"/>
      <c r="F37" s="6"/>
      <c r="G37" s="4"/>
      <c r="H37" s="4"/>
      <c r="I37" s="4"/>
      <c r="J37" s="4"/>
      <c r="K37" s="6"/>
      <c r="L37" s="6"/>
      <c r="M37" s="6"/>
      <c r="N37" s="6"/>
      <c r="O37" s="6"/>
      <c r="P37" s="2"/>
      <c r="Q37" s="2"/>
      <c r="R37" s="6"/>
    </row>
    <row r="38" spans="1:19" x14ac:dyDescent="0.3">
      <c r="C38" s="4"/>
      <c r="D38" s="6"/>
      <c r="E38" s="6"/>
      <c r="F38" s="6"/>
      <c r="G38" s="4"/>
      <c r="H38" s="4"/>
      <c r="I38" s="4"/>
      <c r="J38" s="4"/>
      <c r="K38" s="6"/>
      <c r="L38" s="6"/>
      <c r="M38" s="6"/>
      <c r="N38" s="6"/>
      <c r="O38" s="6"/>
      <c r="P38" s="2"/>
      <c r="Q38" s="2"/>
      <c r="R38" s="6"/>
      <c r="S38" s="2"/>
    </row>
    <row r="39" spans="1:19" x14ac:dyDescent="0.3">
      <c r="C39" s="4"/>
      <c r="D39" s="6"/>
      <c r="E39" s="6"/>
      <c r="F39" s="6"/>
      <c r="G39" s="4"/>
      <c r="H39" s="4"/>
      <c r="I39" s="4"/>
      <c r="J39" s="4"/>
      <c r="K39" s="6"/>
      <c r="L39" s="6"/>
      <c r="M39" s="6"/>
      <c r="N39" s="6"/>
      <c r="O39" s="6"/>
      <c r="P39" s="2"/>
      <c r="Q39" s="2"/>
      <c r="R39" s="6"/>
      <c r="S39" s="2"/>
    </row>
    <row r="40" spans="1:19" x14ac:dyDescent="0.3">
      <c r="C40" s="4"/>
      <c r="D40" s="6"/>
      <c r="E40" s="6"/>
      <c r="F40" s="6"/>
      <c r="G40" s="4"/>
      <c r="H40" s="4"/>
      <c r="I40" s="4"/>
      <c r="J40" s="4"/>
      <c r="K40" s="4"/>
      <c r="L40" s="5"/>
      <c r="M40" s="5"/>
      <c r="N40" s="5"/>
      <c r="O40" s="2"/>
      <c r="P40" s="2"/>
      <c r="Q40" s="2"/>
      <c r="R40" s="6"/>
      <c r="S40" s="2"/>
    </row>
    <row r="41" spans="1:19" x14ac:dyDescent="0.3">
      <c r="C41" s="4"/>
      <c r="D41" s="6"/>
      <c r="E41" s="6"/>
      <c r="F41" s="6"/>
      <c r="G41" s="4"/>
      <c r="H41" s="4"/>
      <c r="I41" s="4"/>
      <c r="J41" s="4"/>
      <c r="K41" s="4"/>
      <c r="L41" s="4"/>
      <c r="M41" s="2"/>
      <c r="N41" s="2"/>
      <c r="O41" s="2"/>
      <c r="P41" s="2"/>
      <c r="Q41" s="2"/>
      <c r="R41" s="6"/>
      <c r="S41" s="2"/>
    </row>
    <row r="42" spans="1:19" x14ac:dyDescent="0.3">
      <c r="C42" s="4"/>
      <c r="D42" s="6"/>
      <c r="E42" s="6"/>
      <c r="F42" s="6"/>
      <c r="G42" s="4"/>
      <c r="H42" s="4"/>
      <c r="I42" s="4"/>
      <c r="J42" s="4"/>
      <c r="K42" s="4"/>
      <c r="L42" s="4"/>
      <c r="M42" s="2"/>
      <c r="N42" s="2"/>
      <c r="O42" s="2"/>
      <c r="P42" s="2"/>
      <c r="Q42" s="2"/>
      <c r="R42" s="6"/>
      <c r="S42" s="2"/>
    </row>
    <row r="43" spans="1:19" x14ac:dyDescent="0.3">
      <c r="C43" s="4"/>
      <c r="D43" s="6"/>
      <c r="E43" s="6"/>
      <c r="F43" s="6"/>
      <c r="G43" s="4"/>
      <c r="H43" s="4"/>
      <c r="I43" s="4"/>
      <c r="J43" s="4"/>
      <c r="K43" s="4"/>
      <c r="L43" s="4"/>
      <c r="M43" s="2"/>
      <c r="N43" s="2"/>
      <c r="O43" s="2"/>
      <c r="P43" s="2"/>
      <c r="Q43" s="2"/>
      <c r="R43" s="6"/>
      <c r="S43" s="2"/>
    </row>
    <row r="44" spans="1:19" x14ac:dyDescent="0.3">
      <c r="C44" s="4"/>
      <c r="D44" s="6"/>
      <c r="E44" s="6"/>
      <c r="F44" s="6"/>
      <c r="G44" s="4"/>
      <c r="H44" s="4"/>
      <c r="I44" s="4"/>
      <c r="J44" s="4"/>
      <c r="K44" s="4"/>
      <c r="L44" s="4"/>
      <c r="N44" s="1"/>
      <c r="O44" s="1"/>
    </row>
    <row r="45" spans="1:19" x14ac:dyDescent="0.3">
      <c r="C45" s="4"/>
      <c r="D45" s="6"/>
      <c r="E45" s="6"/>
      <c r="F45" s="6"/>
      <c r="G45" s="4"/>
      <c r="H45" s="4"/>
      <c r="I45" s="4"/>
      <c r="J45" s="4"/>
      <c r="K45" s="4"/>
      <c r="L45" s="4"/>
      <c r="N45" s="1"/>
      <c r="O45" s="1"/>
    </row>
    <row r="46" spans="1:19" x14ac:dyDescent="0.3">
      <c r="C46" s="4"/>
      <c r="D46" s="6"/>
      <c r="E46" s="6"/>
      <c r="F46" s="6"/>
      <c r="G46" s="4"/>
      <c r="H46" s="4"/>
      <c r="I46" s="4"/>
      <c r="J46" s="4"/>
      <c r="K46" s="4"/>
      <c r="L46" s="4"/>
      <c r="N46" s="1"/>
      <c r="O46" s="1"/>
    </row>
    <row r="47" spans="1:19" x14ac:dyDescent="0.3">
      <c r="C47" s="4"/>
      <c r="D47" s="6"/>
      <c r="E47" s="6"/>
      <c r="F47" s="6"/>
      <c r="G47" s="4"/>
      <c r="H47" s="4"/>
      <c r="I47" s="4"/>
      <c r="J47" s="4"/>
      <c r="K47" s="4"/>
      <c r="L47" s="4"/>
    </row>
    <row r="48" spans="1:19" x14ac:dyDescent="0.3">
      <c r="C48" s="4"/>
      <c r="D48" s="6"/>
      <c r="E48" s="6"/>
      <c r="F48" s="6"/>
      <c r="G48" s="4"/>
      <c r="H48" s="4"/>
      <c r="I48" s="4"/>
      <c r="J48" s="4"/>
      <c r="K48" s="4"/>
      <c r="L48" s="4"/>
    </row>
    <row r="49" spans="3:12" x14ac:dyDescent="0.3">
      <c r="C49" s="4"/>
      <c r="D49" s="6"/>
      <c r="E49" s="6"/>
      <c r="F49" s="6"/>
      <c r="G49" s="4"/>
      <c r="H49" s="4"/>
      <c r="I49" s="4"/>
      <c r="J49" s="4"/>
      <c r="K49" s="4"/>
      <c r="L49" s="4"/>
    </row>
    <row r="50" spans="3:12" x14ac:dyDescent="0.3">
      <c r="C50" s="4"/>
      <c r="D50" s="6"/>
      <c r="E50" s="6"/>
      <c r="F50" s="6"/>
      <c r="G50" s="4"/>
      <c r="H50" s="4"/>
      <c r="I50" s="4"/>
      <c r="J50" s="4"/>
      <c r="K50" s="4"/>
      <c r="L50" s="4"/>
    </row>
    <row r="51" spans="3:12" x14ac:dyDescent="0.3">
      <c r="C51" s="4"/>
      <c r="D51" s="6"/>
      <c r="E51" s="6"/>
      <c r="F51" s="6"/>
      <c r="G51" s="4"/>
      <c r="H51" s="4"/>
      <c r="I51" s="4"/>
      <c r="J51" s="4"/>
      <c r="K51" s="4"/>
      <c r="L51" s="4"/>
    </row>
    <row r="52" spans="3:12" x14ac:dyDescent="0.3">
      <c r="C52" s="4"/>
      <c r="D52" s="6"/>
      <c r="E52" s="6"/>
      <c r="F52" s="6"/>
      <c r="G52" s="4"/>
      <c r="H52" s="4"/>
      <c r="I52" s="4"/>
      <c r="J52" s="4"/>
      <c r="K52" s="4"/>
      <c r="L52" s="4"/>
    </row>
    <row r="53" spans="3:12" x14ac:dyDescent="0.3">
      <c r="C53" s="4"/>
      <c r="D53" s="6"/>
      <c r="E53" s="6"/>
      <c r="F53" s="6"/>
      <c r="G53" s="4"/>
      <c r="H53" s="4"/>
      <c r="I53" s="4"/>
      <c r="J53" s="4"/>
      <c r="K53" s="4"/>
      <c r="L53" s="4"/>
    </row>
    <row r="54" spans="3:12" x14ac:dyDescent="0.3">
      <c r="C54" s="4"/>
      <c r="D54" s="6"/>
      <c r="E54" s="6"/>
      <c r="F54" s="6"/>
      <c r="G54" s="4"/>
      <c r="H54" s="4"/>
      <c r="I54" s="4"/>
      <c r="J54" s="4"/>
      <c r="K54" s="4"/>
      <c r="L54" s="4"/>
    </row>
    <row r="55" spans="3:12" x14ac:dyDescent="0.3">
      <c r="C55" s="4"/>
      <c r="D55" s="6"/>
      <c r="E55" s="6"/>
      <c r="F55" s="6"/>
      <c r="G55" s="4"/>
      <c r="H55" s="4"/>
      <c r="I55" s="4"/>
      <c r="J55" s="4"/>
      <c r="K55" s="4"/>
      <c r="L55" s="4"/>
    </row>
    <row r="56" spans="3:12" x14ac:dyDescent="0.3">
      <c r="C56" s="4"/>
      <c r="D56" s="6"/>
      <c r="E56" s="6"/>
      <c r="F56" s="6"/>
      <c r="G56" s="4"/>
      <c r="H56" s="4"/>
      <c r="I56" s="4"/>
      <c r="J56" s="4"/>
      <c r="K56" s="4"/>
      <c r="L56" s="4"/>
    </row>
    <row r="57" spans="3:12" x14ac:dyDescent="0.3">
      <c r="C57" s="4"/>
      <c r="D57" s="6"/>
      <c r="E57" s="6"/>
      <c r="F57" s="6"/>
      <c r="G57" s="4"/>
      <c r="H57" s="4"/>
      <c r="I57" s="4"/>
      <c r="J57" s="4"/>
      <c r="K57" s="4"/>
      <c r="L57" s="4"/>
    </row>
    <row r="58" spans="3:12" x14ac:dyDescent="0.3">
      <c r="C58" s="4"/>
      <c r="D58" s="6"/>
      <c r="E58" s="6"/>
      <c r="F58" s="6"/>
      <c r="G58" s="4"/>
      <c r="H58" s="4"/>
      <c r="I58" s="4"/>
      <c r="J58" s="4"/>
      <c r="K58" s="4"/>
      <c r="L58" s="4"/>
    </row>
  </sheetData>
  <mergeCells count="3">
    <mergeCell ref="G1:I1"/>
    <mergeCell ref="B1:E1"/>
    <mergeCell ref="J1:Q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E7" sqref="E7"/>
    </sheetView>
  </sheetViews>
  <sheetFormatPr defaultRowHeight="14.4" x14ac:dyDescent="0.3"/>
  <cols>
    <col min="1" max="1" width="19" bestFit="1" customWidth="1"/>
    <col min="2" max="2" width="16.88671875" bestFit="1" customWidth="1"/>
    <col min="3" max="3" width="15.5546875" bestFit="1" customWidth="1"/>
    <col min="4" max="4" width="22.21875" bestFit="1" customWidth="1"/>
    <col min="5" max="5" width="14.5546875" bestFit="1" customWidth="1"/>
  </cols>
  <sheetData>
    <row r="1" spans="1:5" x14ac:dyDescent="0.3">
      <c r="A1" s="12" t="s">
        <v>0</v>
      </c>
      <c r="B1" s="28" t="s">
        <v>3</v>
      </c>
      <c r="C1" s="29" t="s">
        <v>4</v>
      </c>
      <c r="D1" s="9" t="s">
        <v>96</v>
      </c>
      <c r="E1" s="8" t="s">
        <v>104</v>
      </c>
    </row>
    <row r="2" spans="1:5" x14ac:dyDescent="0.3">
      <c r="A2" s="148" t="s">
        <v>14</v>
      </c>
      <c r="B2" s="55">
        <v>0.5</v>
      </c>
      <c r="C2" s="52">
        <v>12.125</v>
      </c>
      <c r="D2" s="130">
        <v>1.2767123287671234</v>
      </c>
      <c r="E2" s="141">
        <v>5.264793108318034E-2</v>
      </c>
    </row>
    <row r="3" spans="1:5" x14ac:dyDescent="0.3">
      <c r="A3" s="148" t="s">
        <v>29</v>
      </c>
      <c r="B3" s="55">
        <v>0.5</v>
      </c>
      <c r="C3" s="52">
        <v>12.125</v>
      </c>
      <c r="D3" s="130">
        <v>1.2767123287671234</v>
      </c>
      <c r="E3" s="141">
        <v>5.264793108318034E-2</v>
      </c>
    </row>
    <row r="4" spans="1:5" x14ac:dyDescent="0.3">
      <c r="A4" s="148" t="s">
        <v>15</v>
      </c>
      <c r="B4" s="55">
        <v>1.375</v>
      </c>
      <c r="C4" s="52">
        <v>0.375</v>
      </c>
      <c r="D4" s="130">
        <v>0.50623720370643976</v>
      </c>
      <c r="E4" s="141">
        <v>1.856203080256946</v>
      </c>
    </row>
    <row r="5" spans="1:5" x14ac:dyDescent="0.3">
      <c r="A5" s="148" t="s">
        <v>16</v>
      </c>
      <c r="B5" s="55">
        <v>0.71250000000000002</v>
      </c>
      <c r="C5" s="52">
        <v>3.7499999999999978E-2</v>
      </c>
      <c r="D5" s="130">
        <v>0.49677884503570013</v>
      </c>
      <c r="E5" s="141">
        <v>9.4387980556783084</v>
      </c>
    </row>
    <row r="6" spans="1:5" x14ac:dyDescent="0.3">
      <c r="A6" s="148" t="s">
        <v>8</v>
      </c>
      <c r="B6" s="55">
        <v>1.25</v>
      </c>
      <c r="C6" s="52">
        <v>0</v>
      </c>
      <c r="D6" s="130">
        <v>1.223529411764706</v>
      </c>
      <c r="E6" s="61">
        <v>0</v>
      </c>
    </row>
    <row r="7" spans="1:5" x14ac:dyDescent="0.3">
      <c r="A7" s="149" t="s">
        <v>6</v>
      </c>
      <c r="B7" s="50">
        <v>0.2</v>
      </c>
      <c r="C7" s="51">
        <v>1.8</v>
      </c>
      <c r="D7" s="128">
        <v>6.4239003235354852</v>
      </c>
      <c r="E7" s="61">
        <v>0.71376670261505382</v>
      </c>
    </row>
    <row r="8" spans="1:5" x14ac:dyDescent="0.3">
      <c r="A8" s="150" t="s">
        <v>7</v>
      </c>
      <c r="B8" s="54">
        <v>0.875</v>
      </c>
      <c r="C8" s="53">
        <v>0.375</v>
      </c>
      <c r="D8" s="129">
        <v>0.7993041965644706</v>
      </c>
      <c r="E8" s="61">
        <v>1.865043125317098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6"/>
  <sheetViews>
    <sheetView tabSelected="1" topLeftCell="Z1" workbookViewId="0">
      <selection activeCell="AC13" sqref="AC13"/>
    </sheetView>
  </sheetViews>
  <sheetFormatPr defaultRowHeight="14.4" x14ac:dyDescent="0.3"/>
  <cols>
    <col min="1" max="1" width="13" customWidth="1"/>
    <col min="3" max="3" width="10.77734375" customWidth="1"/>
    <col min="7" max="7" width="12" bestFit="1" customWidth="1"/>
    <col min="8" max="8" width="19.77734375" customWidth="1"/>
    <col min="9" max="9" width="14.109375" customWidth="1"/>
    <col min="10" max="10" width="19.44140625" customWidth="1"/>
    <col min="11" max="11" width="16.5546875" customWidth="1"/>
    <col min="12" max="12" width="15.21875" customWidth="1"/>
    <col min="13" max="13" width="12.109375" customWidth="1"/>
    <col min="14" max="14" width="9.109375" customWidth="1"/>
    <col min="15" max="15" width="15.44140625" customWidth="1"/>
    <col min="16" max="16" width="9.109375" customWidth="1"/>
    <col min="17" max="17" width="13.109375" customWidth="1"/>
    <col min="18" max="21" width="9.109375" customWidth="1"/>
    <col min="22" max="22" width="18.44140625" customWidth="1"/>
    <col min="24" max="24" width="12.88671875" bestFit="1" customWidth="1"/>
    <col min="25" max="25" width="14.77734375" bestFit="1" customWidth="1"/>
    <col min="26" max="26" width="14.109375" customWidth="1"/>
    <col min="27" max="27" width="13.77734375" customWidth="1"/>
    <col min="29" max="44" width="7.77734375" bestFit="1" customWidth="1"/>
    <col min="45" max="45" width="8.109375" bestFit="1" customWidth="1"/>
  </cols>
  <sheetData>
    <row r="1" spans="1:32" ht="15" thickBot="1" x14ac:dyDescent="0.35">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row>
    <row r="2" spans="1:32" x14ac:dyDescent="0.3">
      <c r="A2" s="49"/>
      <c r="B2" s="178" t="s">
        <v>86</v>
      </c>
      <c r="C2" s="179"/>
      <c r="D2" s="180" t="s">
        <v>87</v>
      </c>
      <c r="E2" s="181"/>
      <c r="F2" s="180" t="s">
        <v>88</v>
      </c>
      <c r="G2" s="181"/>
      <c r="H2" s="182" t="s">
        <v>94</v>
      </c>
      <c r="I2" s="126"/>
      <c r="J2" s="49"/>
      <c r="K2" s="49"/>
      <c r="L2" s="49"/>
      <c r="M2" s="49"/>
      <c r="N2" s="49"/>
      <c r="O2" s="49"/>
      <c r="P2" s="49"/>
      <c r="Q2" s="49"/>
      <c r="R2" s="49"/>
      <c r="S2" s="49"/>
      <c r="T2" s="49"/>
      <c r="U2" s="49"/>
      <c r="V2" s="49"/>
      <c r="W2" s="49"/>
      <c r="X2" s="49"/>
      <c r="Y2" s="49"/>
      <c r="Z2" s="49"/>
      <c r="AA2" s="49"/>
      <c r="AB2" s="49"/>
      <c r="AC2" s="49"/>
      <c r="AD2" s="49"/>
      <c r="AE2" s="49"/>
      <c r="AF2" s="49"/>
    </row>
    <row r="3" spans="1:32" x14ac:dyDescent="0.3">
      <c r="A3" s="49"/>
      <c r="B3" s="99" t="s">
        <v>79</v>
      </c>
      <c r="C3" s="100" t="s">
        <v>50</v>
      </c>
      <c r="D3" s="97" t="s">
        <v>1</v>
      </c>
      <c r="E3" s="98" t="s">
        <v>50</v>
      </c>
      <c r="F3" s="97" t="s">
        <v>1</v>
      </c>
      <c r="G3" s="98" t="s">
        <v>50</v>
      </c>
      <c r="H3" s="182"/>
      <c r="I3" s="111" t="s">
        <v>95</v>
      </c>
      <c r="J3" s="132" t="s">
        <v>97</v>
      </c>
      <c r="K3" s="132" t="s">
        <v>100</v>
      </c>
      <c r="L3" s="132" t="s">
        <v>99</v>
      </c>
      <c r="M3" s="132" t="s">
        <v>103</v>
      </c>
      <c r="N3" s="132" t="s">
        <v>105</v>
      </c>
      <c r="O3" s="132" t="s">
        <v>106</v>
      </c>
      <c r="P3" s="132" t="s">
        <v>107</v>
      </c>
      <c r="Q3" s="132" t="s">
        <v>118</v>
      </c>
      <c r="R3" s="132" t="s">
        <v>119</v>
      </c>
      <c r="S3" s="110"/>
      <c r="V3" s="132" t="s">
        <v>157</v>
      </c>
      <c r="X3" t="s">
        <v>155</v>
      </c>
      <c r="Y3" t="s">
        <v>122</v>
      </c>
      <c r="Z3" t="s">
        <v>156</v>
      </c>
      <c r="AA3" t="s">
        <v>182</v>
      </c>
      <c r="AB3" t="s">
        <v>183</v>
      </c>
    </row>
    <row r="4" spans="1:32" x14ac:dyDescent="0.3">
      <c r="A4" s="49" t="s">
        <v>82</v>
      </c>
      <c r="B4" s="99">
        <v>115.19999999999999</v>
      </c>
      <c r="C4" s="100">
        <v>0</v>
      </c>
      <c r="D4" s="112">
        <f>100*B4/SUM($B$4:$B$11)</f>
        <v>3.2350463352990726</v>
      </c>
      <c r="E4" s="114">
        <f>100*C4/SUM($C$4:$C$11)</f>
        <v>0</v>
      </c>
      <c r="F4" s="116">
        <v>2.2999999999999998</v>
      </c>
      <c r="G4" s="117">
        <v>0</v>
      </c>
      <c r="H4" s="125">
        <v>1.2</v>
      </c>
      <c r="I4" s="131">
        <v>0.2</v>
      </c>
      <c r="J4" s="134">
        <v>1.2767123287671234</v>
      </c>
      <c r="K4" s="136">
        <v>2.8899999999999999E-2</v>
      </c>
      <c r="L4" s="143">
        <v>1.6000000000000001E-3</v>
      </c>
      <c r="M4" s="147">
        <v>1.8</v>
      </c>
      <c r="N4" s="110"/>
      <c r="O4" s="110"/>
      <c r="P4" s="110"/>
      <c r="S4" s="110"/>
      <c r="V4" s="147">
        <v>1.8</v>
      </c>
      <c r="W4">
        <f>$G$12*G4+$F$12*F4</f>
        <v>1.8399999999999999</v>
      </c>
      <c r="X4">
        <v>32.58</v>
      </c>
      <c r="Y4">
        <v>0.45</v>
      </c>
      <c r="Z4">
        <v>1.77</v>
      </c>
      <c r="AA4">
        <v>1.34</v>
      </c>
      <c r="AB4">
        <v>0</v>
      </c>
    </row>
    <row r="5" spans="1:32" x14ac:dyDescent="0.3">
      <c r="A5" s="49" t="s">
        <v>83</v>
      </c>
      <c r="B5" s="99">
        <v>392.8</v>
      </c>
      <c r="C5" s="100">
        <v>0</v>
      </c>
      <c r="D5" s="112">
        <f t="shared" ref="D5:D11" si="0">100*B5/SUM($B$4:$B$11)</f>
        <v>11.030609379387812</v>
      </c>
      <c r="E5" s="114">
        <f t="shared" ref="E5:E10" si="1">100*C5/SUM($C$4:$C$11)</f>
        <v>0</v>
      </c>
      <c r="F5" s="116">
        <v>7.2</v>
      </c>
      <c r="G5" s="117">
        <v>0</v>
      </c>
      <c r="H5" s="125">
        <v>1.5456366668226973</v>
      </c>
      <c r="I5" s="131">
        <v>0.2</v>
      </c>
      <c r="J5" s="134">
        <v>0.65327998456062986</v>
      </c>
      <c r="K5" s="136">
        <v>1.4800000000000001E-2</v>
      </c>
      <c r="L5" s="143">
        <v>8.9999999999999998E-4</v>
      </c>
      <c r="M5" s="147">
        <v>5.7</v>
      </c>
      <c r="N5" s="110"/>
      <c r="O5" s="110"/>
      <c r="P5" s="110"/>
      <c r="S5" s="110"/>
      <c r="V5" s="147">
        <v>6.7</v>
      </c>
      <c r="W5" s="49">
        <f t="shared" ref="W5:W11" si="2">$G$12*G5+$F$12*F5</f>
        <v>5.7600000000000007</v>
      </c>
      <c r="X5">
        <v>1.32</v>
      </c>
      <c r="Y5">
        <v>2.52</v>
      </c>
      <c r="Z5">
        <v>7.54</v>
      </c>
      <c r="AA5">
        <v>4.09</v>
      </c>
      <c r="AB5">
        <v>0</v>
      </c>
    </row>
    <row r="6" spans="1:32" x14ac:dyDescent="0.3">
      <c r="A6" s="49" t="s">
        <v>6</v>
      </c>
      <c r="B6" s="99">
        <v>512</v>
      </c>
      <c r="C6" s="100">
        <v>600</v>
      </c>
      <c r="D6" s="112">
        <f t="shared" si="0"/>
        <v>14.377983712440326</v>
      </c>
      <c r="E6" s="114">
        <f t="shared" si="1"/>
        <v>16.982734220209455</v>
      </c>
      <c r="F6" s="116">
        <v>6.7</v>
      </c>
      <c r="G6" s="117">
        <v>7</v>
      </c>
      <c r="H6" s="125">
        <v>0.6</v>
      </c>
      <c r="I6" s="131">
        <v>0.2</v>
      </c>
      <c r="J6" s="134">
        <v>6.4239003235354852</v>
      </c>
      <c r="K6" s="136">
        <v>5.1000000000000004E-3</v>
      </c>
      <c r="L6" s="143">
        <v>8.9999999999999998E-4</v>
      </c>
      <c r="M6" s="147">
        <v>6.8</v>
      </c>
      <c r="N6" s="110"/>
      <c r="O6" s="110"/>
      <c r="P6" s="110"/>
      <c r="S6" s="110"/>
      <c r="V6" s="147">
        <v>4</v>
      </c>
      <c r="W6" s="49">
        <f t="shared" si="2"/>
        <v>6.7600000000000007</v>
      </c>
      <c r="X6">
        <v>1.22</v>
      </c>
      <c r="Y6">
        <v>7.98</v>
      </c>
      <c r="Z6">
        <v>6.92</v>
      </c>
      <c r="AA6">
        <v>7.78</v>
      </c>
      <c r="AB6">
        <v>0</v>
      </c>
    </row>
    <row r="7" spans="1:32" x14ac:dyDescent="0.3">
      <c r="A7" s="49" t="s">
        <v>7</v>
      </c>
      <c r="B7" s="99">
        <v>55</v>
      </c>
      <c r="C7" s="100">
        <v>73</v>
      </c>
      <c r="D7" s="112">
        <f t="shared" si="0"/>
        <v>1.5445099691098005</v>
      </c>
      <c r="E7" s="114">
        <f t="shared" si="1"/>
        <v>2.0662326634588171</v>
      </c>
      <c r="F7" s="116">
        <v>1</v>
      </c>
      <c r="G7" s="117">
        <v>2</v>
      </c>
      <c r="H7" s="125">
        <v>1.4298150163220891</v>
      </c>
      <c r="I7" s="131">
        <v>0.2</v>
      </c>
      <c r="J7" s="134">
        <v>0.7993041965644706</v>
      </c>
      <c r="K7" s="136">
        <v>2.01E-2</v>
      </c>
      <c r="L7" s="143">
        <v>2E-3</v>
      </c>
      <c r="M7" s="147">
        <v>1.2</v>
      </c>
      <c r="N7" s="110"/>
      <c r="O7" s="110"/>
      <c r="P7" s="110"/>
      <c r="S7" s="110"/>
      <c r="T7" s="49"/>
      <c r="U7" s="49"/>
      <c r="V7" s="147">
        <v>1.2</v>
      </c>
      <c r="W7" s="49">
        <f t="shared" si="2"/>
        <v>1.2000000000000002</v>
      </c>
      <c r="X7" s="49">
        <v>1.58</v>
      </c>
      <c r="Y7" s="49">
        <v>0.76</v>
      </c>
      <c r="Z7" s="49">
        <v>1.25</v>
      </c>
      <c r="AA7" s="49">
        <v>0.74</v>
      </c>
      <c r="AB7" s="49">
        <v>0</v>
      </c>
      <c r="AC7" s="49"/>
      <c r="AD7" s="49"/>
      <c r="AE7" s="49"/>
      <c r="AF7" s="49"/>
    </row>
    <row r="8" spans="1:32" s="49" customFormat="1" x14ac:dyDescent="0.3">
      <c r="A8" s="49" t="s">
        <v>12</v>
      </c>
      <c r="B8" s="99">
        <v>40</v>
      </c>
      <c r="C8" s="100">
        <v>70</v>
      </c>
      <c r="D8" s="112">
        <f t="shared" si="0"/>
        <v>1.1232799775344005</v>
      </c>
      <c r="E8" s="114">
        <f t="shared" si="1"/>
        <v>1.9813189923577696</v>
      </c>
      <c r="F8" s="116">
        <v>2</v>
      </c>
      <c r="G8" s="117">
        <v>3.8</v>
      </c>
      <c r="H8" s="125">
        <v>3.4424410540915393</v>
      </c>
      <c r="I8" s="131">
        <v>0.2</v>
      </c>
      <c r="J8" s="134">
        <v>0.992932657679504</v>
      </c>
      <c r="K8" s="136">
        <v>3.5999999999999997E-2</v>
      </c>
      <c r="L8" s="143">
        <v>3.7000000000000002E-3</v>
      </c>
      <c r="M8" s="147">
        <v>2.2999999999999998</v>
      </c>
      <c r="N8" s="110">
        <v>1.4E-2</v>
      </c>
      <c r="O8" s="110">
        <f>0.8*U8</f>
        <v>9.4079999999999995</v>
      </c>
      <c r="P8" s="110">
        <v>0.19</v>
      </c>
      <c r="Q8" s="49">
        <v>0.21099999999999999</v>
      </c>
      <c r="S8" s="110"/>
      <c r="U8" s="110">
        <v>11.76</v>
      </c>
      <c r="V8" s="147">
        <v>2.2999999999999998</v>
      </c>
      <c r="W8" s="49">
        <f t="shared" si="2"/>
        <v>2.3600000000000003</v>
      </c>
      <c r="X8" s="49">
        <v>0.23</v>
      </c>
      <c r="Y8" s="49">
        <v>7.06</v>
      </c>
      <c r="Z8" s="49">
        <v>2.36</v>
      </c>
      <c r="AA8" s="49">
        <v>6.88</v>
      </c>
      <c r="AB8" s="49">
        <v>10</v>
      </c>
    </row>
    <row r="9" spans="1:32" s="49" customFormat="1" x14ac:dyDescent="0.3">
      <c r="A9" s="49" t="s">
        <v>81</v>
      </c>
      <c r="B9" s="99">
        <v>849</v>
      </c>
      <c r="C9" s="100">
        <v>1132</v>
      </c>
      <c r="D9" s="112">
        <f t="shared" si="0"/>
        <v>23.841617523167649</v>
      </c>
      <c r="E9" s="114">
        <f t="shared" si="1"/>
        <v>32.040758562128502</v>
      </c>
      <c r="F9" s="116">
        <v>46.8</v>
      </c>
      <c r="G9" s="117">
        <v>52</v>
      </c>
      <c r="H9" s="125">
        <v>3.2067183462532296</v>
      </c>
      <c r="I9" s="131">
        <v>0.3</v>
      </c>
      <c r="J9" s="134">
        <v>3.9667748428301599</v>
      </c>
      <c r="K9" s="136">
        <v>1.55E-2</v>
      </c>
      <c r="L9" s="143">
        <v>2.3E-3</v>
      </c>
      <c r="M9" s="147">
        <v>48</v>
      </c>
      <c r="N9" s="110">
        <v>0.71499999999999997</v>
      </c>
      <c r="O9" s="110">
        <f t="shared" ref="O9:O11" si="3">0.8*U9</f>
        <v>9.2799999999999994</v>
      </c>
      <c r="P9" s="110">
        <v>0.24</v>
      </c>
      <c r="Q9" s="110">
        <v>0.39600000000000002</v>
      </c>
      <c r="R9" s="110"/>
      <c r="S9" s="110"/>
      <c r="U9" s="110">
        <v>11.6</v>
      </c>
      <c r="V9" s="147">
        <v>54</v>
      </c>
      <c r="W9" s="49">
        <f t="shared" si="2"/>
        <v>47.839999999999996</v>
      </c>
      <c r="X9" s="49">
        <v>0.47</v>
      </c>
      <c r="Y9" s="49">
        <v>29.988</v>
      </c>
      <c r="Z9" s="49">
        <v>46.11</v>
      </c>
      <c r="AA9" s="49">
        <v>29.2315</v>
      </c>
      <c r="AB9" s="49">
        <v>30</v>
      </c>
    </row>
    <row r="10" spans="1:32" s="49" customFormat="1" x14ac:dyDescent="0.3">
      <c r="A10" s="49" t="s">
        <v>84</v>
      </c>
      <c r="B10" s="99">
        <v>269</v>
      </c>
      <c r="C10" s="100">
        <v>277</v>
      </c>
      <c r="D10" s="112">
        <f t="shared" si="0"/>
        <v>7.554057848918843</v>
      </c>
      <c r="E10" s="114">
        <f t="shared" si="1"/>
        <v>7.8403622983300307</v>
      </c>
      <c r="F10" s="116">
        <v>8</v>
      </c>
      <c r="G10" s="117">
        <v>9.1999999999999993</v>
      </c>
      <c r="H10" s="125">
        <v>0.48304880897582098</v>
      </c>
      <c r="I10" s="131">
        <v>0.45</v>
      </c>
      <c r="J10" s="134">
        <v>15.134327726877391</v>
      </c>
      <c r="K10" s="136">
        <v>2.0999999999999999E-3</v>
      </c>
      <c r="L10" s="136">
        <v>4.0000000000000002E-4</v>
      </c>
      <c r="M10" s="147">
        <v>8.1999999999999993</v>
      </c>
      <c r="N10" s="110">
        <v>0.223</v>
      </c>
      <c r="O10" s="110">
        <f t="shared" si="3"/>
        <v>9.4480000000000004</v>
      </c>
      <c r="P10" s="110">
        <v>0.16</v>
      </c>
      <c r="Q10" s="49">
        <v>9.6000000000000002E-2</v>
      </c>
      <c r="U10" s="110">
        <v>11.81</v>
      </c>
      <c r="V10" s="147">
        <v>10</v>
      </c>
      <c r="W10" s="49">
        <f t="shared" si="2"/>
        <v>8.24</v>
      </c>
      <c r="X10" s="49">
        <v>7.0000000000000007E-2</v>
      </c>
      <c r="Y10" s="49">
        <v>12.061999999999999</v>
      </c>
      <c r="Z10" s="49">
        <v>12.77</v>
      </c>
      <c r="AA10" s="49">
        <v>11.7585</v>
      </c>
      <c r="AB10" s="49">
        <v>20</v>
      </c>
    </row>
    <row r="11" spans="1:32" s="49" customFormat="1" ht="15" thickBot="1" x14ac:dyDescent="0.35">
      <c r="A11" s="49" t="s">
        <v>85</v>
      </c>
      <c r="B11" s="101">
        <v>1328</v>
      </c>
      <c r="C11" s="102">
        <v>1381</v>
      </c>
      <c r="D11" s="113">
        <f t="shared" si="0"/>
        <v>37.292895254142095</v>
      </c>
      <c r="E11" s="115">
        <f>100*C11/SUM($C$4:$C$11)</f>
        <v>39.088593263515428</v>
      </c>
      <c r="F11" s="118">
        <v>26</v>
      </c>
      <c r="G11" s="119">
        <v>26</v>
      </c>
      <c r="H11" s="125">
        <v>0.8</v>
      </c>
      <c r="I11" s="131">
        <v>0.2</v>
      </c>
      <c r="J11" s="134">
        <v>9.0292323003607482</v>
      </c>
      <c r="K11" s="136">
        <v>1.1299999999999999E-2</v>
      </c>
      <c r="L11" s="136">
        <v>1.6000000000000001E-3</v>
      </c>
      <c r="M11" s="147">
        <v>26</v>
      </c>
      <c r="N11" s="110">
        <v>4.8000000000000001E-2</v>
      </c>
      <c r="O11" s="110">
        <f t="shared" si="3"/>
        <v>9.3439999999999994</v>
      </c>
      <c r="P11" s="110">
        <v>0.08</v>
      </c>
      <c r="Q11" s="49">
        <v>3.1E-2</v>
      </c>
      <c r="U11" s="110">
        <v>11.68</v>
      </c>
      <c r="V11" s="147">
        <v>20</v>
      </c>
      <c r="W11" s="49">
        <f t="shared" si="2"/>
        <v>26</v>
      </c>
      <c r="X11" s="49">
        <v>0.3</v>
      </c>
      <c r="Y11" s="49">
        <v>38.43</v>
      </c>
      <c r="Z11" s="49">
        <v>20.399999999999999</v>
      </c>
      <c r="AA11" s="49">
        <v>37.450000000000003</v>
      </c>
      <c r="AB11" s="49">
        <v>40</v>
      </c>
    </row>
    <row r="12" spans="1:32" x14ac:dyDescent="0.3">
      <c r="A12" s="49"/>
      <c r="B12" s="49" t="s">
        <v>74</v>
      </c>
      <c r="C12" s="49"/>
      <c r="D12" s="49">
        <v>2196</v>
      </c>
      <c r="E12" s="49"/>
      <c r="F12" s="153">
        <v>0.8</v>
      </c>
      <c r="G12" s="152">
        <v>0.2</v>
      </c>
      <c r="H12" s="125">
        <v>1.52604801675541</v>
      </c>
      <c r="I12" s="49"/>
      <c r="J12" s="49"/>
      <c r="K12" s="49"/>
      <c r="L12" s="49"/>
      <c r="M12" s="49"/>
      <c r="N12" s="49"/>
      <c r="O12" s="49"/>
      <c r="P12" s="49"/>
      <c r="Q12" s="49"/>
      <c r="R12" s="49"/>
      <c r="S12" s="49"/>
      <c r="T12" s="49"/>
      <c r="U12" s="49"/>
      <c r="V12" s="49"/>
      <c r="W12" s="49"/>
      <c r="X12" s="49"/>
      <c r="Y12" s="49"/>
      <c r="Z12" s="49"/>
      <c r="AA12" s="49"/>
      <c r="AB12" s="49"/>
      <c r="AC12" s="49"/>
      <c r="AD12" s="49"/>
      <c r="AE12" s="49"/>
      <c r="AF12" s="49"/>
    </row>
    <row r="13" spans="1:32" s="49" customFormat="1" x14ac:dyDescent="0.3">
      <c r="H13" s="49">
        <f>250*0.6/D12</f>
        <v>6.8306010928961755E-2</v>
      </c>
    </row>
    <row r="14" spans="1:32" x14ac:dyDescent="0.3">
      <c r="A14" s="103" t="s">
        <v>89</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row>
    <row r="15" spans="1:32" x14ac:dyDescent="0.3">
      <c r="A15" s="49"/>
      <c r="B15" s="63" t="s">
        <v>51</v>
      </c>
      <c r="C15" s="63" t="s">
        <v>52</v>
      </c>
      <c r="D15" s="63" t="s">
        <v>53</v>
      </c>
      <c r="E15" s="63" t="s">
        <v>54</v>
      </c>
      <c r="F15" s="63" t="s">
        <v>55</v>
      </c>
      <c r="G15" s="63" t="s">
        <v>56</v>
      </c>
      <c r="H15" s="63" t="s">
        <v>57</v>
      </c>
      <c r="I15" s="63" t="s">
        <v>58</v>
      </c>
      <c r="J15" s="63" t="s">
        <v>59</v>
      </c>
      <c r="K15" s="63" t="s">
        <v>60</v>
      </c>
      <c r="L15" s="109" t="s">
        <v>61</v>
      </c>
      <c r="M15" s="63" t="s">
        <v>62</v>
      </c>
      <c r="N15" s="63" t="s">
        <v>63</v>
      </c>
      <c r="O15" s="63" t="s">
        <v>64</v>
      </c>
      <c r="P15" s="63" t="s">
        <v>65</v>
      </c>
      <c r="Q15" s="63" t="s">
        <v>66</v>
      </c>
      <c r="R15" s="63" t="s">
        <v>67</v>
      </c>
      <c r="S15" s="63" t="s">
        <v>68</v>
      </c>
      <c r="T15" s="63" t="s">
        <v>69</v>
      </c>
      <c r="U15" s="63" t="s">
        <v>70</v>
      </c>
      <c r="V15" s="63" t="s">
        <v>71</v>
      </c>
      <c r="W15" s="49"/>
      <c r="X15" s="49"/>
      <c r="Y15" s="49"/>
      <c r="Z15" s="49"/>
      <c r="AA15" s="49"/>
      <c r="AB15" s="49"/>
      <c r="AC15" s="49"/>
      <c r="AD15" s="49"/>
      <c r="AE15" s="49"/>
      <c r="AF15" s="49"/>
    </row>
    <row r="16" spans="1:32" x14ac:dyDescent="0.3">
      <c r="A16" s="63" t="s">
        <v>72</v>
      </c>
      <c r="B16" s="62">
        <v>1345.52211302211</v>
      </c>
      <c r="C16" s="62">
        <v>1699.6068796068794</v>
      </c>
      <c r="D16" s="62">
        <v>2251.9791154791151</v>
      </c>
      <c r="E16" s="62">
        <v>2931.8218673218671</v>
      </c>
      <c r="F16" s="62">
        <v>2974.3120393120389</v>
      </c>
      <c r="G16" s="62">
        <v>2761.861179361179</v>
      </c>
      <c r="H16" s="62">
        <v>2761.861179361179</v>
      </c>
      <c r="I16" s="62">
        <v>2761.861179361179</v>
      </c>
      <c r="J16" s="62">
        <v>2761.861179361179</v>
      </c>
      <c r="K16" s="62">
        <v>2549.4103194103191</v>
      </c>
      <c r="L16" s="62">
        <v>2549.4103194103191</v>
      </c>
      <c r="M16" s="62">
        <v>2549.4103194103191</v>
      </c>
      <c r="N16" s="62">
        <v>2549.4103194103191</v>
      </c>
      <c r="O16" s="62">
        <v>2336.9594594594591</v>
      </c>
      <c r="P16" s="62">
        <v>2336.9594594594591</v>
      </c>
      <c r="Q16" s="62">
        <v>2336.9594594594591</v>
      </c>
      <c r="R16" s="62">
        <v>2336.9594594594591</v>
      </c>
      <c r="S16" s="62">
        <v>2336.9594594594591</v>
      </c>
      <c r="T16" s="62">
        <v>2336.9594594594591</v>
      </c>
      <c r="U16" s="62">
        <v>2336.9594594594591</v>
      </c>
      <c r="V16" s="62">
        <v>2336.9594594594591</v>
      </c>
      <c r="W16" s="49"/>
      <c r="X16" s="49"/>
      <c r="Y16" s="49"/>
      <c r="Z16" s="49"/>
      <c r="AA16" s="49"/>
      <c r="AB16" s="49"/>
      <c r="AC16" s="49"/>
      <c r="AD16" s="49"/>
      <c r="AE16" s="49"/>
      <c r="AF16" s="49"/>
    </row>
    <row r="17" spans="1:45" x14ac:dyDescent="0.3">
      <c r="A17" s="63" t="s">
        <v>73</v>
      </c>
      <c r="B17" s="62">
        <v>1274.7051597051595</v>
      </c>
      <c r="C17" s="62">
        <v>1614.6265356265355</v>
      </c>
      <c r="D17" s="62">
        <v>2039.5282555282554</v>
      </c>
      <c r="E17" s="62">
        <v>2166.9987714987715</v>
      </c>
      <c r="F17" s="62">
        <v>2336.9594594594591</v>
      </c>
      <c r="G17" s="62">
        <v>2124.5085995085992</v>
      </c>
      <c r="H17" s="62">
        <v>2124.5085995085992</v>
      </c>
      <c r="I17" s="62">
        <v>2124.5085995085992</v>
      </c>
      <c r="J17" s="62">
        <v>2124.5085995085992</v>
      </c>
      <c r="K17" s="62">
        <v>2124.5085995085992</v>
      </c>
      <c r="L17" s="62">
        <v>1912.0577395577393</v>
      </c>
      <c r="M17" s="62">
        <v>1912.0577395577393</v>
      </c>
      <c r="N17" s="62">
        <v>1912.0577395577393</v>
      </c>
      <c r="O17" s="62">
        <v>1912.0577395577393</v>
      </c>
      <c r="P17" s="62">
        <v>1912.0577395577393</v>
      </c>
      <c r="Q17" s="62">
        <v>1912.0577395577393</v>
      </c>
      <c r="R17" s="62">
        <v>1912.0577395577393</v>
      </c>
      <c r="S17" s="62">
        <v>1912.0577395577393</v>
      </c>
      <c r="T17" s="62">
        <v>1912.0577395577393</v>
      </c>
      <c r="U17" s="62">
        <v>1912.0577395577393</v>
      </c>
      <c r="V17" s="62">
        <v>1912.0577395577393</v>
      </c>
      <c r="W17" s="49"/>
      <c r="X17" s="49"/>
      <c r="Y17" s="49"/>
      <c r="Z17" s="49"/>
      <c r="AA17" s="49"/>
      <c r="AB17" s="49"/>
      <c r="AC17" s="49"/>
      <c r="AD17" s="49"/>
      <c r="AE17" s="49"/>
      <c r="AF17" s="49"/>
    </row>
    <row r="18" spans="1:45" x14ac:dyDescent="0.3">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row>
    <row r="19" spans="1:45" x14ac:dyDescent="0.3">
      <c r="A19" s="103" t="s">
        <v>75</v>
      </c>
      <c r="B19" s="49"/>
      <c r="C19" s="49"/>
      <c r="D19" s="49" t="s">
        <v>76</v>
      </c>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row>
    <row r="20" spans="1:45" x14ac:dyDescent="0.3">
      <c r="A20" s="103" t="s">
        <v>90</v>
      </c>
      <c r="B20" s="49"/>
      <c r="C20" s="49"/>
      <c r="D20" s="49"/>
      <c r="E20" s="49"/>
      <c r="F20" s="49"/>
      <c r="G20" s="49"/>
      <c r="H20" s="49"/>
      <c r="I20" s="49"/>
      <c r="J20" s="49"/>
      <c r="K20" s="49"/>
      <c r="L20" s="49"/>
      <c r="M20" s="49"/>
      <c r="N20" s="49"/>
      <c r="O20" s="49"/>
      <c r="P20" s="49"/>
      <c r="Q20" s="49"/>
      <c r="R20" s="49"/>
      <c r="S20" s="49"/>
      <c r="T20" s="49"/>
      <c r="U20" s="49"/>
      <c r="V20" s="49"/>
      <c r="W20" s="49"/>
      <c r="X20" s="103" t="s">
        <v>185</v>
      </c>
      <c r="Y20" s="49"/>
      <c r="Z20" s="49"/>
      <c r="AA20" s="49"/>
      <c r="AB20" s="49"/>
      <c r="AC20" s="49"/>
      <c r="AD20" s="49"/>
      <c r="AE20" s="49"/>
      <c r="AF20" s="49"/>
    </row>
    <row r="21" spans="1:45" x14ac:dyDescent="0.3">
      <c r="A21" s="104" t="s">
        <v>82</v>
      </c>
      <c r="B21" s="105" t="s">
        <v>51</v>
      </c>
      <c r="C21" s="105" t="s">
        <v>52</v>
      </c>
      <c r="D21" s="106" t="s">
        <v>53</v>
      </c>
      <c r="E21" s="106" t="s">
        <v>54</v>
      </c>
      <c r="F21" s="106" t="s">
        <v>55</v>
      </c>
      <c r="G21" s="106" t="s">
        <v>56</v>
      </c>
      <c r="H21" s="106" t="s">
        <v>57</v>
      </c>
      <c r="I21" s="106" t="s">
        <v>58</v>
      </c>
      <c r="J21" s="106" t="s">
        <v>59</v>
      </c>
      <c r="K21" s="106" t="s">
        <v>60</v>
      </c>
      <c r="L21" s="106" t="s">
        <v>61</v>
      </c>
      <c r="M21" s="106" t="s">
        <v>62</v>
      </c>
      <c r="N21" s="106" t="s">
        <v>63</v>
      </c>
      <c r="O21" s="106" t="s">
        <v>64</v>
      </c>
      <c r="P21" s="106" t="s">
        <v>65</v>
      </c>
      <c r="Q21" s="106" t="s">
        <v>66</v>
      </c>
      <c r="R21" s="106" t="s">
        <v>67</v>
      </c>
      <c r="S21" s="106" t="s">
        <v>68</v>
      </c>
      <c r="T21" s="106" t="s">
        <v>69</v>
      </c>
      <c r="U21" s="106" t="s">
        <v>70</v>
      </c>
      <c r="V21" s="106" t="s">
        <v>71</v>
      </c>
      <c r="W21" s="49"/>
      <c r="X21" s="104" t="s">
        <v>82</v>
      </c>
      <c r="Y21" s="105" t="s">
        <v>51</v>
      </c>
      <c r="Z21" s="105" t="s">
        <v>52</v>
      </c>
      <c r="AA21" s="106" t="s">
        <v>53</v>
      </c>
      <c r="AB21" s="106" t="s">
        <v>54</v>
      </c>
      <c r="AC21" s="106" t="s">
        <v>55</v>
      </c>
      <c r="AD21" s="106" t="s">
        <v>56</v>
      </c>
      <c r="AE21" s="106" t="s">
        <v>57</v>
      </c>
      <c r="AF21" s="106" t="s">
        <v>58</v>
      </c>
      <c r="AG21" s="106" t="s">
        <v>59</v>
      </c>
      <c r="AH21" s="106" t="s">
        <v>60</v>
      </c>
      <c r="AI21" s="106" t="s">
        <v>61</v>
      </c>
      <c r="AJ21" s="106" t="s">
        <v>62</v>
      </c>
      <c r="AK21" s="106" t="s">
        <v>63</v>
      </c>
      <c r="AL21" s="106" t="s">
        <v>64</v>
      </c>
      <c r="AM21" s="106" t="s">
        <v>65</v>
      </c>
      <c r="AN21" s="106" t="s">
        <v>66</v>
      </c>
      <c r="AO21" s="106" t="s">
        <v>67</v>
      </c>
      <c r="AP21" s="106" t="s">
        <v>68</v>
      </c>
      <c r="AQ21" s="106" t="s">
        <v>69</v>
      </c>
      <c r="AR21" s="106" t="s">
        <v>70</v>
      </c>
      <c r="AS21" s="106" t="s">
        <v>71</v>
      </c>
    </row>
    <row r="22" spans="1:45" x14ac:dyDescent="0.3">
      <c r="A22" s="105" t="s">
        <v>77</v>
      </c>
      <c r="B22" s="107">
        <f>$F$4*B16/(100*$D$12)</f>
        <v>1.4092444717444684E-2</v>
      </c>
      <c r="C22" s="107">
        <f t="shared" ref="C22:V22" si="4">$F$4*C16/(100*$D$12)</f>
        <v>1.7800982800982797E-2</v>
      </c>
      <c r="D22" s="107">
        <f t="shared" si="4"/>
        <v>2.3586302211302205E-2</v>
      </c>
      <c r="E22" s="107">
        <f t="shared" si="4"/>
        <v>3.0706695331695327E-2</v>
      </c>
      <c r="F22" s="107">
        <f t="shared" si="4"/>
        <v>3.1151719901719898E-2</v>
      </c>
      <c r="G22" s="107">
        <f t="shared" si="4"/>
        <v>2.8926597051597044E-2</v>
      </c>
      <c r="H22" s="107">
        <f t="shared" si="4"/>
        <v>2.8926597051597044E-2</v>
      </c>
      <c r="I22" s="107">
        <f t="shared" si="4"/>
        <v>2.8926597051597044E-2</v>
      </c>
      <c r="J22" s="107">
        <f t="shared" si="4"/>
        <v>2.8926597051597044E-2</v>
      </c>
      <c r="K22" s="107">
        <f t="shared" si="4"/>
        <v>2.6701474201474194E-2</v>
      </c>
      <c r="L22" s="107">
        <f t="shared" si="4"/>
        <v>2.6701474201474194E-2</v>
      </c>
      <c r="M22" s="107">
        <f t="shared" si="4"/>
        <v>2.6701474201474194E-2</v>
      </c>
      <c r="N22" s="107">
        <f t="shared" si="4"/>
        <v>2.6701474201474194E-2</v>
      </c>
      <c r="O22" s="107">
        <f t="shared" si="4"/>
        <v>2.4476351351351348E-2</v>
      </c>
      <c r="P22" s="107">
        <f t="shared" si="4"/>
        <v>2.4476351351351348E-2</v>
      </c>
      <c r="Q22" s="107">
        <f t="shared" si="4"/>
        <v>2.4476351351351348E-2</v>
      </c>
      <c r="R22" s="107">
        <f t="shared" si="4"/>
        <v>2.4476351351351348E-2</v>
      </c>
      <c r="S22" s="107">
        <f t="shared" si="4"/>
        <v>2.4476351351351348E-2</v>
      </c>
      <c r="T22" s="107">
        <f t="shared" si="4"/>
        <v>2.4476351351351348E-2</v>
      </c>
      <c r="U22" s="107">
        <f t="shared" si="4"/>
        <v>2.4476351351351348E-2</v>
      </c>
      <c r="V22" s="107">
        <f t="shared" si="4"/>
        <v>2.4476351351351348E-2</v>
      </c>
      <c r="W22" s="49"/>
      <c r="X22" s="105" t="s">
        <v>77</v>
      </c>
      <c r="Y22" s="107">
        <f>$Y$4*B16/(100*$D$12)</f>
        <v>2.7572174447174388E-3</v>
      </c>
      <c r="Z22" s="107">
        <f t="shared" ref="Z22:AS22" si="5">$Y$4*C16/(100*$D$12)</f>
        <v>3.4828009828009824E-3</v>
      </c>
      <c r="AA22" s="107">
        <f t="shared" si="5"/>
        <v>4.6147113022113016E-3</v>
      </c>
      <c r="AB22" s="107">
        <f t="shared" si="5"/>
        <v>6.0078316953316958E-3</v>
      </c>
      <c r="AC22" s="107">
        <f t="shared" si="5"/>
        <v>6.0949017199017188E-3</v>
      </c>
      <c r="AD22" s="107">
        <f t="shared" si="5"/>
        <v>5.659551597051597E-3</v>
      </c>
      <c r="AE22" s="107">
        <f t="shared" si="5"/>
        <v>5.659551597051597E-3</v>
      </c>
      <c r="AF22" s="107">
        <f t="shared" si="5"/>
        <v>5.659551597051597E-3</v>
      </c>
      <c r="AG22" s="107">
        <f t="shared" si="5"/>
        <v>5.659551597051597E-3</v>
      </c>
      <c r="AH22" s="107">
        <f t="shared" si="5"/>
        <v>5.2242014742014736E-3</v>
      </c>
      <c r="AI22" s="107">
        <f t="shared" si="5"/>
        <v>5.2242014742014736E-3</v>
      </c>
      <c r="AJ22" s="107">
        <f t="shared" si="5"/>
        <v>5.2242014742014736E-3</v>
      </c>
      <c r="AK22" s="107">
        <f t="shared" si="5"/>
        <v>5.2242014742014736E-3</v>
      </c>
      <c r="AL22" s="107">
        <f t="shared" si="5"/>
        <v>4.788851351351351E-3</v>
      </c>
      <c r="AM22" s="107">
        <f t="shared" si="5"/>
        <v>4.788851351351351E-3</v>
      </c>
      <c r="AN22" s="107">
        <f t="shared" si="5"/>
        <v>4.788851351351351E-3</v>
      </c>
      <c r="AO22" s="107">
        <f t="shared" si="5"/>
        <v>4.788851351351351E-3</v>
      </c>
      <c r="AP22" s="107">
        <f t="shared" si="5"/>
        <v>4.788851351351351E-3</v>
      </c>
      <c r="AQ22" s="107">
        <f t="shared" si="5"/>
        <v>4.788851351351351E-3</v>
      </c>
      <c r="AR22" s="107">
        <f t="shared" si="5"/>
        <v>4.788851351351351E-3</v>
      </c>
      <c r="AS22" s="107">
        <f t="shared" si="5"/>
        <v>4.788851351351351E-3</v>
      </c>
    </row>
    <row r="23" spans="1:45" x14ac:dyDescent="0.3">
      <c r="A23" s="105" t="s">
        <v>78</v>
      </c>
      <c r="B23" s="107">
        <f>$F$4*B17/(100*$D$12)</f>
        <v>1.3350737100737097E-2</v>
      </c>
      <c r="C23" s="107">
        <f>$F$4*C17/(100*$D$12)</f>
        <v>1.6910933660933658E-2</v>
      </c>
      <c r="D23" s="107">
        <f t="shared" ref="D23:V23" si="6">$F$4*D17/(100*$D$12)</f>
        <v>2.1361179361179355E-2</v>
      </c>
      <c r="E23" s="107">
        <f t="shared" si="6"/>
        <v>2.2696253071253072E-2</v>
      </c>
      <c r="F23" s="107">
        <f t="shared" si="6"/>
        <v>2.4476351351351348E-2</v>
      </c>
      <c r="G23" s="107">
        <f t="shared" si="6"/>
        <v>2.2251228501228498E-2</v>
      </c>
      <c r="H23" s="107">
        <f t="shared" si="6"/>
        <v>2.2251228501228498E-2</v>
      </c>
      <c r="I23" s="107">
        <f t="shared" si="6"/>
        <v>2.2251228501228498E-2</v>
      </c>
      <c r="J23" s="107">
        <f t="shared" si="6"/>
        <v>2.2251228501228498E-2</v>
      </c>
      <c r="K23" s="107">
        <f t="shared" si="6"/>
        <v>2.2251228501228498E-2</v>
      </c>
      <c r="L23" s="107">
        <f t="shared" si="6"/>
        <v>2.0026105651105644E-2</v>
      </c>
      <c r="M23" s="107">
        <f t="shared" si="6"/>
        <v>2.0026105651105644E-2</v>
      </c>
      <c r="N23" s="107">
        <f t="shared" si="6"/>
        <v>2.0026105651105644E-2</v>
      </c>
      <c r="O23" s="107">
        <f t="shared" si="6"/>
        <v>2.0026105651105644E-2</v>
      </c>
      <c r="P23" s="107">
        <f t="shared" si="6"/>
        <v>2.0026105651105644E-2</v>
      </c>
      <c r="Q23" s="107">
        <f t="shared" si="6"/>
        <v>2.0026105651105644E-2</v>
      </c>
      <c r="R23" s="107">
        <f t="shared" si="6"/>
        <v>2.0026105651105644E-2</v>
      </c>
      <c r="S23" s="107">
        <f t="shared" si="6"/>
        <v>2.0026105651105644E-2</v>
      </c>
      <c r="T23" s="107">
        <f t="shared" si="6"/>
        <v>2.0026105651105644E-2</v>
      </c>
      <c r="U23" s="107">
        <f t="shared" si="6"/>
        <v>2.0026105651105644E-2</v>
      </c>
      <c r="V23" s="107">
        <f t="shared" si="6"/>
        <v>2.0026105651105644E-2</v>
      </c>
      <c r="W23" s="49"/>
      <c r="X23" s="105" t="s">
        <v>78</v>
      </c>
      <c r="Y23" s="107">
        <f>$Y$4*B17/(100*$D$12)</f>
        <v>2.6121007371007368E-3</v>
      </c>
      <c r="Z23" s="107">
        <f t="shared" ref="Z23" si="7">$Y$4*C17/(100*$D$12)</f>
        <v>3.3086609336609334E-3</v>
      </c>
      <c r="AA23" s="107">
        <f t="shared" ref="AA23" si="8">$Y$4*D17/(100*$D$12)</f>
        <v>4.179361179361179E-3</v>
      </c>
      <c r="AB23" s="107">
        <f t="shared" ref="AB23" si="9">$Y$4*E17/(100*$D$12)</f>
        <v>4.4405712530712531E-3</v>
      </c>
      <c r="AC23" s="107">
        <f t="shared" ref="AC23" si="10">$Y$4*F17/(100*$D$12)</f>
        <v>4.788851351351351E-3</v>
      </c>
      <c r="AD23" s="107">
        <f t="shared" ref="AD23" si="11">$Y$4*G17/(100*$D$12)</f>
        <v>4.3535012285012276E-3</v>
      </c>
      <c r="AE23" s="107">
        <f t="shared" ref="AE23" si="12">$Y$4*H17/(100*$D$12)</f>
        <v>4.3535012285012276E-3</v>
      </c>
      <c r="AF23" s="107">
        <f t="shared" ref="AF23" si="13">$Y$4*I17/(100*$D$12)</f>
        <v>4.3535012285012276E-3</v>
      </c>
      <c r="AG23" s="107">
        <f t="shared" ref="AG23" si="14">$Y$4*J17/(100*$D$12)</f>
        <v>4.3535012285012276E-3</v>
      </c>
      <c r="AH23" s="107">
        <f t="shared" ref="AH23" si="15">$Y$4*K17/(100*$D$12)</f>
        <v>4.3535012285012276E-3</v>
      </c>
      <c r="AI23" s="107">
        <f t="shared" ref="AI23" si="16">$Y$4*L17/(100*$D$12)</f>
        <v>3.9181511056511058E-3</v>
      </c>
      <c r="AJ23" s="107">
        <f t="shared" ref="AJ23" si="17">$Y$4*M17/(100*$D$12)</f>
        <v>3.9181511056511058E-3</v>
      </c>
      <c r="AK23" s="107">
        <f t="shared" ref="AK23" si="18">$Y$4*N17/(100*$D$12)</f>
        <v>3.9181511056511058E-3</v>
      </c>
      <c r="AL23" s="107">
        <f t="shared" ref="AL23" si="19">$Y$4*O17/(100*$D$12)</f>
        <v>3.9181511056511058E-3</v>
      </c>
      <c r="AM23" s="107">
        <f t="shared" ref="AM23" si="20">$Y$4*P17/(100*$D$12)</f>
        <v>3.9181511056511058E-3</v>
      </c>
      <c r="AN23" s="107">
        <f t="shared" ref="AN23" si="21">$Y$4*Q17/(100*$D$12)</f>
        <v>3.9181511056511058E-3</v>
      </c>
      <c r="AO23" s="107">
        <f t="shared" ref="AO23" si="22">$Y$4*R17/(100*$D$12)</f>
        <v>3.9181511056511058E-3</v>
      </c>
      <c r="AP23" s="107">
        <f t="shared" ref="AP23" si="23">$Y$4*S17/(100*$D$12)</f>
        <v>3.9181511056511058E-3</v>
      </c>
      <c r="AQ23" s="107">
        <f t="shared" ref="AQ23" si="24">$Y$4*T17/(100*$D$12)</f>
        <v>3.9181511056511058E-3</v>
      </c>
      <c r="AR23" s="107">
        <f t="shared" ref="AR23" si="25">$Y$4*U17/(100*$D$12)</f>
        <v>3.9181511056511058E-3</v>
      </c>
      <c r="AS23" s="107">
        <f t="shared" ref="AS23" si="26">$Y$4*V17/(100*$D$12)</f>
        <v>3.9181511056511058E-3</v>
      </c>
    </row>
    <row r="24" spans="1:45" x14ac:dyDescent="0.3">
      <c r="A24" s="104" t="s">
        <v>83</v>
      </c>
      <c r="B24" s="49"/>
      <c r="C24" s="49"/>
      <c r="D24" s="49"/>
      <c r="E24" s="49"/>
      <c r="F24" s="49"/>
      <c r="G24" s="49"/>
      <c r="H24" s="49"/>
      <c r="I24" s="49"/>
      <c r="J24" s="49"/>
      <c r="K24" s="49"/>
      <c r="L24" s="49"/>
      <c r="M24" s="49"/>
      <c r="N24" s="49"/>
      <c r="O24" s="49"/>
      <c r="P24" s="49"/>
      <c r="Q24" s="49"/>
      <c r="R24" s="49"/>
      <c r="S24" s="49"/>
      <c r="T24" s="49"/>
      <c r="U24" s="49"/>
      <c r="V24" s="49"/>
      <c r="W24" s="49"/>
      <c r="X24" s="104" t="s">
        <v>83</v>
      </c>
      <c r="Y24" s="49"/>
      <c r="Z24" s="49"/>
      <c r="AA24" s="49"/>
      <c r="AB24" s="49"/>
      <c r="AC24" s="49"/>
      <c r="AD24" s="49"/>
      <c r="AE24" s="49"/>
      <c r="AF24" s="49"/>
      <c r="AG24" s="49"/>
      <c r="AH24" s="49"/>
      <c r="AI24" s="49"/>
      <c r="AJ24" s="49"/>
      <c r="AK24" s="49"/>
      <c r="AL24" s="49"/>
      <c r="AM24" s="49"/>
      <c r="AN24" s="49"/>
      <c r="AO24" s="49"/>
      <c r="AP24" s="49"/>
      <c r="AQ24" s="49"/>
      <c r="AR24" s="49"/>
      <c r="AS24" s="49"/>
    </row>
    <row r="25" spans="1:45" x14ac:dyDescent="0.3">
      <c r="A25" s="105" t="s">
        <v>77</v>
      </c>
      <c r="B25" s="107">
        <f>$F$5*B16/(100*$D$12)</f>
        <v>4.4115479115479021E-2</v>
      </c>
      <c r="C25" s="107">
        <f t="shared" ref="C25:V26" si="27">$F$5*C16/(100*$D$12)</f>
        <v>5.5724815724815718E-2</v>
      </c>
      <c r="D25" s="107">
        <f t="shared" si="27"/>
        <v>7.3835380835380826E-2</v>
      </c>
      <c r="E25" s="107">
        <f t="shared" si="27"/>
        <v>9.6125307125307133E-2</v>
      </c>
      <c r="F25" s="107">
        <f t="shared" si="27"/>
        <v>9.75184275184275E-2</v>
      </c>
      <c r="G25" s="107">
        <f t="shared" si="27"/>
        <v>9.0552825552825553E-2</v>
      </c>
      <c r="H25" s="107">
        <f t="shared" si="27"/>
        <v>9.0552825552825553E-2</v>
      </c>
      <c r="I25" s="107">
        <f t="shared" si="27"/>
        <v>9.0552825552825553E-2</v>
      </c>
      <c r="J25" s="107">
        <f t="shared" si="27"/>
        <v>9.0552825552825553E-2</v>
      </c>
      <c r="K25" s="107">
        <f t="shared" si="27"/>
        <v>8.3587223587223577E-2</v>
      </c>
      <c r="L25" s="107">
        <f t="shared" si="27"/>
        <v>8.3587223587223577E-2</v>
      </c>
      <c r="M25" s="107">
        <f t="shared" si="27"/>
        <v>8.3587223587223577E-2</v>
      </c>
      <c r="N25" s="107">
        <f t="shared" si="27"/>
        <v>8.3587223587223577E-2</v>
      </c>
      <c r="O25" s="107">
        <f t="shared" si="27"/>
        <v>7.6621621621621616E-2</v>
      </c>
      <c r="P25" s="107">
        <f t="shared" si="27"/>
        <v>7.6621621621621616E-2</v>
      </c>
      <c r="Q25" s="107">
        <f t="shared" si="27"/>
        <v>7.6621621621621616E-2</v>
      </c>
      <c r="R25" s="107">
        <f t="shared" si="27"/>
        <v>7.6621621621621616E-2</v>
      </c>
      <c r="S25" s="107">
        <f t="shared" si="27"/>
        <v>7.6621621621621616E-2</v>
      </c>
      <c r="T25" s="107">
        <f t="shared" si="27"/>
        <v>7.6621621621621616E-2</v>
      </c>
      <c r="U25" s="107">
        <f t="shared" si="27"/>
        <v>7.6621621621621616E-2</v>
      </c>
      <c r="V25" s="107">
        <f t="shared" si="27"/>
        <v>7.6621621621621616E-2</v>
      </c>
      <c r="W25" s="49"/>
      <c r="X25" s="105" t="s">
        <v>77</v>
      </c>
      <c r="Y25" s="107">
        <f>$Y$5*B16/(100*$D$12)</f>
        <v>1.5440417690417657E-2</v>
      </c>
      <c r="Z25" s="107">
        <f t="shared" ref="Z25:AS25" si="28">$Y$5*C16/(100*$D$12)</f>
        <v>1.9503685503685503E-2</v>
      </c>
      <c r="AA25" s="107">
        <f t="shared" si="28"/>
        <v>2.5842383292383288E-2</v>
      </c>
      <c r="AB25" s="107">
        <f t="shared" si="28"/>
        <v>3.3643857493857496E-2</v>
      </c>
      <c r="AC25" s="107">
        <f t="shared" si="28"/>
        <v>3.413144963144963E-2</v>
      </c>
      <c r="AD25" s="107">
        <f t="shared" si="28"/>
        <v>3.1693488943488939E-2</v>
      </c>
      <c r="AE25" s="107">
        <f t="shared" si="28"/>
        <v>3.1693488943488939E-2</v>
      </c>
      <c r="AF25" s="107">
        <f t="shared" si="28"/>
        <v>3.1693488943488939E-2</v>
      </c>
      <c r="AG25" s="107">
        <f t="shared" si="28"/>
        <v>3.1693488943488939E-2</v>
      </c>
      <c r="AH25" s="107">
        <f t="shared" si="28"/>
        <v>2.9255528255528251E-2</v>
      </c>
      <c r="AI25" s="107">
        <f t="shared" si="28"/>
        <v>2.9255528255528251E-2</v>
      </c>
      <c r="AJ25" s="107">
        <f t="shared" si="28"/>
        <v>2.9255528255528251E-2</v>
      </c>
      <c r="AK25" s="107">
        <f t="shared" si="28"/>
        <v>2.9255528255528251E-2</v>
      </c>
      <c r="AL25" s="107">
        <f t="shared" si="28"/>
        <v>2.6817567567567563E-2</v>
      </c>
      <c r="AM25" s="107">
        <f t="shared" si="28"/>
        <v>2.6817567567567563E-2</v>
      </c>
      <c r="AN25" s="107">
        <f t="shared" si="28"/>
        <v>2.6817567567567563E-2</v>
      </c>
      <c r="AO25" s="107">
        <f t="shared" si="28"/>
        <v>2.6817567567567563E-2</v>
      </c>
      <c r="AP25" s="107">
        <f t="shared" si="28"/>
        <v>2.6817567567567563E-2</v>
      </c>
      <c r="AQ25" s="107">
        <f t="shared" si="28"/>
        <v>2.6817567567567563E-2</v>
      </c>
      <c r="AR25" s="107">
        <f t="shared" si="28"/>
        <v>2.6817567567567563E-2</v>
      </c>
      <c r="AS25" s="107">
        <f t="shared" si="28"/>
        <v>2.6817567567567563E-2</v>
      </c>
    </row>
    <row r="26" spans="1:45" x14ac:dyDescent="0.3">
      <c r="A26" s="105" t="s">
        <v>78</v>
      </c>
      <c r="B26" s="107">
        <f>$F$5*B17/(100*$D$12)</f>
        <v>4.1793611793611789E-2</v>
      </c>
      <c r="C26" s="107">
        <f t="shared" si="27"/>
        <v>5.2938574938574935E-2</v>
      </c>
      <c r="D26" s="107">
        <f t="shared" si="27"/>
        <v>6.6869778869778865E-2</v>
      </c>
      <c r="E26" s="107">
        <f t="shared" si="27"/>
        <v>7.104914004914005E-2</v>
      </c>
      <c r="F26" s="107">
        <f t="shared" si="27"/>
        <v>7.6621621621621616E-2</v>
      </c>
      <c r="G26" s="107">
        <f t="shared" si="27"/>
        <v>6.9656019656019641E-2</v>
      </c>
      <c r="H26" s="107">
        <f t="shared" si="27"/>
        <v>6.9656019656019641E-2</v>
      </c>
      <c r="I26" s="107">
        <f t="shared" si="27"/>
        <v>6.9656019656019641E-2</v>
      </c>
      <c r="J26" s="107">
        <f t="shared" si="27"/>
        <v>6.9656019656019641E-2</v>
      </c>
      <c r="K26" s="107">
        <f t="shared" si="27"/>
        <v>6.9656019656019641E-2</v>
      </c>
      <c r="L26" s="107">
        <f t="shared" si="27"/>
        <v>6.2690417690417694E-2</v>
      </c>
      <c r="M26" s="107">
        <f t="shared" si="27"/>
        <v>6.2690417690417694E-2</v>
      </c>
      <c r="N26" s="107">
        <f t="shared" si="27"/>
        <v>6.2690417690417694E-2</v>
      </c>
      <c r="O26" s="107">
        <f t="shared" si="27"/>
        <v>6.2690417690417694E-2</v>
      </c>
      <c r="P26" s="107">
        <f t="shared" si="27"/>
        <v>6.2690417690417694E-2</v>
      </c>
      <c r="Q26" s="107">
        <f t="shared" si="27"/>
        <v>6.2690417690417694E-2</v>
      </c>
      <c r="R26" s="107">
        <f t="shared" si="27"/>
        <v>6.2690417690417694E-2</v>
      </c>
      <c r="S26" s="107">
        <f t="shared" si="27"/>
        <v>6.2690417690417694E-2</v>
      </c>
      <c r="T26" s="107">
        <f t="shared" si="27"/>
        <v>6.2690417690417694E-2</v>
      </c>
      <c r="U26" s="107">
        <f t="shared" si="27"/>
        <v>6.2690417690417694E-2</v>
      </c>
      <c r="V26" s="107">
        <f t="shared" si="27"/>
        <v>6.2690417690417694E-2</v>
      </c>
      <c r="W26" s="49"/>
      <c r="X26" s="105" t="s">
        <v>78</v>
      </c>
      <c r="Y26" s="107">
        <f>$Y$5*B17/(100*$D$12)</f>
        <v>1.4627764127764125E-2</v>
      </c>
      <c r="Z26" s="107">
        <f t="shared" ref="Z26" si="29">$Y$5*C17/(100*$D$12)</f>
        <v>1.8528501228501228E-2</v>
      </c>
      <c r="AA26" s="107">
        <f t="shared" ref="AA26" si="30">$Y$5*D17/(100*$D$12)</f>
        <v>2.3404422604422603E-2</v>
      </c>
      <c r="AB26" s="107">
        <f t="shared" ref="AB26" si="31">$Y$5*E17/(100*$D$12)</f>
        <v>2.4867199017199016E-2</v>
      </c>
      <c r="AC26" s="107">
        <f t="shared" ref="AC26" si="32">$Y$5*F17/(100*$D$12)</f>
        <v>2.6817567567567563E-2</v>
      </c>
      <c r="AD26" s="107">
        <f t="shared" ref="AD26" si="33">$Y$5*G17/(100*$D$12)</f>
        <v>2.4379606879606875E-2</v>
      </c>
      <c r="AE26" s="107">
        <f t="shared" ref="AE26" si="34">$Y$5*H17/(100*$D$12)</f>
        <v>2.4379606879606875E-2</v>
      </c>
      <c r="AF26" s="107">
        <f t="shared" ref="AF26" si="35">$Y$5*I17/(100*$D$12)</f>
        <v>2.4379606879606875E-2</v>
      </c>
      <c r="AG26" s="107">
        <f t="shared" ref="AG26" si="36">$Y$5*J17/(100*$D$12)</f>
        <v>2.4379606879606875E-2</v>
      </c>
      <c r="AH26" s="107">
        <f t="shared" ref="AH26" si="37">$Y$5*K17/(100*$D$12)</f>
        <v>2.4379606879606875E-2</v>
      </c>
      <c r="AI26" s="107">
        <f t="shared" ref="AI26" si="38">$Y$5*L17/(100*$D$12)</f>
        <v>2.1941646191646187E-2</v>
      </c>
      <c r="AJ26" s="107">
        <f t="shared" ref="AJ26" si="39">$Y$5*M17/(100*$D$12)</f>
        <v>2.1941646191646187E-2</v>
      </c>
      <c r="AK26" s="107">
        <f t="shared" ref="AK26" si="40">$Y$5*N17/(100*$D$12)</f>
        <v>2.1941646191646187E-2</v>
      </c>
      <c r="AL26" s="107">
        <f t="shared" ref="AL26" si="41">$Y$5*O17/(100*$D$12)</f>
        <v>2.1941646191646187E-2</v>
      </c>
      <c r="AM26" s="107">
        <f t="shared" ref="AM26" si="42">$Y$5*P17/(100*$D$12)</f>
        <v>2.1941646191646187E-2</v>
      </c>
      <c r="AN26" s="107">
        <f t="shared" ref="AN26" si="43">$Y$5*Q17/(100*$D$12)</f>
        <v>2.1941646191646187E-2</v>
      </c>
      <c r="AO26" s="107">
        <f t="shared" ref="AO26" si="44">$Y$5*R17/(100*$D$12)</f>
        <v>2.1941646191646187E-2</v>
      </c>
      <c r="AP26" s="107">
        <f t="shared" ref="AP26" si="45">$Y$5*S17/(100*$D$12)</f>
        <v>2.1941646191646187E-2</v>
      </c>
      <c r="AQ26" s="107">
        <f t="shared" ref="AQ26" si="46">$Y$5*T17/(100*$D$12)</f>
        <v>2.1941646191646187E-2</v>
      </c>
      <c r="AR26" s="107">
        <f t="shared" ref="AR26" si="47">$Y$5*U17/(100*$D$12)</f>
        <v>2.1941646191646187E-2</v>
      </c>
      <c r="AS26" s="107">
        <f t="shared" ref="AS26" si="48">$Y$5*V17/(100*$D$12)</f>
        <v>2.1941646191646187E-2</v>
      </c>
    </row>
    <row r="27" spans="1:45" x14ac:dyDescent="0.3">
      <c r="A27" s="104" t="s">
        <v>6</v>
      </c>
      <c r="B27" s="49"/>
      <c r="C27" s="49"/>
      <c r="D27" s="49"/>
      <c r="E27" s="49"/>
      <c r="F27" s="49"/>
      <c r="G27" s="49"/>
      <c r="H27" s="49"/>
      <c r="I27" s="49"/>
      <c r="J27" s="49"/>
      <c r="K27" s="49"/>
      <c r="L27" s="49"/>
      <c r="M27" s="49"/>
      <c r="N27" s="49"/>
      <c r="O27" s="49"/>
      <c r="P27" s="49"/>
      <c r="Q27" s="49"/>
      <c r="R27" s="49"/>
      <c r="S27" s="49"/>
      <c r="T27" s="49"/>
      <c r="U27" s="49"/>
      <c r="V27" s="49"/>
      <c r="W27" s="49"/>
      <c r="X27" s="104" t="s">
        <v>6</v>
      </c>
      <c r="Y27" s="49"/>
      <c r="Z27" s="49"/>
      <c r="AA27" s="49"/>
      <c r="AB27" s="49"/>
      <c r="AC27" s="49"/>
      <c r="AD27" s="49"/>
      <c r="AE27" s="49"/>
      <c r="AF27" s="49"/>
      <c r="AG27" s="49"/>
      <c r="AH27" s="49"/>
      <c r="AI27" s="49"/>
      <c r="AJ27" s="49"/>
      <c r="AK27" s="49"/>
      <c r="AL27" s="49"/>
      <c r="AM27" s="49"/>
      <c r="AN27" s="49"/>
      <c r="AO27" s="49"/>
      <c r="AP27" s="49"/>
      <c r="AQ27" s="49"/>
      <c r="AR27" s="49"/>
      <c r="AS27" s="49"/>
    </row>
    <row r="28" spans="1:45" x14ac:dyDescent="0.3">
      <c r="A28" s="105" t="s">
        <v>77</v>
      </c>
      <c r="B28" s="107">
        <f>$F$6*B16/(100*$D$12)</f>
        <v>4.1051904176904089E-2</v>
      </c>
      <c r="C28" s="107">
        <f t="shared" ref="C28:V29" si="49">$F$6*C16/(100*$D$12)</f>
        <v>5.1855036855036847E-2</v>
      </c>
      <c r="D28" s="107">
        <f t="shared" si="49"/>
        <v>6.8707923832923817E-2</v>
      </c>
      <c r="E28" s="107">
        <f t="shared" si="49"/>
        <v>8.9449938574938562E-2</v>
      </c>
      <c r="F28" s="107">
        <f t="shared" si="49"/>
        <v>9.0746314496314498E-2</v>
      </c>
      <c r="G28" s="107">
        <f t="shared" si="49"/>
        <v>8.4264434889434872E-2</v>
      </c>
      <c r="H28" s="107">
        <f t="shared" si="49"/>
        <v>8.4264434889434872E-2</v>
      </c>
      <c r="I28" s="107">
        <f t="shared" si="49"/>
        <v>8.4264434889434872E-2</v>
      </c>
      <c r="J28" s="107">
        <f t="shared" si="49"/>
        <v>8.4264434889434872E-2</v>
      </c>
      <c r="K28" s="107">
        <f t="shared" si="49"/>
        <v>7.7782555282555274E-2</v>
      </c>
      <c r="L28" s="107">
        <f t="shared" si="49"/>
        <v>7.7782555282555274E-2</v>
      </c>
      <c r="M28" s="107">
        <f t="shared" si="49"/>
        <v>7.7782555282555274E-2</v>
      </c>
      <c r="N28" s="107">
        <f t="shared" si="49"/>
        <v>7.7782555282555274E-2</v>
      </c>
      <c r="O28" s="107">
        <f t="shared" si="49"/>
        <v>7.1300675675675662E-2</v>
      </c>
      <c r="P28" s="107">
        <f t="shared" si="49"/>
        <v>7.1300675675675662E-2</v>
      </c>
      <c r="Q28" s="107">
        <f t="shared" si="49"/>
        <v>7.1300675675675662E-2</v>
      </c>
      <c r="R28" s="107">
        <f t="shared" si="49"/>
        <v>7.1300675675675662E-2</v>
      </c>
      <c r="S28" s="107">
        <f t="shared" si="49"/>
        <v>7.1300675675675662E-2</v>
      </c>
      <c r="T28" s="107">
        <f t="shared" si="49"/>
        <v>7.1300675675675662E-2</v>
      </c>
      <c r="U28" s="107">
        <f t="shared" si="49"/>
        <v>7.1300675675675662E-2</v>
      </c>
      <c r="V28" s="107">
        <f t="shared" si="49"/>
        <v>7.1300675675675662E-2</v>
      </c>
      <c r="W28" s="49"/>
      <c r="X28" s="105" t="s">
        <v>77</v>
      </c>
      <c r="Y28" s="107">
        <f>$Y$6*B16/(100*$D$12)</f>
        <v>4.8894656019655917E-2</v>
      </c>
      <c r="Z28" s="107">
        <f t="shared" ref="Z28:AS28" si="50">$Y$6*C16/(100*$D$12)</f>
        <v>6.1761670761670759E-2</v>
      </c>
      <c r="AA28" s="107">
        <f t="shared" si="50"/>
        <v>8.183421375921375E-2</v>
      </c>
      <c r="AB28" s="107">
        <f t="shared" si="50"/>
        <v>0.10653888206388207</v>
      </c>
      <c r="AC28" s="107">
        <f t="shared" si="50"/>
        <v>0.10808292383292382</v>
      </c>
      <c r="AD28" s="107">
        <f t="shared" si="50"/>
        <v>0.10036271498771498</v>
      </c>
      <c r="AE28" s="107">
        <f t="shared" si="50"/>
        <v>0.10036271498771498</v>
      </c>
      <c r="AF28" s="107">
        <f t="shared" si="50"/>
        <v>0.10036271498771498</v>
      </c>
      <c r="AG28" s="107">
        <f t="shared" si="50"/>
        <v>0.10036271498771498</v>
      </c>
      <c r="AH28" s="107">
        <f t="shared" si="50"/>
        <v>9.2642506142506131E-2</v>
      </c>
      <c r="AI28" s="107">
        <f t="shared" si="50"/>
        <v>9.2642506142506131E-2</v>
      </c>
      <c r="AJ28" s="107">
        <f t="shared" si="50"/>
        <v>9.2642506142506131E-2</v>
      </c>
      <c r="AK28" s="107">
        <f t="shared" si="50"/>
        <v>9.2642506142506131E-2</v>
      </c>
      <c r="AL28" s="107">
        <f t="shared" si="50"/>
        <v>8.4922297297297292E-2</v>
      </c>
      <c r="AM28" s="107">
        <f t="shared" si="50"/>
        <v>8.4922297297297292E-2</v>
      </c>
      <c r="AN28" s="107">
        <f t="shared" si="50"/>
        <v>8.4922297297297292E-2</v>
      </c>
      <c r="AO28" s="107">
        <f t="shared" si="50"/>
        <v>8.4922297297297292E-2</v>
      </c>
      <c r="AP28" s="107">
        <f t="shared" si="50"/>
        <v>8.4922297297297292E-2</v>
      </c>
      <c r="AQ28" s="107">
        <f t="shared" si="50"/>
        <v>8.4922297297297292E-2</v>
      </c>
      <c r="AR28" s="107">
        <f t="shared" si="50"/>
        <v>8.4922297297297292E-2</v>
      </c>
      <c r="AS28" s="107">
        <f t="shared" si="50"/>
        <v>8.4922297297297292E-2</v>
      </c>
    </row>
    <row r="29" spans="1:45" x14ac:dyDescent="0.3">
      <c r="A29" s="105" t="s">
        <v>78</v>
      </c>
      <c r="B29" s="107">
        <f>$F$6*B17/(100*$D$12)</f>
        <v>3.8891277641277637E-2</v>
      </c>
      <c r="C29" s="107">
        <f t="shared" si="49"/>
        <v>4.9262285012285009E-2</v>
      </c>
      <c r="D29" s="107">
        <f t="shared" si="49"/>
        <v>6.2226044226044226E-2</v>
      </c>
      <c r="E29" s="107">
        <f t="shared" si="49"/>
        <v>6.6115171990171986E-2</v>
      </c>
      <c r="F29" s="107">
        <f t="shared" si="49"/>
        <v>7.1300675675675662E-2</v>
      </c>
      <c r="G29" s="107">
        <f t="shared" si="49"/>
        <v>6.4818796068796064E-2</v>
      </c>
      <c r="H29" s="107">
        <f t="shared" si="49"/>
        <v>6.4818796068796064E-2</v>
      </c>
      <c r="I29" s="107">
        <f t="shared" si="49"/>
        <v>6.4818796068796064E-2</v>
      </c>
      <c r="J29" s="107">
        <f t="shared" si="49"/>
        <v>6.4818796068796064E-2</v>
      </c>
      <c r="K29" s="107">
        <f t="shared" si="49"/>
        <v>6.4818796068796064E-2</v>
      </c>
      <c r="L29" s="107">
        <f t="shared" si="49"/>
        <v>5.8336916461916452E-2</v>
      </c>
      <c r="M29" s="107">
        <f t="shared" si="49"/>
        <v>5.8336916461916452E-2</v>
      </c>
      <c r="N29" s="107">
        <f t="shared" si="49"/>
        <v>5.8336916461916452E-2</v>
      </c>
      <c r="O29" s="107">
        <f t="shared" si="49"/>
        <v>5.8336916461916452E-2</v>
      </c>
      <c r="P29" s="107">
        <f t="shared" si="49"/>
        <v>5.8336916461916452E-2</v>
      </c>
      <c r="Q29" s="107">
        <f t="shared" si="49"/>
        <v>5.8336916461916452E-2</v>
      </c>
      <c r="R29" s="107">
        <f t="shared" si="49"/>
        <v>5.8336916461916452E-2</v>
      </c>
      <c r="S29" s="107">
        <f t="shared" si="49"/>
        <v>5.8336916461916452E-2</v>
      </c>
      <c r="T29" s="107">
        <f t="shared" si="49"/>
        <v>5.8336916461916452E-2</v>
      </c>
      <c r="U29" s="107">
        <f t="shared" si="49"/>
        <v>5.8336916461916452E-2</v>
      </c>
      <c r="V29" s="107">
        <f t="shared" si="49"/>
        <v>5.8336916461916452E-2</v>
      </c>
      <c r="W29" s="49"/>
      <c r="X29" s="105" t="s">
        <v>78</v>
      </c>
      <c r="Y29" s="107">
        <f>$Y$6*B17/(100*$D$12)</f>
        <v>4.6321253071253066E-2</v>
      </c>
      <c r="Z29" s="107">
        <f t="shared" ref="Z29" si="51">$Y$6*C17/(100*$D$12)</f>
        <v>5.8673587223587224E-2</v>
      </c>
      <c r="AA29" s="107">
        <f t="shared" ref="AA29" si="52">$Y$6*D17/(100*$D$12)</f>
        <v>7.4114004914004911E-2</v>
      </c>
      <c r="AB29" s="107">
        <f t="shared" ref="AB29" si="53">$Y$6*E17/(100*$D$12)</f>
        <v>7.8746130221130223E-2</v>
      </c>
      <c r="AC29" s="107">
        <f t="shared" ref="AC29" si="54">$Y$6*F17/(100*$D$12)</f>
        <v>8.4922297297297292E-2</v>
      </c>
      <c r="AD29" s="107">
        <f t="shared" ref="AD29" si="55">$Y$6*G17/(100*$D$12)</f>
        <v>7.7202088452088438E-2</v>
      </c>
      <c r="AE29" s="107">
        <f t="shared" ref="AE29" si="56">$Y$6*H17/(100*$D$12)</f>
        <v>7.7202088452088438E-2</v>
      </c>
      <c r="AF29" s="107">
        <f t="shared" ref="AF29" si="57">$Y$6*I17/(100*$D$12)</f>
        <v>7.7202088452088438E-2</v>
      </c>
      <c r="AG29" s="107">
        <f t="shared" ref="AG29" si="58">$Y$6*J17/(100*$D$12)</f>
        <v>7.7202088452088438E-2</v>
      </c>
      <c r="AH29" s="107">
        <f t="shared" ref="AH29" si="59">$Y$6*K17/(100*$D$12)</f>
        <v>7.7202088452088438E-2</v>
      </c>
      <c r="AI29" s="107">
        <f t="shared" ref="AI29" si="60">$Y$6*L17/(100*$D$12)</f>
        <v>6.9481879606879599E-2</v>
      </c>
      <c r="AJ29" s="107">
        <f t="shared" ref="AJ29" si="61">$Y$6*M17/(100*$D$12)</f>
        <v>6.9481879606879599E-2</v>
      </c>
      <c r="AK29" s="107">
        <f t="shared" ref="AK29" si="62">$Y$6*N17/(100*$D$12)</f>
        <v>6.9481879606879599E-2</v>
      </c>
      <c r="AL29" s="107">
        <f t="shared" ref="AL29" si="63">$Y$6*O17/(100*$D$12)</f>
        <v>6.9481879606879599E-2</v>
      </c>
      <c r="AM29" s="107">
        <f t="shared" ref="AM29" si="64">$Y$6*P17/(100*$D$12)</f>
        <v>6.9481879606879599E-2</v>
      </c>
      <c r="AN29" s="107">
        <f t="shared" ref="AN29" si="65">$Y$6*Q17/(100*$D$12)</f>
        <v>6.9481879606879599E-2</v>
      </c>
      <c r="AO29" s="107">
        <f t="shared" ref="AO29" si="66">$Y$6*R17/(100*$D$12)</f>
        <v>6.9481879606879599E-2</v>
      </c>
      <c r="AP29" s="107">
        <f t="shared" ref="AP29" si="67">$Y$6*S17/(100*$D$12)</f>
        <v>6.9481879606879599E-2</v>
      </c>
      <c r="AQ29" s="107">
        <f t="shared" ref="AQ29" si="68">$Y$6*T17/(100*$D$12)</f>
        <v>6.9481879606879599E-2</v>
      </c>
      <c r="AR29" s="107">
        <f t="shared" ref="AR29" si="69">$Y$6*U17/(100*$D$12)</f>
        <v>6.9481879606879599E-2</v>
      </c>
      <c r="AS29" s="107">
        <f t="shared" ref="AS29" si="70">$Y$6*V17/(100*$D$12)</f>
        <v>6.9481879606879599E-2</v>
      </c>
    </row>
    <row r="30" spans="1:45" x14ac:dyDescent="0.3">
      <c r="A30" s="108" t="s">
        <v>7</v>
      </c>
      <c r="B30" s="107"/>
      <c r="C30" s="107"/>
      <c r="D30" s="107"/>
      <c r="E30" s="107"/>
      <c r="F30" s="107"/>
      <c r="G30" s="107"/>
      <c r="H30" s="107"/>
      <c r="I30" s="107"/>
      <c r="J30" s="107"/>
      <c r="K30" s="107"/>
      <c r="L30" s="107"/>
      <c r="M30" s="107"/>
      <c r="N30" s="107"/>
      <c r="O30" s="107"/>
      <c r="P30" s="107"/>
      <c r="Q30" s="107"/>
      <c r="R30" s="107"/>
      <c r="S30" s="107"/>
      <c r="T30" s="107"/>
      <c r="U30" s="107"/>
      <c r="V30" s="107"/>
      <c r="W30" s="49"/>
      <c r="X30" s="108" t="s">
        <v>7</v>
      </c>
      <c r="Y30" s="107"/>
      <c r="Z30" s="107"/>
      <c r="AA30" s="107"/>
      <c r="AB30" s="107"/>
      <c r="AC30" s="107"/>
      <c r="AD30" s="107"/>
      <c r="AE30" s="107"/>
      <c r="AF30" s="107"/>
      <c r="AG30" s="107"/>
      <c r="AH30" s="107"/>
      <c r="AI30" s="107"/>
      <c r="AJ30" s="107"/>
      <c r="AK30" s="107"/>
      <c r="AL30" s="107"/>
      <c r="AM30" s="107"/>
      <c r="AN30" s="107"/>
      <c r="AO30" s="107"/>
      <c r="AP30" s="107"/>
      <c r="AQ30" s="107"/>
      <c r="AR30" s="107"/>
      <c r="AS30" s="107"/>
    </row>
    <row r="31" spans="1:45" x14ac:dyDescent="0.3">
      <c r="A31" s="105" t="s">
        <v>77</v>
      </c>
      <c r="B31" s="107">
        <f>$F$7*B16/(100*$D$12)</f>
        <v>6.1271498771498633E-3</v>
      </c>
      <c r="C31" s="107">
        <f>$F$7*C16/(100*$D$12)</f>
        <v>7.7395577395577382E-3</v>
      </c>
      <c r="D31" s="107">
        <f t="shared" ref="C31:V32" si="71">$F$7*D16/(100*$D$12)</f>
        <v>1.0254914004914004E-2</v>
      </c>
      <c r="E31" s="107">
        <f t="shared" si="71"/>
        <v>1.3350737100737099E-2</v>
      </c>
      <c r="F31" s="107">
        <f t="shared" si="71"/>
        <v>1.3544226044226042E-2</v>
      </c>
      <c r="G31" s="107">
        <f>$F$7*G16/(100*$D$12)</f>
        <v>1.2576781326781325E-2</v>
      </c>
      <c r="H31" s="107">
        <f t="shared" si="71"/>
        <v>1.2576781326781325E-2</v>
      </c>
      <c r="I31" s="107">
        <f t="shared" si="71"/>
        <v>1.2576781326781325E-2</v>
      </c>
      <c r="J31" s="107">
        <f t="shared" si="71"/>
        <v>1.2576781326781325E-2</v>
      </c>
      <c r="K31" s="107">
        <f t="shared" si="71"/>
        <v>1.1609336609336609E-2</v>
      </c>
      <c r="L31" s="107">
        <f t="shared" si="71"/>
        <v>1.1609336609336609E-2</v>
      </c>
      <c r="M31" s="107">
        <f t="shared" si="71"/>
        <v>1.1609336609336609E-2</v>
      </c>
      <c r="N31" s="107">
        <f t="shared" si="71"/>
        <v>1.1609336609336609E-2</v>
      </c>
      <c r="O31" s="107">
        <f t="shared" si="71"/>
        <v>1.0641891891891891E-2</v>
      </c>
      <c r="P31" s="107">
        <f t="shared" si="71"/>
        <v>1.0641891891891891E-2</v>
      </c>
      <c r="Q31" s="107">
        <f t="shared" si="71"/>
        <v>1.0641891891891891E-2</v>
      </c>
      <c r="R31" s="107">
        <f t="shared" si="71"/>
        <v>1.0641891891891891E-2</v>
      </c>
      <c r="S31" s="107">
        <f t="shared" si="71"/>
        <v>1.0641891891891891E-2</v>
      </c>
      <c r="T31" s="107">
        <f t="shared" si="71"/>
        <v>1.0641891891891891E-2</v>
      </c>
      <c r="U31" s="107">
        <f t="shared" si="71"/>
        <v>1.0641891891891891E-2</v>
      </c>
      <c r="V31" s="107">
        <f t="shared" si="71"/>
        <v>1.0641891891891891E-2</v>
      </c>
      <c r="W31" s="49"/>
      <c r="X31" s="105" t="s">
        <v>77</v>
      </c>
      <c r="Y31" s="107">
        <f>$Y$7*B16/(100*$D$12)</f>
        <v>4.6566339066338967E-3</v>
      </c>
      <c r="Z31" s="107">
        <f t="shared" ref="Z31:AS31" si="72">$Y$7*C16/(100*$D$12)</f>
        <v>5.882063882063881E-3</v>
      </c>
      <c r="AA31" s="107">
        <f t="shared" si="72"/>
        <v>7.7937346437346429E-3</v>
      </c>
      <c r="AB31" s="107">
        <f t="shared" si="72"/>
        <v>1.0146560196560196E-2</v>
      </c>
      <c r="AC31" s="107">
        <f t="shared" si="72"/>
        <v>1.0293611793611794E-2</v>
      </c>
      <c r="AD31" s="107">
        <f t="shared" si="72"/>
        <v>9.5583538083538078E-3</v>
      </c>
      <c r="AE31" s="107">
        <f t="shared" si="72"/>
        <v>9.5583538083538078E-3</v>
      </c>
      <c r="AF31" s="107">
        <f t="shared" si="72"/>
        <v>9.5583538083538078E-3</v>
      </c>
      <c r="AG31" s="107">
        <f t="shared" si="72"/>
        <v>9.5583538083538078E-3</v>
      </c>
      <c r="AH31" s="107">
        <f t="shared" si="72"/>
        <v>8.823095823095822E-3</v>
      </c>
      <c r="AI31" s="107">
        <f t="shared" si="72"/>
        <v>8.823095823095822E-3</v>
      </c>
      <c r="AJ31" s="107">
        <f t="shared" si="72"/>
        <v>8.823095823095822E-3</v>
      </c>
      <c r="AK31" s="107">
        <f t="shared" si="72"/>
        <v>8.823095823095822E-3</v>
      </c>
      <c r="AL31" s="107">
        <f t="shared" si="72"/>
        <v>8.0878378378378378E-3</v>
      </c>
      <c r="AM31" s="107">
        <f t="shared" si="72"/>
        <v>8.0878378378378378E-3</v>
      </c>
      <c r="AN31" s="107">
        <f t="shared" si="72"/>
        <v>8.0878378378378378E-3</v>
      </c>
      <c r="AO31" s="107">
        <f t="shared" si="72"/>
        <v>8.0878378378378378E-3</v>
      </c>
      <c r="AP31" s="107">
        <f t="shared" si="72"/>
        <v>8.0878378378378378E-3</v>
      </c>
      <c r="AQ31" s="107">
        <f t="shared" si="72"/>
        <v>8.0878378378378378E-3</v>
      </c>
      <c r="AR31" s="107">
        <f t="shared" si="72"/>
        <v>8.0878378378378378E-3</v>
      </c>
      <c r="AS31" s="107">
        <f t="shared" si="72"/>
        <v>8.0878378378378378E-3</v>
      </c>
    </row>
    <row r="32" spans="1:45" x14ac:dyDescent="0.3">
      <c r="A32" s="105" t="s">
        <v>78</v>
      </c>
      <c r="B32" s="107">
        <f>$F$7*B17/(100*$D$12)</f>
        <v>5.8046683046683043E-3</v>
      </c>
      <c r="C32" s="107">
        <f t="shared" si="71"/>
        <v>7.3525798525798519E-3</v>
      </c>
      <c r="D32" s="107">
        <f t="shared" si="71"/>
        <v>9.2874692874692875E-3</v>
      </c>
      <c r="E32" s="107">
        <f t="shared" si="71"/>
        <v>9.8679361179361182E-3</v>
      </c>
      <c r="F32" s="107">
        <f t="shared" si="71"/>
        <v>1.0641891891891891E-2</v>
      </c>
      <c r="G32" s="107">
        <f t="shared" si="71"/>
        <v>9.6744471744471729E-3</v>
      </c>
      <c r="H32" s="107">
        <f t="shared" si="71"/>
        <v>9.6744471744471729E-3</v>
      </c>
      <c r="I32" s="107">
        <f t="shared" si="71"/>
        <v>9.6744471744471729E-3</v>
      </c>
      <c r="J32" s="107">
        <f t="shared" si="71"/>
        <v>9.6744471744471729E-3</v>
      </c>
      <c r="K32" s="107">
        <f t="shared" si="71"/>
        <v>9.6744471744471729E-3</v>
      </c>
      <c r="L32" s="107">
        <f t="shared" si="71"/>
        <v>8.7070024570024551E-3</v>
      </c>
      <c r="M32" s="107">
        <f t="shared" si="71"/>
        <v>8.7070024570024551E-3</v>
      </c>
      <c r="N32" s="107">
        <f t="shared" si="71"/>
        <v>8.7070024570024551E-3</v>
      </c>
      <c r="O32" s="107">
        <f t="shared" si="71"/>
        <v>8.7070024570024551E-3</v>
      </c>
      <c r="P32" s="107">
        <f t="shared" si="71"/>
        <v>8.7070024570024551E-3</v>
      </c>
      <c r="Q32" s="107">
        <f t="shared" si="71"/>
        <v>8.7070024570024551E-3</v>
      </c>
      <c r="R32" s="107">
        <f t="shared" si="71"/>
        <v>8.7070024570024551E-3</v>
      </c>
      <c r="S32" s="107">
        <f t="shared" si="71"/>
        <v>8.7070024570024551E-3</v>
      </c>
      <c r="T32" s="107">
        <f t="shared" si="71"/>
        <v>8.7070024570024551E-3</v>
      </c>
      <c r="U32" s="107">
        <f t="shared" si="71"/>
        <v>8.7070024570024551E-3</v>
      </c>
      <c r="V32" s="107">
        <f t="shared" si="71"/>
        <v>8.7070024570024551E-3</v>
      </c>
      <c r="W32" s="49"/>
      <c r="X32" s="105" t="s">
        <v>78</v>
      </c>
      <c r="Y32" s="107">
        <f>$Y$7*B17/(100*$D$12)</f>
        <v>4.411547911547911E-3</v>
      </c>
      <c r="Z32" s="107">
        <f t="shared" ref="Z32" si="73">$Y$7*C17/(100*$D$12)</f>
        <v>5.5879606879606879E-3</v>
      </c>
      <c r="AA32" s="107">
        <f t="shared" ref="AA32" si="74">$Y$7*D17/(100*$D$12)</f>
        <v>7.0584766584766579E-3</v>
      </c>
      <c r="AB32" s="107">
        <f t="shared" ref="AB32" si="75">$Y$7*E17/(100*$D$12)</f>
        <v>7.4996314496314498E-3</v>
      </c>
      <c r="AC32" s="107">
        <f t="shared" ref="AC32" si="76">$Y$7*F17/(100*$D$12)</f>
        <v>8.0878378378378378E-3</v>
      </c>
      <c r="AD32" s="107">
        <f t="shared" ref="AD32" si="77">$Y$7*G17/(100*$D$12)</f>
        <v>7.352579852579851E-3</v>
      </c>
      <c r="AE32" s="107">
        <f t="shared" ref="AE32" si="78">$Y$7*H17/(100*$D$12)</f>
        <v>7.352579852579851E-3</v>
      </c>
      <c r="AF32" s="107">
        <f t="shared" ref="AF32" si="79">$Y$7*I17/(100*$D$12)</f>
        <v>7.352579852579851E-3</v>
      </c>
      <c r="AG32" s="107">
        <f t="shared" ref="AG32" si="80">$Y$7*J17/(100*$D$12)</f>
        <v>7.352579852579851E-3</v>
      </c>
      <c r="AH32" s="107">
        <f t="shared" ref="AH32" si="81">$Y$7*K17/(100*$D$12)</f>
        <v>7.352579852579851E-3</v>
      </c>
      <c r="AI32" s="107">
        <f t="shared" ref="AI32" si="82">$Y$7*L17/(100*$D$12)</f>
        <v>6.617321867321866E-3</v>
      </c>
      <c r="AJ32" s="107">
        <f t="shared" ref="AJ32" si="83">$Y$7*M17/(100*$D$12)</f>
        <v>6.617321867321866E-3</v>
      </c>
      <c r="AK32" s="107">
        <f t="shared" ref="AK32" si="84">$Y$7*N17/(100*$D$12)</f>
        <v>6.617321867321866E-3</v>
      </c>
      <c r="AL32" s="107">
        <f t="shared" ref="AL32" si="85">$Y$7*O17/(100*$D$12)</f>
        <v>6.617321867321866E-3</v>
      </c>
      <c r="AM32" s="107">
        <f t="shared" ref="AM32" si="86">$Y$7*P17/(100*$D$12)</f>
        <v>6.617321867321866E-3</v>
      </c>
      <c r="AN32" s="107">
        <f t="shared" ref="AN32" si="87">$Y$7*Q17/(100*$D$12)</f>
        <v>6.617321867321866E-3</v>
      </c>
      <c r="AO32" s="107">
        <f t="shared" ref="AO32" si="88">$Y$7*R17/(100*$D$12)</f>
        <v>6.617321867321866E-3</v>
      </c>
      <c r="AP32" s="107">
        <f t="shared" ref="AP32" si="89">$Y$7*S17/(100*$D$12)</f>
        <v>6.617321867321866E-3</v>
      </c>
      <c r="AQ32" s="107">
        <f t="shared" ref="AQ32" si="90">$Y$7*T17/(100*$D$12)</f>
        <v>6.617321867321866E-3</v>
      </c>
      <c r="AR32" s="107">
        <f t="shared" ref="AR32" si="91">$Y$7*U17/(100*$D$12)</f>
        <v>6.617321867321866E-3</v>
      </c>
      <c r="AS32" s="107">
        <f t="shared" ref="AS32" si="92">$Y$7*V17/(100*$D$12)</f>
        <v>6.617321867321866E-3</v>
      </c>
    </row>
    <row r="33" spans="1:45" s="49" customFormat="1" x14ac:dyDescent="0.3">
      <c r="A33" s="104" t="s">
        <v>12</v>
      </c>
      <c r="B33" s="6"/>
      <c r="C33" s="6"/>
      <c r="D33" s="120"/>
      <c r="E33" s="120"/>
      <c r="F33" s="120"/>
      <c r="G33" s="120"/>
      <c r="H33" s="120"/>
      <c r="I33" s="120"/>
      <c r="J33" s="120"/>
      <c r="K33" s="120"/>
      <c r="L33" s="120"/>
      <c r="M33" s="120"/>
      <c r="N33" s="120"/>
      <c r="O33" s="120"/>
      <c r="P33" s="120"/>
      <c r="Q33" s="120"/>
      <c r="R33" s="120"/>
      <c r="S33" s="120"/>
      <c r="T33" s="120"/>
      <c r="U33" s="120"/>
      <c r="V33" s="120"/>
      <c r="X33" s="104" t="s">
        <v>12</v>
      </c>
      <c r="Y33" s="6"/>
      <c r="Z33" s="6"/>
      <c r="AA33" s="120"/>
      <c r="AB33" s="120"/>
      <c r="AC33" s="120"/>
      <c r="AD33" s="120"/>
      <c r="AE33" s="120"/>
      <c r="AF33" s="120"/>
      <c r="AG33" s="120"/>
      <c r="AH33" s="120"/>
      <c r="AI33" s="120"/>
      <c r="AJ33" s="120"/>
      <c r="AK33" s="120"/>
      <c r="AL33" s="120"/>
      <c r="AM33" s="120"/>
      <c r="AN33" s="120"/>
      <c r="AO33" s="120"/>
      <c r="AP33" s="120"/>
      <c r="AQ33" s="120"/>
      <c r="AR33" s="120"/>
      <c r="AS33" s="120"/>
    </row>
    <row r="34" spans="1:45" s="49" customFormat="1" x14ac:dyDescent="0.3">
      <c r="A34" s="105" t="s">
        <v>77</v>
      </c>
      <c r="B34" s="107">
        <f>$F$8*B16/(100*$D$12)</f>
        <v>1.2254299754299727E-2</v>
      </c>
      <c r="C34" s="107">
        <f t="shared" ref="C34:V35" si="93">$F$8*C16/(100*$D$12)</f>
        <v>1.5479115479115476E-2</v>
      </c>
      <c r="D34" s="107">
        <f t="shared" si="93"/>
        <v>2.0509828009828007E-2</v>
      </c>
      <c r="E34" s="107">
        <f t="shared" si="93"/>
        <v>2.6701474201474198E-2</v>
      </c>
      <c r="F34" s="107">
        <f t="shared" si="93"/>
        <v>2.7088452088452085E-2</v>
      </c>
      <c r="G34" s="107">
        <f t="shared" si="93"/>
        <v>2.5153562653562649E-2</v>
      </c>
      <c r="H34" s="107">
        <f t="shared" si="93"/>
        <v>2.5153562653562649E-2</v>
      </c>
      <c r="I34" s="107">
        <f t="shared" si="93"/>
        <v>2.5153562653562649E-2</v>
      </c>
      <c r="J34" s="107">
        <f t="shared" si="93"/>
        <v>2.5153562653562649E-2</v>
      </c>
      <c r="K34" s="107">
        <f t="shared" si="93"/>
        <v>2.3218673218673217E-2</v>
      </c>
      <c r="L34" s="107">
        <f t="shared" si="93"/>
        <v>2.3218673218673217E-2</v>
      </c>
      <c r="M34" s="107">
        <f t="shared" si="93"/>
        <v>2.3218673218673217E-2</v>
      </c>
      <c r="N34" s="107">
        <f t="shared" si="93"/>
        <v>2.3218673218673217E-2</v>
      </c>
      <c r="O34" s="107">
        <f t="shared" si="93"/>
        <v>2.1283783783783781E-2</v>
      </c>
      <c r="P34" s="107">
        <f t="shared" si="93"/>
        <v>2.1283783783783781E-2</v>
      </c>
      <c r="Q34" s="107">
        <f t="shared" si="93"/>
        <v>2.1283783783783781E-2</v>
      </c>
      <c r="R34" s="107">
        <f t="shared" si="93"/>
        <v>2.1283783783783781E-2</v>
      </c>
      <c r="S34" s="107">
        <f t="shared" si="93"/>
        <v>2.1283783783783781E-2</v>
      </c>
      <c r="T34" s="107">
        <f t="shared" si="93"/>
        <v>2.1283783783783781E-2</v>
      </c>
      <c r="U34" s="107">
        <f t="shared" si="93"/>
        <v>2.1283783783783781E-2</v>
      </c>
      <c r="V34" s="107">
        <f t="shared" si="93"/>
        <v>2.1283783783783781E-2</v>
      </c>
      <c r="X34" s="105" t="s">
        <v>77</v>
      </c>
      <c r="Y34" s="107">
        <f>$Y$8*B16/(100*$D$12)</f>
        <v>4.3257678132678029E-2</v>
      </c>
      <c r="Z34" s="107">
        <f t="shared" ref="Z34:AS34" si="94">$Y$8*C16/(100*$D$12)</f>
        <v>5.464127764127763E-2</v>
      </c>
      <c r="AA34" s="107">
        <f t="shared" si="94"/>
        <v>7.2399692874692861E-2</v>
      </c>
      <c r="AB34" s="107">
        <f t="shared" si="94"/>
        <v>9.4256203931203916E-2</v>
      </c>
      <c r="AC34" s="107">
        <f t="shared" si="94"/>
        <v>9.5622235872235853E-2</v>
      </c>
      <c r="AD34" s="107">
        <f t="shared" si="94"/>
        <v>8.8792076167076156E-2</v>
      </c>
      <c r="AE34" s="107">
        <f t="shared" si="94"/>
        <v>8.8792076167076156E-2</v>
      </c>
      <c r="AF34" s="107">
        <f t="shared" si="94"/>
        <v>8.8792076167076156E-2</v>
      </c>
      <c r="AG34" s="107">
        <f t="shared" si="94"/>
        <v>8.8792076167076156E-2</v>
      </c>
      <c r="AH34" s="107">
        <f t="shared" si="94"/>
        <v>8.1961916461916445E-2</v>
      </c>
      <c r="AI34" s="107">
        <f t="shared" si="94"/>
        <v>8.1961916461916445E-2</v>
      </c>
      <c r="AJ34" s="107">
        <f t="shared" si="94"/>
        <v>8.1961916461916445E-2</v>
      </c>
      <c r="AK34" s="107">
        <f t="shared" si="94"/>
        <v>8.1961916461916445E-2</v>
      </c>
      <c r="AL34" s="107">
        <f t="shared" si="94"/>
        <v>7.5131756756756748E-2</v>
      </c>
      <c r="AM34" s="107">
        <f t="shared" si="94"/>
        <v>7.5131756756756748E-2</v>
      </c>
      <c r="AN34" s="107">
        <f t="shared" si="94"/>
        <v>7.5131756756756748E-2</v>
      </c>
      <c r="AO34" s="107">
        <f t="shared" si="94"/>
        <v>7.5131756756756748E-2</v>
      </c>
      <c r="AP34" s="107">
        <f t="shared" si="94"/>
        <v>7.5131756756756748E-2</v>
      </c>
      <c r="AQ34" s="107">
        <f t="shared" si="94"/>
        <v>7.5131756756756748E-2</v>
      </c>
      <c r="AR34" s="107">
        <f t="shared" si="94"/>
        <v>7.5131756756756748E-2</v>
      </c>
      <c r="AS34" s="107">
        <f t="shared" si="94"/>
        <v>7.5131756756756748E-2</v>
      </c>
    </row>
    <row r="35" spans="1:45" s="49" customFormat="1" x14ac:dyDescent="0.3">
      <c r="A35" s="105" t="s">
        <v>78</v>
      </c>
      <c r="B35" s="107">
        <f>$F$8*B17/(100*$D$12)</f>
        <v>1.1609336609336609E-2</v>
      </c>
      <c r="C35" s="107">
        <f t="shared" si="93"/>
        <v>1.4705159705159704E-2</v>
      </c>
      <c r="D35" s="107">
        <f t="shared" si="93"/>
        <v>1.8574938574938575E-2</v>
      </c>
      <c r="E35" s="107">
        <f t="shared" si="93"/>
        <v>1.9735872235872236E-2</v>
      </c>
      <c r="F35" s="107">
        <f t="shared" si="93"/>
        <v>2.1283783783783781E-2</v>
      </c>
      <c r="G35" s="107">
        <f t="shared" si="93"/>
        <v>1.9348894348894346E-2</v>
      </c>
      <c r="H35" s="107">
        <f t="shared" si="93"/>
        <v>1.9348894348894346E-2</v>
      </c>
      <c r="I35" s="107">
        <f t="shared" si="93"/>
        <v>1.9348894348894346E-2</v>
      </c>
      <c r="J35" s="107">
        <f t="shared" si="93"/>
        <v>1.9348894348894346E-2</v>
      </c>
      <c r="K35" s="107">
        <f t="shared" si="93"/>
        <v>1.9348894348894346E-2</v>
      </c>
      <c r="L35" s="107">
        <f t="shared" si="93"/>
        <v>1.741400491400491E-2</v>
      </c>
      <c r="M35" s="107">
        <f t="shared" si="93"/>
        <v>1.741400491400491E-2</v>
      </c>
      <c r="N35" s="107">
        <f t="shared" si="93"/>
        <v>1.741400491400491E-2</v>
      </c>
      <c r="O35" s="107">
        <f t="shared" si="93"/>
        <v>1.741400491400491E-2</v>
      </c>
      <c r="P35" s="107">
        <f t="shared" si="93"/>
        <v>1.741400491400491E-2</v>
      </c>
      <c r="Q35" s="107">
        <f t="shared" si="93"/>
        <v>1.741400491400491E-2</v>
      </c>
      <c r="R35" s="107">
        <f t="shared" si="93"/>
        <v>1.741400491400491E-2</v>
      </c>
      <c r="S35" s="107">
        <f t="shared" si="93"/>
        <v>1.741400491400491E-2</v>
      </c>
      <c r="T35" s="107">
        <f t="shared" si="93"/>
        <v>1.741400491400491E-2</v>
      </c>
      <c r="U35" s="107">
        <f t="shared" si="93"/>
        <v>1.741400491400491E-2</v>
      </c>
      <c r="V35" s="107">
        <f t="shared" si="93"/>
        <v>1.741400491400491E-2</v>
      </c>
      <c r="X35" s="105" t="s">
        <v>78</v>
      </c>
      <c r="Y35" s="107">
        <f>$Y$8*B17/(100*$D$12)</f>
        <v>4.0980958230958223E-2</v>
      </c>
      <c r="Z35" s="107">
        <f t="shared" ref="Z35" si="95">$Y$8*C17/(100*$D$12)</f>
        <v>5.190921375921375E-2</v>
      </c>
      <c r="AA35" s="107">
        <f t="shared" ref="AA35" si="96">$Y$8*D17/(100*$D$12)</f>
        <v>6.5569533169533165E-2</v>
      </c>
      <c r="AB35" s="107">
        <f t="shared" ref="AB35" si="97">$Y$8*E17/(100*$D$12)</f>
        <v>6.9667628992628988E-2</v>
      </c>
      <c r="AC35" s="107">
        <f t="shared" ref="AC35" si="98">$Y$8*F17/(100*$D$12)</f>
        <v>7.5131756756756748E-2</v>
      </c>
      <c r="AD35" s="107">
        <f t="shared" ref="AD35" si="99">$Y$8*G17/(100*$D$12)</f>
        <v>6.8301597051597038E-2</v>
      </c>
      <c r="AE35" s="107">
        <f t="shared" ref="AE35" si="100">$Y$8*H17/(100*$D$12)</f>
        <v>6.8301597051597038E-2</v>
      </c>
      <c r="AF35" s="107">
        <f t="shared" ref="AF35" si="101">$Y$8*I17/(100*$D$12)</f>
        <v>6.8301597051597038E-2</v>
      </c>
      <c r="AG35" s="107">
        <f t="shared" ref="AG35" si="102">$Y$8*J17/(100*$D$12)</f>
        <v>6.8301597051597038E-2</v>
      </c>
      <c r="AH35" s="107">
        <f t="shared" ref="AH35" si="103">$Y$8*K17/(100*$D$12)</f>
        <v>6.8301597051597038E-2</v>
      </c>
      <c r="AI35" s="107">
        <f t="shared" ref="AI35" si="104">$Y$8*L17/(100*$D$12)</f>
        <v>6.1471437346437334E-2</v>
      </c>
      <c r="AJ35" s="107">
        <f t="shared" ref="AJ35" si="105">$Y$8*M17/(100*$D$12)</f>
        <v>6.1471437346437334E-2</v>
      </c>
      <c r="AK35" s="107">
        <f t="shared" ref="AK35" si="106">$Y$8*N17/(100*$D$12)</f>
        <v>6.1471437346437334E-2</v>
      </c>
      <c r="AL35" s="107">
        <f t="shared" ref="AL35" si="107">$Y$8*O17/(100*$D$12)</f>
        <v>6.1471437346437334E-2</v>
      </c>
      <c r="AM35" s="107">
        <f t="shared" ref="AM35" si="108">$Y$8*P17/(100*$D$12)</f>
        <v>6.1471437346437334E-2</v>
      </c>
      <c r="AN35" s="107">
        <f t="shared" ref="AN35" si="109">$Y$8*Q17/(100*$D$12)</f>
        <v>6.1471437346437334E-2</v>
      </c>
      <c r="AO35" s="107">
        <f t="shared" ref="AO35" si="110">$Y$8*R17/(100*$D$12)</f>
        <v>6.1471437346437334E-2</v>
      </c>
      <c r="AP35" s="107">
        <f t="shared" ref="AP35" si="111">$Y$8*S17/(100*$D$12)</f>
        <v>6.1471437346437334E-2</v>
      </c>
      <c r="AQ35" s="107">
        <f t="shared" ref="AQ35" si="112">$Y$8*T17/(100*$D$12)</f>
        <v>6.1471437346437334E-2</v>
      </c>
      <c r="AR35" s="107">
        <f t="shared" ref="AR35" si="113">$Y$8*U17/(100*$D$12)</f>
        <v>6.1471437346437334E-2</v>
      </c>
      <c r="AS35" s="107">
        <f t="shared" ref="AS35" si="114">$Y$8*V17/(100*$D$12)</f>
        <v>6.1471437346437334E-2</v>
      </c>
    </row>
    <row r="36" spans="1:45" s="49" customFormat="1" x14ac:dyDescent="0.3">
      <c r="A36" s="104" t="s">
        <v>81</v>
      </c>
      <c r="X36" s="104" t="s">
        <v>81</v>
      </c>
    </row>
    <row r="37" spans="1:45" s="49" customFormat="1" x14ac:dyDescent="0.3">
      <c r="A37" s="105" t="s">
        <v>77</v>
      </c>
      <c r="B37" s="107">
        <f>$F$9*B16/(100*$D$12)</f>
        <v>0.2867506142506136</v>
      </c>
      <c r="C37" s="107">
        <f t="shared" ref="C37:V38" si="115">$F$9*C16/(100*$D$12)</f>
        <v>0.36221130221130216</v>
      </c>
      <c r="D37" s="107">
        <f t="shared" si="115"/>
        <v>0.47992997542997529</v>
      </c>
      <c r="E37" s="107">
        <f t="shared" si="115"/>
        <v>0.62481449631449626</v>
      </c>
      <c r="F37" s="107">
        <f t="shared" si="115"/>
        <v>0.6338697788697788</v>
      </c>
      <c r="G37" s="107">
        <f t="shared" si="115"/>
        <v>0.58859336609336599</v>
      </c>
      <c r="H37" s="107">
        <f t="shared" si="115"/>
        <v>0.58859336609336599</v>
      </c>
      <c r="I37" s="107">
        <f t="shared" si="115"/>
        <v>0.58859336609336599</v>
      </c>
      <c r="J37" s="107">
        <f t="shared" si="115"/>
        <v>0.58859336609336599</v>
      </c>
      <c r="K37" s="107">
        <f t="shared" si="115"/>
        <v>0.54331695331695329</v>
      </c>
      <c r="L37" s="107">
        <f t="shared" si="115"/>
        <v>0.54331695331695329</v>
      </c>
      <c r="M37" s="107">
        <f t="shared" si="115"/>
        <v>0.54331695331695329</v>
      </c>
      <c r="N37" s="107">
        <f t="shared" si="115"/>
        <v>0.54331695331695329</v>
      </c>
      <c r="O37" s="107">
        <f t="shared" si="115"/>
        <v>0.49804054054054042</v>
      </c>
      <c r="P37" s="107">
        <f t="shared" si="115"/>
        <v>0.49804054054054042</v>
      </c>
      <c r="Q37" s="107">
        <f t="shared" si="115"/>
        <v>0.49804054054054042</v>
      </c>
      <c r="R37" s="107">
        <f t="shared" si="115"/>
        <v>0.49804054054054042</v>
      </c>
      <c r="S37" s="107">
        <f t="shared" si="115"/>
        <v>0.49804054054054042</v>
      </c>
      <c r="T37" s="107">
        <f t="shared" si="115"/>
        <v>0.49804054054054042</v>
      </c>
      <c r="U37" s="107">
        <f t="shared" si="115"/>
        <v>0.49804054054054042</v>
      </c>
      <c r="V37" s="107">
        <f t="shared" si="115"/>
        <v>0.49804054054054042</v>
      </c>
      <c r="X37" s="105" t="s">
        <v>77</v>
      </c>
      <c r="Y37" s="107">
        <f>$Y$9*B16/(100*$D$12)</f>
        <v>0.1837409705159701</v>
      </c>
      <c r="Z37" s="107">
        <f t="shared" ref="Z37:AS37" si="116">$Y$9*C16/(100*$D$12)</f>
        <v>0.23209385749385744</v>
      </c>
      <c r="AA37" s="107">
        <f t="shared" si="116"/>
        <v>0.30752436117936116</v>
      </c>
      <c r="AB37" s="107">
        <f t="shared" si="116"/>
        <v>0.40036190417690409</v>
      </c>
      <c r="AC37" s="107">
        <f t="shared" si="116"/>
        <v>0.40616425061425054</v>
      </c>
      <c r="AD37" s="107">
        <f t="shared" si="116"/>
        <v>0.3771525184275184</v>
      </c>
      <c r="AE37" s="107">
        <f t="shared" si="116"/>
        <v>0.3771525184275184</v>
      </c>
      <c r="AF37" s="107">
        <f t="shared" si="116"/>
        <v>0.3771525184275184</v>
      </c>
      <c r="AG37" s="107">
        <f t="shared" si="116"/>
        <v>0.3771525184275184</v>
      </c>
      <c r="AH37" s="107">
        <f t="shared" si="116"/>
        <v>0.3481407862407862</v>
      </c>
      <c r="AI37" s="107">
        <f t="shared" si="116"/>
        <v>0.3481407862407862</v>
      </c>
      <c r="AJ37" s="107">
        <f t="shared" si="116"/>
        <v>0.3481407862407862</v>
      </c>
      <c r="AK37" s="107">
        <f t="shared" si="116"/>
        <v>0.3481407862407862</v>
      </c>
      <c r="AL37" s="107">
        <f t="shared" si="116"/>
        <v>0.31912905405405395</v>
      </c>
      <c r="AM37" s="107">
        <f t="shared" si="116"/>
        <v>0.31912905405405395</v>
      </c>
      <c r="AN37" s="107">
        <f t="shared" si="116"/>
        <v>0.31912905405405395</v>
      </c>
      <c r="AO37" s="107">
        <f t="shared" si="116"/>
        <v>0.31912905405405395</v>
      </c>
      <c r="AP37" s="107">
        <f t="shared" si="116"/>
        <v>0.31912905405405395</v>
      </c>
      <c r="AQ37" s="107">
        <f t="shared" si="116"/>
        <v>0.31912905405405395</v>
      </c>
      <c r="AR37" s="107">
        <f t="shared" si="116"/>
        <v>0.31912905405405395</v>
      </c>
      <c r="AS37" s="107">
        <f t="shared" si="116"/>
        <v>0.31912905405405395</v>
      </c>
    </row>
    <row r="38" spans="1:45" s="49" customFormat="1" x14ac:dyDescent="0.3">
      <c r="A38" s="105" t="s">
        <v>78</v>
      </c>
      <c r="B38" s="107">
        <f>$F$9*B17/(100*$D$12)</f>
        <v>0.27165847665847664</v>
      </c>
      <c r="C38" s="107">
        <f t="shared" si="115"/>
        <v>0.34410073710073708</v>
      </c>
      <c r="D38" s="107">
        <f t="shared" si="115"/>
        <v>0.43465356265356264</v>
      </c>
      <c r="E38" s="107">
        <f t="shared" si="115"/>
        <v>0.46181941031941032</v>
      </c>
      <c r="F38" s="107">
        <f t="shared" si="115"/>
        <v>0.49804054054054042</v>
      </c>
      <c r="G38" s="107">
        <f t="shared" si="115"/>
        <v>0.45276412776412767</v>
      </c>
      <c r="H38" s="107">
        <f t="shared" si="115"/>
        <v>0.45276412776412767</v>
      </c>
      <c r="I38" s="107">
        <f t="shared" si="115"/>
        <v>0.45276412776412767</v>
      </c>
      <c r="J38" s="107">
        <f t="shared" si="115"/>
        <v>0.45276412776412767</v>
      </c>
      <c r="K38" s="107">
        <f t="shared" si="115"/>
        <v>0.45276412776412767</v>
      </c>
      <c r="L38" s="107">
        <f t="shared" si="115"/>
        <v>0.40748771498771486</v>
      </c>
      <c r="M38" s="107">
        <f t="shared" si="115"/>
        <v>0.40748771498771486</v>
      </c>
      <c r="N38" s="107">
        <f t="shared" si="115"/>
        <v>0.40748771498771486</v>
      </c>
      <c r="O38" s="107">
        <f t="shared" si="115"/>
        <v>0.40748771498771486</v>
      </c>
      <c r="P38" s="107">
        <f t="shared" si="115"/>
        <v>0.40748771498771486</v>
      </c>
      <c r="Q38" s="107">
        <f t="shared" si="115"/>
        <v>0.40748771498771486</v>
      </c>
      <c r="R38" s="107">
        <f t="shared" si="115"/>
        <v>0.40748771498771486</v>
      </c>
      <c r="S38" s="107">
        <f t="shared" si="115"/>
        <v>0.40748771498771486</v>
      </c>
      <c r="T38" s="107">
        <f t="shared" si="115"/>
        <v>0.40748771498771486</v>
      </c>
      <c r="U38" s="107">
        <f t="shared" si="115"/>
        <v>0.40748771498771486</v>
      </c>
      <c r="V38" s="107">
        <f t="shared" si="115"/>
        <v>0.40748771498771486</v>
      </c>
      <c r="X38" s="105" t="s">
        <v>78</v>
      </c>
      <c r="Y38" s="107">
        <f>$Y$9*B17/(100*$D$12)</f>
        <v>0.1740703931203931</v>
      </c>
      <c r="Z38" s="107">
        <f t="shared" ref="Z38" si="117">$Y$9*C17/(100*$D$12)</f>
        <v>0.2204891646191646</v>
      </c>
      <c r="AA38" s="107">
        <f t="shared" ref="AA38" si="118">$Y$9*D17/(100*$D$12)</f>
        <v>0.27851262899262896</v>
      </c>
      <c r="AB38" s="107">
        <f t="shared" ref="AB38" si="119">$Y$9*E17/(100*$D$12)</f>
        <v>0.29591966830466826</v>
      </c>
      <c r="AC38" s="107">
        <f t="shared" ref="AC38" si="120">$Y$9*F17/(100*$D$12)</f>
        <v>0.31912905405405395</v>
      </c>
      <c r="AD38" s="107">
        <f t="shared" ref="AD38" si="121">$Y$9*G17/(100*$D$12)</f>
        <v>0.29011732186732181</v>
      </c>
      <c r="AE38" s="107">
        <f t="shared" ref="AE38" si="122">$Y$9*H17/(100*$D$12)</f>
        <v>0.29011732186732181</v>
      </c>
      <c r="AF38" s="107">
        <f t="shared" ref="AF38" si="123">$Y$9*I17/(100*$D$12)</f>
        <v>0.29011732186732181</v>
      </c>
      <c r="AG38" s="107">
        <f t="shared" ref="AG38" si="124">$Y$9*J17/(100*$D$12)</f>
        <v>0.29011732186732181</v>
      </c>
      <c r="AH38" s="107">
        <f t="shared" ref="AH38" si="125">$Y$9*K17/(100*$D$12)</f>
        <v>0.29011732186732181</v>
      </c>
      <c r="AI38" s="107">
        <f t="shared" ref="AI38" si="126">$Y$9*L17/(100*$D$12)</f>
        <v>0.26110558968058961</v>
      </c>
      <c r="AJ38" s="107">
        <f t="shared" ref="AJ38" si="127">$Y$9*M17/(100*$D$12)</f>
        <v>0.26110558968058961</v>
      </c>
      <c r="AK38" s="107">
        <f t="shared" ref="AK38" si="128">$Y$9*N17/(100*$D$12)</f>
        <v>0.26110558968058961</v>
      </c>
      <c r="AL38" s="107">
        <f t="shared" ref="AL38" si="129">$Y$9*O17/(100*$D$12)</f>
        <v>0.26110558968058961</v>
      </c>
      <c r="AM38" s="107">
        <f t="shared" ref="AM38" si="130">$Y$9*P17/(100*$D$12)</f>
        <v>0.26110558968058961</v>
      </c>
      <c r="AN38" s="107">
        <f t="shared" ref="AN38" si="131">$Y$9*Q17/(100*$D$12)</f>
        <v>0.26110558968058961</v>
      </c>
      <c r="AO38" s="107">
        <f t="shared" ref="AO38" si="132">$Y$9*R17/(100*$D$12)</f>
        <v>0.26110558968058961</v>
      </c>
      <c r="AP38" s="107">
        <f t="shared" ref="AP38" si="133">$Y$9*S17/(100*$D$12)</f>
        <v>0.26110558968058961</v>
      </c>
      <c r="AQ38" s="107">
        <f t="shared" ref="AQ38" si="134">$Y$9*T17/(100*$D$12)</f>
        <v>0.26110558968058961</v>
      </c>
      <c r="AR38" s="107">
        <f t="shared" ref="AR38" si="135">$Y$9*U17/(100*$D$12)</f>
        <v>0.26110558968058961</v>
      </c>
      <c r="AS38" s="107">
        <f t="shared" ref="AS38" si="136">$Y$9*V17/(100*$D$12)</f>
        <v>0.26110558968058961</v>
      </c>
    </row>
    <row r="39" spans="1:45" s="49" customFormat="1" x14ac:dyDescent="0.3">
      <c r="A39" s="104" t="s">
        <v>92</v>
      </c>
      <c r="X39" s="104" t="s">
        <v>92</v>
      </c>
    </row>
    <row r="40" spans="1:45" s="49" customFormat="1" x14ac:dyDescent="0.3">
      <c r="A40" s="105" t="s">
        <v>77</v>
      </c>
      <c r="B40" s="107">
        <f>$F$10*B16/(100*$D$12)</f>
        <v>4.9017199017198906E-2</v>
      </c>
      <c r="C40" s="107">
        <f t="shared" ref="C40:V41" si="137">$F$10*C16/(100*$D$12)</f>
        <v>6.1916461916461905E-2</v>
      </c>
      <c r="D40" s="107">
        <f t="shared" si="137"/>
        <v>8.2039312039312029E-2</v>
      </c>
      <c r="E40" s="107">
        <f t="shared" si="137"/>
        <v>0.10680589680589679</v>
      </c>
      <c r="F40" s="107">
        <f t="shared" si="137"/>
        <v>0.10835380835380834</v>
      </c>
      <c r="G40" s="107">
        <f t="shared" si="137"/>
        <v>0.1006142506142506</v>
      </c>
      <c r="H40" s="107">
        <f t="shared" si="137"/>
        <v>0.1006142506142506</v>
      </c>
      <c r="I40" s="107">
        <f t="shared" si="137"/>
        <v>0.1006142506142506</v>
      </c>
      <c r="J40" s="107">
        <f t="shared" si="137"/>
        <v>0.1006142506142506</v>
      </c>
      <c r="K40" s="107">
        <f t="shared" si="137"/>
        <v>9.2874692874692868E-2</v>
      </c>
      <c r="L40" s="107">
        <f t="shared" si="137"/>
        <v>9.2874692874692868E-2</v>
      </c>
      <c r="M40" s="107">
        <f t="shared" si="137"/>
        <v>9.2874692874692868E-2</v>
      </c>
      <c r="N40" s="107">
        <f t="shared" si="137"/>
        <v>9.2874692874692868E-2</v>
      </c>
      <c r="O40" s="107">
        <f t="shared" si="137"/>
        <v>8.5135135135135126E-2</v>
      </c>
      <c r="P40" s="107">
        <f t="shared" si="137"/>
        <v>8.5135135135135126E-2</v>
      </c>
      <c r="Q40" s="107">
        <f t="shared" si="137"/>
        <v>8.5135135135135126E-2</v>
      </c>
      <c r="R40" s="107">
        <f t="shared" si="137"/>
        <v>8.5135135135135126E-2</v>
      </c>
      <c r="S40" s="107">
        <f t="shared" si="137"/>
        <v>8.5135135135135126E-2</v>
      </c>
      <c r="T40" s="107">
        <f t="shared" si="137"/>
        <v>8.5135135135135126E-2</v>
      </c>
      <c r="U40" s="107">
        <f t="shared" si="137"/>
        <v>8.5135135135135126E-2</v>
      </c>
      <c r="V40" s="107">
        <f t="shared" si="137"/>
        <v>8.5135135135135126E-2</v>
      </c>
      <c r="X40" s="105" t="s">
        <v>77</v>
      </c>
      <c r="Y40" s="107">
        <f>$Y$10*B16/(100*$D$12)</f>
        <v>7.3905681818181648E-2</v>
      </c>
      <c r="Z40" s="107">
        <f t="shared" ref="Z40:AS40" si="138">$Y$10*C16/(100*$D$12)</f>
        <v>9.3354545454545426E-2</v>
      </c>
      <c r="AA40" s="107">
        <f t="shared" si="138"/>
        <v>0.12369477272727269</v>
      </c>
      <c r="AB40" s="107">
        <f t="shared" si="138"/>
        <v>0.16103659090909087</v>
      </c>
      <c r="AC40" s="107">
        <f t="shared" si="138"/>
        <v>0.16337045454545451</v>
      </c>
      <c r="AD40" s="107">
        <f t="shared" si="138"/>
        <v>0.15170113636363636</v>
      </c>
      <c r="AE40" s="107">
        <f t="shared" si="138"/>
        <v>0.15170113636363636</v>
      </c>
      <c r="AF40" s="107">
        <f t="shared" si="138"/>
        <v>0.15170113636363636</v>
      </c>
      <c r="AG40" s="107">
        <f t="shared" si="138"/>
        <v>0.15170113636363636</v>
      </c>
      <c r="AH40" s="107">
        <f t="shared" si="138"/>
        <v>0.14003181818181815</v>
      </c>
      <c r="AI40" s="107">
        <f t="shared" si="138"/>
        <v>0.14003181818181815</v>
      </c>
      <c r="AJ40" s="107">
        <f t="shared" si="138"/>
        <v>0.14003181818181815</v>
      </c>
      <c r="AK40" s="107">
        <f t="shared" si="138"/>
        <v>0.14003181818181815</v>
      </c>
      <c r="AL40" s="107">
        <f t="shared" si="138"/>
        <v>0.12836249999999999</v>
      </c>
      <c r="AM40" s="107">
        <f t="shared" si="138"/>
        <v>0.12836249999999999</v>
      </c>
      <c r="AN40" s="107">
        <f t="shared" si="138"/>
        <v>0.12836249999999999</v>
      </c>
      <c r="AO40" s="107">
        <f t="shared" si="138"/>
        <v>0.12836249999999999</v>
      </c>
      <c r="AP40" s="107">
        <f t="shared" si="138"/>
        <v>0.12836249999999999</v>
      </c>
      <c r="AQ40" s="107">
        <f t="shared" si="138"/>
        <v>0.12836249999999999</v>
      </c>
      <c r="AR40" s="107">
        <f t="shared" si="138"/>
        <v>0.12836249999999999</v>
      </c>
      <c r="AS40" s="107">
        <f t="shared" si="138"/>
        <v>0.12836249999999999</v>
      </c>
    </row>
    <row r="41" spans="1:45" s="49" customFormat="1" x14ac:dyDescent="0.3">
      <c r="A41" s="105" t="s">
        <v>78</v>
      </c>
      <c r="B41" s="107">
        <f>$F$10*B17/(100*$D$12)</f>
        <v>4.6437346437346434E-2</v>
      </c>
      <c r="C41" s="107">
        <f t="shared" si="137"/>
        <v>5.8820638820638815E-2</v>
      </c>
      <c r="D41" s="107">
        <f t="shared" si="137"/>
        <v>7.42997542997543E-2</v>
      </c>
      <c r="E41" s="107">
        <f t="shared" si="137"/>
        <v>7.8943488943488946E-2</v>
      </c>
      <c r="F41" s="107">
        <f t="shared" si="137"/>
        <v>8.5135135135135126E-2</v>
      </c>
      <c r="G41" s="107">
        <f t="shared" si="137"/>
        <v>7.7395577395577383E-2</v>
      </c>
      <c r="H41" s="107">
        <f t="shared" si="137"/>
        <v>7.7395577395577383E-2</v>
      </c>
      <c r="I41" s="107">
        <f t="shared" si="137"/>
        <v>7.7395577395577383E-2</v>
      </c>
      <c r="J41" s="107">
        <f t="shared" si="137"/>
        <v>7.7395577395577383E-2</v>
      </c>
      <c r="K41" s="107">
        <f t="shared" si="137"/>
        <v>7.7395577395577383E-2</v>
      </c>
      <c r="L41" s="107">
        <f t="shared" si="137"/>
        <v>6.9656019656019641E-2</v>
      </c>
      <c r="M41" s="107">
        <f t="shared" si="137"/>
        <v>6.9656019656019641E-2</v>
      </c>
      <c r="N41" s="107">
        <f t="shared" si="137"/>
        <v>6.9656019656019641E-2</v>
      </c>
      <c r="O41" s="107">
        <f t="shared" si="137"/>
        <v>6.9656019656019641E-2</v>
      </c>
      <c r="P41" s="107">
        <f t="shared" si="137"/>
        <v>6.9656019656019641E-2</v>
      </c>
      <c r="Q41" s="107">
        <f t="shared" si="137"/>
        <v>6.9656019656019641E-2</v>
      </c>
      <c r="R41" s="107">
        <f t="shared" si="137"/>
        <v>6.9656019656019641E-2</v>
      </c>
      <c r="S41" s="107">
        <f t="shared" si="137"/>
        <v>6.9656019656019641E-2</v>
      </c>
      <c r="T41" s="107">
        <f t="shared" si="137"/>
        <v>6.9656019656019641E-2</v>
      </c>
      <c r="U41" s="107">
        <f t="shared" si="137"/>
        <v>6.9656019656019641E-2</v>
      </c>
      <c r="V41" s="107">
        <f t="shared" si="137"/>
        <v>6.9656019656019641E-2</v>
      </c>
      <c r="X41" s="105" t="s">
        <v>78</v>
      </c>
      <c r="Y41" s="107">
        <f>$Y$10*B17/(100*$D$12)</f>
        <v>7.0015909090909073E-2</v>
      </c>
      <c r="Z41" s="107">
        <f t="shared" ref="Z41" si="139">$Y$10*C17/(100*$D$12)</f>
        <v>8.8686818181818172E-2</v>
      </c>
      <c r="AA41" s="107">
        <f t="shared" ref="AA41" si="140">$Y$10*D17/(100*$D$12)</f>
        <v>0.11202545454545454</v>
      </c>
      <c r="AB41" s="107">
        <f t="shared" ref="AB41" si="141">$Y$10*E17/(100*$D$12)</f>
        <v>0.11902704545454545</v>
      </c>
      <c r="AC41" s="107">
        <f t="shared" ref="AC41" si="142">$Y$10*F17/(100*$D$12)</f>
        <v>0.12836249999999999</v>
      </c>
      <c r="AD41" s="107">
        <f t="shared" ref="AD41" si="143">$Y$10*G17/(100*$D$12)</f>
        <v>0.11669318181818181</v>
      </c>
      <c r="AE41" s="107">
        <f t="shared" ref="AE41" si="144">$Y$10*H17/(100*$D$12)</f>
        <v>0.11669318181818181</v>
      </c>
      <c r="AF41" s="107">
        <f t="shared" ref="AF41" si="145">$Y$10*I17/(100*$D$12)</f>
        <v>0.11669318181818181</v>
      </c>
      <c r="AG41" s="107">
        <f t="shared" ref="AG41" si="146">$Y$10*J17/(100*$D$12)</f>
        <v>0.11669318181818181</v>
      </c>
      <c r="AH41" s="107">
        <f t="shared" ref="AH41" si="147">$Y$10*K17/(100*$D$12)</f>
        <v>0.11669318181818181</v>
      </c>
      <c r="AI41" s="107">
        <f t="shared" ref="AI41" si="148">$Y$10*L17/(100*$D$12)</f>
        <v>0.10502386363636362</v>
      </c>
      <c r="AJ41" s="107">
        <f t="shared" ref="AJ41" si="149">$Y$10*M17/(100*$D$12)</f>
        <v>0.10502386363636362</v>
      </c>
      <c r="AK41" s="107">
        <f t="shared" ref="AK41" si="150">$Y$10*N17/(100*$D$12)</f>
        <v>0.10502386363636362</v>
      </c>
      <c r="AL41" s="107">
        <f t="shared" ref="AL41" si="151">$Y$10*O17/(100*$D$12)</f>
        <v>0.10502386363636362</v>
      </c>
      <c r="AM41" s="107">
        <f t="shared" ref="AM41" si="152">$Y$10*P17/(100*$D$12)</f>
        <v>0.10502386363636362</v>
      </c>
      <c r="AN41" s="107">
        <f t="shared" ref="AN41" si="153">$Y$10*Q17/(100*$D$12)</f>
        <v>0.10502386363636362</v>
      </c>
      <c r="AO41" s="107">
        <f t="shared" ref="AO41" si="154">$Y$10*R17/(100*$D$12)</f>
        <v>0.10502386363636362</v>
      </c>
      <c r="AP41" s="107">
        <f t="shared" ref="AP41" si="155">$Y$10*S17/(100*$D$12)</f>
        <v>0.10502386363636362</v>
      </c>
      <c r="AQ41" s="107">
        <f t="shared" ref="AQ41" si="156">$Y$10*T17/(100*$D$12)</f>
        <v>0.10502386363636362</v>
      </c>
      <c r="AR41" s="107">
        <f t="shared" ref="AR41" si="157">$Y$10*U17/(100*$D$12)</f>
        <v>0.10502386363636362</v>
      </c>
      <c r="AS41" s="107">
        <f t="shared" ref="AS41" si="158">$Y$10*V17/(100*$D$12)</f>
        <v>0.10502386363636362</v>
      </c>
    </row>
    <row r="42" spans="1:45" s="49" customFormat="1" x14ac:dyDescent="0.3">
      <c r="A42" s="108" t="s">
        <v>85</v>
      </c>
      <c r="B42" s="107"/>
      <c r="C42" s="107"/>
      <c r="D42" s="107"/>
      <c r="E42" s="107"/>
      <c r="F42" s="107"/>
      <c r="G42" s="107"/>
      <c r="H42" s="107"/>
      <c r="I42" s="107"/>
      <c r="J42" s="107"/>
      <c r="K42" s="107"/>
      <c r="L42" s="107"/>
      <c r="M42" s="107"/>
      <c r="N42" s="107"/>
      <c r="O42" s="107"/>
      <c r="P42" s="107"/>
      <c r="Q42" s="107"/>
      <c r="R42" s="107"/>
      <c r="S42" s="107"/>
      <c r="T42" s="107"/>
      <c r="U42" s="107"/>
      <c r="V42" s="107"/>
      <c r="X42" s="108" t="s">
        <v>85</v>
      </c>
      <c r="Y42" s="107"/>
      <c r="Z42" s="107"/>
      <c r="AA42" s="107"/>
      <c r="AB42" s="107"/>
      <c r="AC42" s="107"/>
      <c r="AD42" s="107"/>
      <c r="AE42" s="107"/>
      <c r="AF42" s="107"/>
      <c r="AG42" s="107"/>
      <c r="AH42" s="107"/>
      <c r="AI42" s="107"/>
      <c r="AJ42" s="107"/>
      <c r="AK42" s="107"/>
      <c r="AL42" s="107"/>
      <c r="AM42" s="107"/>
      <c r="AN42" s="107"/>
      <c r="AO42" s="107"/>
      <c r="AP42" s="107"/>
      <c r="AQ42" s="107"/>
      <c r="AR42" s="107"/>
      <c r="AS42" s="107"/>
    </row>
    <row r="43" spans="1:45" s="49" customFormat="1" x14ac:dyDescent="0.3">
      <c r="A43" s="105" t="s">
        <v>77</v>
      </c>
      <c r="B43" s="107">
        <f>$F$11*B16/(100*$D$12)</f>
        <v>0.15930589680589646</v>
      </c>
      <c r="C43" s="107">
        <f t="shared" ref="C43:V44" si="159">$F$11*C16/(100*$D$12)</f>
        <v>0.20122850122850119</v>
      </c>
      <c r="D43" s="107">
        <f t="shared" si="159"/>
        <v>0.26662776412776407</v>
      </c>
      <c r="E43" s="107">
        <f t="shared" si="159"/>
        <v>0.34711916461916459</v>
      </c>
      <c r="F43" s="107">
        <f t="shared" si="159"/>
        <v>0.35214987714987711</v>
      </c>
      <c r="G43" s="107">
        <f t="shared" si="159"/>
        <v>0.3269963144963145</v>
      </c>
      <c r="H43" s="107">
        <f t="shared" si="159"/>
        <v>0.3269963144963145</v>
      </c>
      <c r="I43" s="107">
        <f t="shared" si="159"/>
        <v>0.3269963144963145</v>
      </c>
      <c r="J43" s="107">
        <f t="shared" si="159"/>
        <v>0.3269963144963145</v>
      </c>
      <c r="K43" s="107">
        <f t="shared" si="159"/>
        <v>0.30184275184275183</v>
      </c>
      <c r="L43" s="107">
        <f t="shared" si="159"/>
        <v>0.30184275184275183</v>
      </c>
      <c r="M43" s="107">
        <f t="shared" si="159"/>
        <v>0.30184275184275183</v>
      </c>
      <c r="N43" s="107">
        <f t="shared" si="159"/>
        <v>0.30184275184275183</v>
      </c>
      <c r="O43" s="107">
        <f t="shared" si="159"/>
        <v>0.27668918918918917</v>
      </c>
      <c r="P43" s="107">
        <f t="shared" si="159"/>
        <v>0.27668918918918917</v>
      </c>
      <c r="Q43" s="107">
        <f t="shared" si="159"/>
        <v>0.27668918918918917</v>
      </c>
      <c r="R43" s="107">
        <f t="shared" si="159"/>
        <v>0.27668918918918917</v>
      </c>
      <c r="S43" s="107">
        <f t="shared" si="159"/>
        <v>0.27668918918918917</v>
      </c>
      <c r="T43" s="107">
        <f t="shared" si="159"/>
        <v>0.27668918918918917</v>
      </c>
      <c r="U43" s="107">
        <f t="shared" si="159"/>
        <v>0.27668918918918917</v>
      </c>
      <c r="V43" s="107">
        <f t="shared" si="159"/>
        <v>0.27668918918918917</v>
      </c>
      <c r="W43" s="107"/>
      <c r="X43" s="105" t="s">
        <v>77</v>
      </c>
      <c r="Y43" s="107">
        <f>$Y$11*B16/(100*$D$12)</f>
        <v>0.23546636977886926</v>
      </c>
      <c r="Z43" s="107">
        <f t="shared" ref="Z43:AS43" si="160">$Y$11*C16/(100*$D$12)</f>
        <v>0.29743120393120387</v>
      </c>
      <c r="AA43" s="107">
        <f t="shared" si="160"/>
        <v>0.39409634520884512</v>
      </c>
      <c r="AB43" s="107">
        <f t="shared" si="160"/>
        <v>0.5130688267813267</v>
      </c>
      <c r="AC43" s="107">
        <f t="shared" si="160"/>
        <v>0.52050460687960687</v>
      </c>
      <c r="AD43" s="107">
        <f t="shared" si="160"/>
        <v>0.48332570638820632</v>
      </c>
      <c r="AE43" s="107">
        <f t="shared" si="160"/>
        <v>0.48332570638820632</v>
      </c>
      <c r="AF43" s="107">
        <f t="shared" si="160"/>
        <v>0.48332570638820632</v>
      </c>
      <c r="AG43" s="107">
        <f t="shared" si="160"/>
        <v>0.48332570638820632</v>
      </c>
      <c r="AH43" s="107">
        <f t="shared" si="160"/>
        <v>0.44614680589680583</v>
      </c>
      <c r="AI43" s="107">
        <f t="shared" si="160"/>
        <v>0.44614680589680583</v>
      </c>
      <c r="AJ43" s="107">
        <f t="shared" si="160"/>
        <v>0.44614680589680583</v>
      </c>
      <c r="AK43" s="107">
        <f t="shared" si="160"/>
        <v>0.44614680589680583</v>
      </c>
      <c r="AL43" s="107">
        <f t="shared" si="160"/>
        <v>0.40896790540540534</v>
      </c>
      <c r="AM43" s="107">
        <f t="shared" si="160"/>
        <v>0.40896790540540534</v>
      </c>
      <c r="AN43" s="107">
        <f t="shared" si="160"/>
        <v>0.40896790540540534</v>
      </c>
      <c r="AO43" s="107">
        <f t="shared" si="160"/>
        <v>0.40896790540540534</v>
      </c>
      <c r="AP43" s="107">
        <f t="shared" si="160"/>
        <v>0.40896790540540534</v>
      </c>
      <c r="AQ43" s="107">
        <f t="shared" si="160"/>
        <v>0.40896790540540534</v>
      </c>
      <c r="AR43" s="107">
        <f t="shared" si="160"/>
        <v>0.40896790540540534</v>
      </c>
      <c r="AS43" s="107">
        <f t="shared" si="160"/>
        <v>0.40896790540540534</v>
      </c>
    </row>
    <row r="44" spans="1:45" s="49" customFormat="1" x14ac:dyDescent="0.3">
      <c r="A44" s="105" t="s">
        <v>78</v>
      </c>
      <c r="B44" s="107">
        <f>$F$11*B17/(100*$D$12)</f>
        <v>0.15092137592137592</v>
      </c>
      <c r="C44" s="107">
        <f t="shared" si="159"/>
        <v>0.19116707616707615</v>
      </c>
      <c r="D44" s="107">
        <f t="shared" si="159"/>
        <v>0.24147420147420146</v>
      </c>
      <c r="E44" s="107">
        <f t="shared" si="159"/>
        <v>0.25656633906633908</v>
      </c>
      <c r="F44" s="107">
        <f>$F$11*F17/(100*$D$12)</f>
        <v>0.27668918918918917</v>
      </c>
      <c r="G44" s="107">
        <f t="shared" si="159"/>
        <v>0.2515356265356265</v>
      </c>
      <c r="H44" s="107">
        <f t="shared" si="159"/>
        <v>0.2515356265356265</v>
      </c>
      <c r="I44" s="107">
        <f t="shared" si="159"/>
        <v>0.2515356265356265</v>
      </c>
      <c r="J44" s="107">
        <f t="shared" si="159"/>
        <v>0.2515356265356265</v>
      </c>
      <c r="K44" s="107">
        <f t="shared" si="159"/>
        <v>0.2515356265356265</v>
      </c>
      <c r="L44" s="107">
        <f t="shared" si="159"/>
        <v>0.22638206388206383</v>
      </c>
      <c r="M44" s="107">
        <f t="shared" si="159"/>
        <v>0.22638206388206383</v>
      </c>
      <c r="N44" s="107">
        <f t="shared" si="159"/>
        <v>0.22638206388206383</v>
      </c>
      <c r="O44" s="107">
        <f t="shared" si="159"/>
        <v>0.22638206388206383</v>
      </c>
      <c r="P44" s="107">
        <f t="shared" si="159"/>
        <v>0.22638206388206383</v>
      </c>
      <c r="Q44" s="107">
        <f t="shared" si="159"/>
        <v>0.22638206388206383</v>
      </c>
      <c r="R44" s="107">
        <f t="shared" si="159"/>
        <v>0.22638206388206383</v>
      </c>
      <c r="S44" s="107">
        <f t="shared" si="159"/>
        <v>0.22638206388206383</v>
      </c>
      <c r="T44" s="107">
        <f t="shared" si="159"/>
        <v>0.22638206388206383</v>
      </c>
      <c r="U44" s="107">
        <f t="shared" si="159"/>
        <v>0.22638206388206383</v>
      </c>
      <c r="V44" s="107">
        <f t="shared" si="159"/>
        <v>0.22638206388206383</v>
      </c>
      <c r="X44" s="105" t="s">
        <v>78</v>
      </c>
      <c r="Y44" s="107">
        <f>$Y$11*B17/(100*$D$12)</f>
        <v>0.22307340294840292</v>
      </c>
      <c r="Z44" s="107">
        <f t="shared" ref="Z44" si="161">$Y$11*C17/(100*$D$12)</f>
        <v>0.28255964373464371</v>
      </c>
      <c r="AA44" s="107">
        <f t="shared" ref="AA44" si="162">$Y$11*D17/(100*$D$12)</f>
        <v>0.35691744471744469</v>
      </c>
      <c r="AB44" s="107">
        <f t="shared" ref="AB44" si="163">$Y$11*E17/(100*$D$12)</f>
        <v>0.37922478501228502</v>
      </c>
      <c r="AC44" s="107">
        <f t="shared" ref="AC44" si="164">$Y$11*F17/(100*$D$12)</f>
        <v>0.40896790540540534</v>
      </c>
      <c r="AD44" s="107">
        <f t="shared" ref="AD44" si="165">$Y$11*G17/(100*$D$12)</f>
        <v>0.37178900491400485</v>
      </c>
      <c r="AE44" s="107">
        <f t="shared" ref="AE44" si="166">$Y$11*H17/(100*$D$12)</f>
        <v>0.37178900491400485</v>
      </c>
      <c r="AF44" s="107">
        <f t="shared" ref="AF44" si="167">$Y$11*I17/(100*$D$12)</f>
        <v>0.37178900491400485</v>
      </c>
      <c r="AG44" s="107">
        <f t="shared" ref="AG44" si="168">$Y$11*J17/(100*$D$12)</f>
        <v>0.37178900491400485</v>
      </c>
      <c r="AH44" s="107">
        <f t="shared" ref="AH44" si="169">$Y$11*K17/(100*$D$12)</f>
        <v>0.37178900491400485</v>
      </c>
      <c r="AI44" s="107">
        <f t="shared" ref="AI44" si="170">$Y$11*L17/(100*$D$12)</f>
        <v>0.33461010442260436</v>
      </c>
      <c r="AJ44" s="107">
        <f t="shared" ref="AJ44" si="171">$Y$11*M17/(100*$D$12)</f>
        <v>0.33461010442260436</v>
      </c>
      <c r="AK44" s="107">
        <f t="shared" ref="AK44" si="172">$Y$11*N17/(100*$D$12)</f>
        <v>0.33461010442260436</v>
      </c>
      <c r="AL44" s="107">
        <f t="shared" ref="AL44" si="173">$Y$11*O17/(100*$D$12)</f>
        <v>0.33461010442260436</v>
      </c>
      <c r="AM44" s="107">
        <f t="shared" ref="AM44" si="174">$Y$11*P17/(100*$D$12)</f>
        <v>0.33461010442260436</v>
      </c>
      <c r="AN44" s="107">
        <f t="shared" ref="AN44" si="175">$Y$11*Q17/(100*$D$12)</f>
        <v>0.33461010442260436</v>
      </c>
      <c r="AO44" s="107">
        <f t="shared" ref="AO44" si="176">$Y$11*R17/(100*$D$12)</f>
        <v>0.33461010442260436</v>
      </c>
      <c r="AP44" s="107">
        <f t="shared" ref="AP44" si="177">$Y$11*S17/(100*$D$12)</f>
        <v>0.33461010442260436</v>
      </c>
      <c r="AQ44" s="107">
        <f t="shared" ref="AQ44" si="178">$Y$11*T17/(100*$D$12)</f>
        <v>0.33461010442260436</v>
      </c>
      <c r="AR44" s="107">
        <f t="shared" ref="AR44" si="179">$Y$11*U17/(100*$D$12)</f>
        <v>0.33461010442260436</v>
      </c>
      <c r="AS44" s="107">
        <f t="shared" ref="AS44" si="180">$Y$11*V17/(100*$D$12)</f>
        <v>0.33461010442260436</v>
      </c>
    </row>
    <row r="45" spans="1:45" x14ac:dyDescent="0.3">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row>
    <row r="46" spans="1:45" x14ac:dyDescent="0.3">
      <c r="A46" s="103" t="s">
        <v>91</v>
      </c>
      <c r="B46" s="49"/>
      <c r="C46" s="49"/>
      <c r="D46" s="49"/>
      <c r="E46" s="49"/>
      <c r="F46" s="49"/>
      <c r="G46" s="49"/>
      <c r="H46" s="49"/>
      <c r="I46" s="49"/>
      <c r="J46" s="49"/>
      <c r="K46" s="49"/>
      <c r="L46" s="49"/>
      <c r="M46" s="49"/>
      <c r="N46" s="49"/>
      <c r="O46" s="49"/>
      <c r="P46" s="49"/>
      <c r="Q46" s="49"/>
      <c r="R46" s="49"/>
      <c r="S46" s="49"/>
      <c r="T46" s="49"/>
      <c r="U46" s="49"/>
      <c r="V46" s="49"/>
      <c r="W46" s="49"/>
      <c r="X46" s="103" t="s">
        <v>186</v>
      </c>
      <c r="Y46" s="49"/>
      <c r="Z46" s="49"/>
      <c r="AA46" s="49"/>
      <c r="AB46" s="49"/>
      <c r="AC46" s="49"/>
      <c r="AD46" s="49"/>
      <c r="AE46" s="49"/>
      <c r="AF46" s="49"/>
      <c r="AG46" s="49"/>
      <c r="AH46" s="49"/>
      <c r="AI46" s="49"/>
      <c r="AJ46" s="49"/>
      <c r="AK46" s="49"/>
      <c r="AL46" s="49"/>
      <c r="AM46" s="49"/>
      <c r="AN46" s="49"/>
      <c r="AO46" s="49"/>
      <c r="AP46" s="49"/>
      <c r="AQ46" s="49"/>
      <c r="AR46" s="49"/>
      <c r="AS46" s="49"/>
    </row>
    <row r="47" spans="1:45" x14ac:dyDescent="0.3">
      <c r="A47" s="104" t="s">
        <v>82</v>
      </c>
      <c r="B47" s="105" t="s">
        <v>51</v>
      </c>
      <c r="C47" s="105" t="s">
        <v>52</v>
      </c>
      <c r="D47" s="106" t="s">
        <v>53</v>
      </c>
      <c r="E47" s="106" t="s">
        <v>54</v>
      </c>
      <c r="F47" s="106" t="s">
        <v>55</v>
      </c>
      <c r="G47" s="106" t="s">
        <v>56</v>
      </c>
      <c r="H47" s="106" t="s">
        <v>57</v>
      </c>
      <c r="I47" s="106" t="s">
        <v>58</v>
      </c>
      <c r="J47" s="106" t="s">
        <v>59</v>
      </c>
      <c r="K47" s="106" t="s">
        <v>60</v>
      </c>
      <c r="L47" s="106" t="s">
        <v>61</v>
      </c>
      <c r="M47" s="106" t="s">
        <v>62</v>
      </c>
      <c r="N47" s="106" t="s">
        <v>63</v>
      </c>
      <c r="O47" s="106" t="s">
        <v>64</v>
      </c>
      <c r="P47" s="106" t="s">
        <v>65</v>
      </c>
      <c r="Q47" s="106" t="s">
        <v>66</v>
      </c>
      <c r="R47" s="106" t="s">
        <v>67</v>
      </c>
      <c r="S47" s="106" t="s">
        <v>68</v>
      </c>
      <c r="T47" s="106" t="s">
        <v>69</v>
      </c>
      <c r="U47" s="106" t="s">
        <v>70</v>
      </c>
      <c r="V47" s="106" t="s">
        <v>71</v>
      </c>
      <c r="W47" s="49"/>
      <c r="X47" s="104" t="s">
        <v>82</v>
      </c>
      <c r="Y47" s="105" t="s">
        <v>51</v>
      </c>
      <c r="Z47" s="105" t="s">
        <v>52</v>
      </c>
      <c r="AA47" s="106" t="s">
        <v>53</v>
      </c>
      <c r="AB47" s="106" t="s">
        <v>54</v>
      </c>
      <c r="AC47" s="106" t="s">
        <v>55</v>
      </c>
      <c r="AD47" s="106" t="s">
        <v>56</v>
      </c>
      <c r="AE47" s="106" t="s">
        <v>57</v>
      </c>
      <c r="AF47" s="106" t="s">
        <v>58</v>
      </c>
      <c r="AG47" s="106" t="s">
        <v>59</v>
      </c>
      <c r="AH47" s="106" t="s">
        <v>60</v>
      </c>
      <c r="AI47" s="106" t="s">
        <v>61</v>
      </c>
      <c r="AJ47" s="106" t="s">
        <v>62</v>
      </c>
      <c r="AK47" s="106" t="s">
        <v>63</v>
      </c>
      <c r="AL47" s="106" t="s">
        <v>64</v>
      </c>
      <c r="AM47" s="106" t="s">
        <v>65</v>
      </c>
      <c r="AN47" s="106" t="s">
        <v>66</v>
      </c>
      <c r="AO47" s="106" t="s">
        <v>67</v>
      </c>
      <c r="AP47" s="106" t="s">
        <v>68</v>
      </c>
      <c r="AQ47" s="106" t="s">
        <v>69</v>
      </c>
      <c r="AR47" s="106" t="s">
        <v>70</v>
      </c>
      <c r="AS47" s="106" t="s">
        <v>71</v>
      </c>
    </row>
    <row r="48" spans="1:45" x14ac:dyDescent="0.3">
      <c r="A48" s="105" t="s">
        <v>77</v>
      </c>
      <c r="B48" s="107">
        <f>$G$4*B16/(100*$D$12)</f>
        <v>0</v>
      </c>
      <c r="C48" s="107">
        <f>$G$4*C16/(100*$D$12)</f>
        <v>0</v>
      </c>
      <c r="D48" s="107">
        <f t="shared" ref="C48:V49" si="181">$G$4*D16/(100*$D$12)</f>
        <v>0</v>
      </c>
      <c r="E48" s="107">
        <f t="shared" si="181"/>
        <v>0</v>
      </c>
      <c r="F48" s="107">
        <f t="shared" si="181"/>
        <v>0</v>
      </c>
      <c r="G48" s="107">
        <f t="shared" si="181"/>
        <v>0</v>
      </c>
      <c r="H48" s="107">
        <f t="shared" si="181"/>
        <v>0</v>
      </c>
      <c r="I48" s="107">
        <f t="shared" si="181"/>
        <v>0</v>
      </c>
      <c r="J48" s="107">
        <f t="shared" si="181"/>
        <v>0</v>
      </c>
      <c r="K48" s="107">
        <f t="shared" si="181"/>
        <v>0</v>
      </c>
      <c r="L48" s="107">
        <f t="shared" si="181"/>
        <v>0</v>
      </c>
      <c r="M48" s="107">
        <f t="shared" si="181"/>
        <v>0</v>
      </c>
      <c r="N48" s="107">
        <f t="shared" si="181"/>
        <v>0</v>
      </c>
      <c r="O48" s="107">
        <f t="shared" si="181"/>
        <v>0</v>
      </c>
      <c r="P48" s="107">
        <f t="shared" si="181"/>
        <v>0</v>
      </c>
      <c r="Q48" s="107">
        <f t="shared" si="181"/>
        <v>0</v>
      </c>
      <c r="R48" s="107">
        <f t="shared" si="181"/>
        <v>0</v>
      </c>
      <c r="S48" s="107">
        <f t="shared" si="181"/>
        <v>0</v>
      </c>
      <c r="T48" s="107">
        <f t="shared" si="181"/>
        <v>0</v>
      </c>
      <c r="U48" s="107">
        <f t="shared" si="181"/>
        <v>0</v>
      </c>
      <c r="V48" s="107">
        <f>$G$4*V16/(100*$D$12)</f>
        <v>0</v>
      </c>
      <c r="W48" s="49"/>
      <c r="X48" s="105" t="s">
        <v>77</v>
      </c>
      <c r="Y48" s="107">
        <v>0</v>
      </c>
      <c r="Z48" s="107">
        <v>0</v>
      </c>
      <c r="AA48" s="107">
        <v>0</v>
      </c>
      <c r="AB48" s="107">
        <v>0</v>
      </c>
      <c r="AC48" s="107">
        <v>0</v>
      </c>
      <c r="AD48" s="107">
        <v>0</v>
      </c>
      <c r="AE48" s="107">
        <v>0</v>
      </c>
      <c r="AF48" s="107">
        <v>0</v>
      </c>
      <c r="AG48" s="107">
        <v>0</v>
      </c>
      <c r="AH48" s="107">
        <v>0</v>
      </c>
      <c r="AI48" s="107">
        <v>0</v>
      </c>
      <c r="AJ48" s="107">
        <v>0</v>
      </c>
      <c r="AK48" s="107">
        <v>0</v>
      </c>
      <c r="AL48" s="107">
        <v>0</v>
      </c>
      <c r="AM48" s="107">
        <v>0</v>
      </c>
      <c r="AN48" s="107">
        <v>0</v>
      </c>
      <c r="AO48" s="107">
        <v>0</v>
      </c>
      <c r="AP48" s="107">
        <v>0</v>
      </c>
      <c r="AQ48" s="107">
        <v>0</v>
      </c>
      <c r="AR48" s="107">
        <v>0</v>
      </c>
      <c r="AS48" s="107">
        <v>0</v>
      </c>
    </row>
    <row r="49" spans="1:45" x14ac:dyDescent="0.3">
      <c r="A49" s="105" t="s">
        <v>78</v>
      </c>
      <c r="B49" s="107">
        <f>$G$4*B17/(100*$D$12)</f>
        <v>0</v>
      </c>
      <c r="C49" s="107">
        <f t="shared" si="181"/>
        <v>0</v>
      </c>
      <c r="D49" s="107">
        <f t="shared" si="181"/>
        <v>0</v>
      </c>
      <c r="E49" s="107">
        <f t="shared" si="181"/>
        <v>0</v>
      </c>
      <c r="F49" s="107">
        <f t="shared" si="181"/>
        <v>0</v>
      </c>
      <c r="G49" s="107">
        <f t="shared" si="181"/>
        <v>0</v>
      </c>
      <c r="H49" s="107">
        <f t="shared" si="181"/>
        <v>0</v>
      </c>
      <c r="I49" s="107">
        <f t="shared" si="181"/>
        <v>0</v>
      </c>
      <c r="J49" s="107">
        <f t="shared" si="181"/>
        <v>0</v>
      </c>
      <c r="K49" s="107">
        <f t="shared" si="181"/>
        <v>0</v>
      </c>
      <c r="L49" s="107">
        <f t="shared" si="181"/>
        <v>0</v>
      </c>
      <c r="M49" s="107">
        <f t="shared" si="181"/>
        <v>0</v>
      </c>
      <c r="N49" s="107">
        <f t="shared" si="181"/>
        <v>0</v>
      </c>
      <c r="O49" s="107">
        <f t="shared" si="181"/>
        <v>0</v>
      </c>
      <c r="P49" s="107">
        <f t="shared" si="181"/>
        <v>0</v>
      </c>
      <c r="Q49" s="107">
        <f t="shared" si="181"/>
        <v>0</v>
      </c>
      <c r="R49" s="107">
        <f t="shared" si="181"/>
        <v>0</v>
      </c>
      <c r="S49" s="107">
        <f t="shared" si="181"/>
        <v>0</v>
      </c>
      <c r="T49" s="107">
        <f t="shared" si="181"/>
        <v>0</v>
      </c>
      <c r="U49" s="107">
        <f>$G$4*U17/(100*$D$12)</f>
        <v>0</v>
      </c>
      <c r="V49" s="107">
        <f t="shared" si="181"/>
        <v>0</v>
      </c>
      <c r="W49" s="49"/>
      <c r="X49" s="105" t="s">
        <v>78</v>
      </c>
      <c r="Y49" s="107">
        <v>0</v>
      </c>
      <c r="Z49" s="107">
        <v>0</v>
      </c>
      <c r="AA49" s="107">
        <v>0</v>
      </c>
      <c r="AB49" s="107">
        <v>0</v>
      </c>
      <c r="AC49" s="107">
        <v>0</v>
      </c>
      <c r="AD49" s="107">
        <v>0</v>
      </c>
      <c r="AE49" s="107">
        <v>0</v>
      </c>
      <c r="AF49" s="107">
        <v>0</v>
      </c>
      <c r="AG49" s="107">
        <v>0</v>
      </c>
      <c r="AH49" s="107">
        <v>0</v>
      </c>
      <c r="AI49" s="107">
        <v>0</v>
      </c>
      <c r="AJ49" s="107">
        <v>0</v>
      </c>
      <c r="AK49" s="107">
        <v>0</v>
      </c>
      <c r="AL49" s="107">
        <v>0</v>
      </c>
      <c r="AM49" s="107">
        <v>0</v>
      </c>
      <c r="AN49" s="107">
        <v>0</v>
      </c>
      <c r="AO49" s="107">
        <v>0</v>
      </c>
      <c r="AP49" s="107">
        <v>0</v>
      </c>
      <c r="AQ49" s="107">
        <v>0</v>
      </c>
      <c r="AR49" s="107">
        <v>0</v>
      </c>
      <c r="AS49" s="107">
        <v>0</v>
      </c>
    </row>
    <row r="50" spans="1:45" x14ac:dyDescent="0.3">
      <c r="A50" s="104" t="s">
        <v>83</v>
      </c>
      <c r="B50" s="49"/>
      <c r="C50" s="49"/>
      <c r="D50" s="49"/>
      <c r="E50" s="49"/>
      <c r="F50" s="49"/>
      <c r="G50" s="49"/>
      <c r="H50" s="49"/>
      <c r="I50" s="49"/>
      <c r="J50" s="49"/>
      <c r="K50" s="49"/>
      <c r="L50" s="49"/>
      <c r="M50" s="49"/>
      <c r="N50" s="49"/>
      <c r="O50" s="49"/>
      <c r="P50" s="49"/>
      <c r="Q50" s="49"/>
      <c r="R50" s="49"/>
      <c r="S50" s="49"/>
      <c r="T50" s="49"/>
      <c r="U50" s="49"/>
      <c r="V50" s="49"/>
      <c r="W50" s="49"/>
      <c r="X50" s="104" t="s">
        <v>83</v>
      </c>
      <c r="Y50" s="107"/>
      <c r="Z50" s="107"/>
      <c r="AA50" s="107"/>
      <c r="AB50" s="107"/>
      <c r="AC50" s="107"/>
      <c r="AD50" s="107"/>
      <c r="AE50" s="107"/>
      <c r="AF50" s="107"/>
      <c r="AG50" s="107"/>
      <c r="AH50" s="107"/>
      <c r="AI50" s="107"/>
      <c r="AJ50" s="107"/>
      <c r="AK50" s="107"/>
      <c r="AL50" s="107"/>
      <c r="AM50" s="107"/>
      <c r="AN50" s="107"/>
      <c r="AO50" s="107"/>
      <c r="AP50" s="107"/>
      <c r="AQ50" s="107"/>
      <c r="AR50" s="107"/>
      <c r="AS50" s="107"/>
    </row>
    <row r="51" spans="1:45" x14ac:dyDescent="0.3">
      <c r="A51" s="105" t="s">
        <v>77</v>
      </c>
      <c r="B51" s="107">
        <f>$G$5*B16/(100*$D$12)</f>
        <v>0</v>
      </c>
      <c r="C51" s="107">
        <f t="shared" ref="C51:V52" si="182">$G$5*C16/(100*$D$12)</f>
        <v>0</v>
      </c>
      <c r="D51" s="107">
        <f t="shared" si="182"/>
        <v>0</v>
      </c>
      <c r="E51" s="107">
        <f t="shared" si="182"/>
        <v>0</v>
      </c>
      <c r="F51" s="107">
        <f t="shared" si="182"/>
        <v>0</v>
      </c>
      <c r="G51" s="107">
        <f t="shared" si="182"/>
        <v>0</v>
      </c>
      <c r="H51" s="107">
        <f t="shared" si="182"/>
        <v>0</v>
      </c>
      <c r="I51" s="107">
        <f t="shared" si="182"/>
        <v>0</v>
      </c>
      <c r="J51" s="107">
        <f t="shared" si="182"/>
        <v>0</v>
      </c>
      <c r="K51" s="107">
        <f t="shared" si="182"/>
        <v>0</v>
      </c>
      <c r="L51" s="107">
        <f t="shared" si="182"/>
        <v>0</v>
      </c>
      <c r="M51" s="107">
        <f t="shared" si="182"/>
        <v>0</v>
      </c>
      <c r="N51" s="107">
        <f t="shared" si="182"/>
        <v>0</v>
      </c>
      <c r="O51" s="107">
        <f t="shared" si="182"/>
        <v>0</v>
      </c>
      <c r="P51" s="107">
        <f t="shared" si="182"/>
        <v>0</v>
      </c>
      <c r="Q51" s="107">
        <f t="shared" si="182"/>
        <v>0</v>
      </c>
      <c r="R51" s="107">
        <f t="shared" si="182"/>
        <v>0</v>
      </c>
      <c r="S51" s="107">
        <f t="shared" si="182"/>
        <v>0</v>
      </c>
      <c r="T51" s="107">
        <f t="shared" si="182"/>
        <v>0</v>
      </c>
      <c r="U51" s="107">
        <f t="shared" si="182"/>
        <v>0</v>
      </c>
      <c r="V51" s="107">
        <f t="shared" si="182"/>
        <v>0</v>
      </c>
      <c r="W51" s="49"/>
      <c r="X51" s="105" t="s">
        <v>77</v>
      </c>
      <c r="Y51" s="107">
        <v>0</v>
      </c>
      <c r="Z51" s="107">
        <v>0</v>
      </c>
      <c r="AA51" s="107">
        <v>0</v>
      </c>
      <c r="AB51" s="107">
        <v>0</v>
      </c>
      <c r="AC51" s="107">
        <v>0</v>
      </c>
      <c r="AD51" s="107">
        <v>0</v>
      </c>
      <c r="AE51" s="107">
        <v>0</v>
      </c>
      <c r="AF51" s="107">
        <v>0</v>
      </c>
      <c r="AG51" s="107">
        <v>0</v>
      </c>
      <c r="AH51" s="107">
        <v>0</v>
      </c>
      <c r="AI51" s="107">
        <v>0</v>
      </c>
      <c r="AJ51" s="107">
        <v>0</v>
      </c>
      <c r="AK51" s="107">
        <v>0</v>
      </c>
      <c r="AL51" s="107">
        <v>0</v>
      </c>
      <c r="AM51" s="107">
        <v>0</v>
      </c>
      <c r="AN51" s="107">
        <v>0</v>
      </c>
      <c r="AO51" s="107">
        <v>0</v>
      </c>
      <c r="AP51" s="107">
        <v>0</v>
      </c>
      <c r="AQ51" s="107">
        <v>0</v>
      </c>
      <c r="AR51" s="107">
        <v>0</v>
      </c>
      <c r="AS51" s="107">
        <v>0</v>
      </c>
    </row>
    <row r="52" spans="1:45" x14ac:dyDescent="0.3">
      <c r="A52" s="105" t="s">
        <v>78</v>
      </c>
      <c r="B52" s="107">
        <f>$G$5*B17/(100*$D$12)</f>
        <v>0</v>
      </c>
      <c r="C52" s="107">
        <f t="shared" si="182"/>
        <v>0</v>
      </c>
      <c r="D52" s="107">
        <f t="shared" si="182"/>
        <v>0</v>
      </c>
      <c r="E52" s="107">
        <f t="shared" si="182"/>
        <v>0</v>
      </c>
      <c r="F52" s="107">
        <f t="shared" si="182"/>
        <v>0</v>
      </c>
      <c r="G52" s="107">
        <f t="shared" si="182"/>
        <v>0</v>
      </c>
      <c r="H52" s="107">
        <f t="shared" si="182"/>
        <v>0</v>
      </c>
      <c r="I52" s="107">
        <f t="shared" si="182"/>
        <v>0</v>
      </c>
      <c r="J52" s="107">
        <f t="shared" si="182"/>
        <v>0</v>
      </c>
      <c r="K52" s="107">
        <f t="shared" si="182"/>
        <v>0</v>
      </c>
      <c r="L52" s="107">
        <f t="shared" si="182"/>
        <v>0</v>
      </c>
      <c r="M52" s="107">
        <f t="shared" si="182"/>
        <v>0</v>
      </c>
      <c r="N52" s="107">
        <f t="shared" si="182"/>
        <v>0</v>
      </c>
      <c r="O52" s="107">
        <f t="shared" si="182"/>
        <v>0</v>
      </c>
      <c r="P52" s="107">
        <f t="shared" si="182"/>
        <v>0</v>
      </c>
      <c r="Q52" s="107">
        <f t="shared" si="182"/>
        <v>0</v>
      </c>
      <c r="R52" s="107">
        <f t="shared" si="182"/>
        <v>0</v>
      </c>
      <c r="S52" s="107">
        <f t="shared" si="182"/>
        <v>0</v>
      </c>
      <c r="T52" s="107">
        <f t="shared" si="182"/>
        <v>0</v>
      </c>
      <c r="U52" s="107">
        <f t="shared" si="182"/>
        <v>0</v>
      </c>
      <c r="V52" s="107">
        <f t="shared" si="182"/>
        <v>0</v>
      </c>
      <c r="W52" s="49"/>
      <c r="X52" s="105" t="s">
        <v>78</v>
      </c>
      <c r="Y52" s="107">
        <v>0</v>
      </c>
      <c r="Z52" s="107">
        <v>0</v>
      </c>
      <c r="AA52" s="107">
        <v>0</v>
      </c>
      <c r="AB52" s="107">
        <v>0</v>
      </c>
      <c r="AC52" s="107">
        <v>0</v>
      </c>
      <c r="AD52" s="107">
        <v>0</v>
      </c>
      <c r="AE52" s="107">
        <v>0</v>
      </c>
      <c r="AF52" s="107">
        <v>0</v>
      </c>
      <c r="AG52" s="107">
        <v>0</v>
      </c>
      <c r="AH52" s="107">
        <v>0</v>
      </c>
      <c r="AI52" s="107">
        <v>0</v>
      </c>
      <c r="AJ52" s="107">
        <v>0</v>
      </c>
      <c r="AK52" s="107">
        <v>0</v>
      </c>
      <c r="AL52" s="107">
        <v>0</v>
      </c>
      <c r="AM52" s="107">
        <v>0</v>
      </c>
      <c r="AN52" s="107">
        <v>0</v>
      </c>
      <c r="AO52" s="107">
        <v>0</v>
      </c>
      <c r="AP52" s="107">
        <v>0</v>
      </c>
      <c r="AQ52" s="107">
        <v>0</v>
      </c>
      <c r="AR52" s="107">
        <v>0</v>
      </c>
      <c r="AS52" s="107">
        <v>0</v>
      </c>
    </row>
    <row r="53" spans="1:45" x14ac:dyDescent="0.3">
      <c r="A53" s="104" t="s">
        <v>6</v>
      </c>
      <c r="B53" s="49"/>
      <c r="C53" s="49"/>
      <c r="D53" s="49"/>
      <c r="E53" s="49"/>
      <c r="F53" s="49"/>
      <c r="G53" s="49"/>
      <c r="H53" s="49"/>
      <c r="I53" s="49"/>
      <c r="J53" s="49"/>
      <c r="K53" s="49"/>
      <c r="L53" s="49"/>
      <c r="M53" s="49"/>
      <c r="N53" s="49"/>
      <c r="O53" s="49"/>
      <c r="P53" s="49"/>
      <c r="Q53" s="49"/>
      <c r="R53" s="49"/>
      <c r="S53" s="49"/>
      <c r="T53" s="49"/>
      <c r="U53" s="49"/>
      <c r="V53" s="49"/>
      <c r="W53" s="49"/>
      <c r="X53" s="104" t="s">
        <v>6</v>
      </c>
      <c r="Y53" s="107"/>
      <c r="Z53" s="107"/>
      <c r="AA53" s="107"/>
      <c r="AB53" s="107"/>
      <c r="AC53" s="107"/>
      <c r="AD53" s="107"/>
      <c r="AE53" s="107"/>
      <c r="AF53" s="107"/>
      <c r="AG53" s="107"/>
      <c r="AH53" s="107"/>
      <c r="AI53" s="107"/>
      <c r="AJ53" s="107"/>
      <c r="AK53" s="107"/>
      <c r="AL53" s="107"/>
      <c r="AM53" s="107"/>
      <c r="AN53" s="107"/>
      <c r="AO53" s="107"/>
      <c r="AP53" s="107"/>
      <c r="AQ53" s="107"/>
      <c r="AR53" s="107"/>
      <c r="AS53" s="107"/>
    </row>
    <row r="54" spans="1:45" x14ac:dyDescent="0.3">
      <c r="A54" s="105" t="s">
        <v>77</v>
      </c>
      <c r="B54" s="107">
        <f>$G$6*B16/(100*$D$12)</f>
        <v>4.2890049140049041E-2</v>
      </c>
      <c r="C54" s="107">
        <f t="shared" ref="C54:V55" si="183">$G$6*C16/(100*$D$12)</f>
        <v>5.417690417690417E-2</v>
      </c>
      <c r="D54" s="107">
        <f t="shared" si="183"/>
        <v>7.1784398034398025E-2</v>
      </c>
      <c r="E54" s="107">
        <f t="shared" si="183"/>
        <v>9.3455159705159704E-2</v>
      </c>
      <c r="F54" s="107">
        <f t="shared" si="183"/>
        <v>9.4809582309582294E-2</v>
      </c>
      <c r="G54" s="107">
        <f t="shared" si="183"/>
        <v>8.8037469287469278E-2</v>
      </c>
      <c r="H54" s="107">
        <f t="shared" si="183"/>
        <v>8.8037469287469278E-2</v>
      </c>
      <c r="I54" s="107">
        <f t="shared" si="183"/>
        <v>8.8037469287469278E-2</v>
      </c>
      <c r="J54" s="107">
        <f t="shared" si="183"/>
        <v>8.8037469287469278E-2</v>
      </c>
      <c r="K54" s="107">
        <f t="shared" si="183"/>
        <v>8.1265356265356248E-2</v>
      </c>
      <c r="L54" s="107">
        <f t="shared" si="183"/>
        <v>8.1265356265356248E-2</v>
      </c>
      <c r="M54" s="107">
        <f t="shared" si="183"/>
        <v>8.1265356265356248E-2</v>
      </c>
      <c r="N54" s="107">
        <f t="shared" si="183"/>
        <v>8.1265356265356248E-2</v>
      </c>
      <c r="O54" s="107">
        <f t="shared" si="183"/>
        <v>7.4493243243243232E-2</v>
      </c>
      <c r="P54" s="107">
        <f t="shared" si="183"/>
        <v>7.4493243243243232E-2</v>
      </c>
      <c r="Q54" s="107">
        <f t="shared" si="183"/>
        <v>7.4493243243243232E-2</v>
      </c>
      <c r="R54" s="107">
        <f t="shared" si="183"/>
        <v>7.4493243243243232E-2</v>
      </c>
      <c r="S54" s="107">
        <f t="shared" si="183"/>
        <v>7.4493243243243232E-2</v>
      </c>
      <c r="T54" s="107">
        <f t="shared" si="183"/>
        <v>7.4493243243243232E-2</v>
      </c>
      <c r="U54" s="107">
        <f t="shared" si="183"/>
        <v>7.4493243243243232E-2</v>
      </c>
      <c r="V54" s="107">
        <f t="shared" si="183"/>
        <v>7.4493243243243232E-2</v>
      </c>
      <c r="W54" s="49"/>
      <c r="X54" s="105" t="s">
        <v>77</v>
      </c>
      <c r="Y54" s="107">
        <v>0</v>
      </c>
      <c r="Z54" s="107">
        <v>0</v>
      </c>
      <c r="AA54" s="107">
        <v>0</v>
      </c>
      <c r="AB54" s="107">
        <v>0</v>
      </c>
      <c r="AC54" s="107">
        <v>0</v>
      </c>
      <c r="AD54" s="107">
        <v>0</v>
      </c>
      <c r="AE54" s="107">
        <v>0</v>
      </c>
      <c r="AF54" s="107">
        <v>0</v>
      </c>
      <c r="AG54" s="107">
        <v>0</v>
      </c>
      <c r="AH54" s="107">
        <v>0</v>
      </c>
      <c r="AI54" s="107">
        <v>0</v>
      </c>
      <c r="AJ54" s="107">
        <v>0</v>
      </c>
      <c r="AK54" s="107">
        <v>0</v>
      </c>
      <c r="AL54" s="107">
        <v>0</v>
      </c>
      <c r="AM54" s="107">
        <v>0</v>
      </c>
      <c r="AN54" s="107">
        <v>0</v>
      </c>
      <c r="AO54" s="107">
        <v>0</v>
      </c>
      <c r="AP54" s="107">
        <v>0</v>
      </c>
      <c r="AQ54" s="107">
        <v>0</v>
      </c>
      <c r="AR54" s="107">
        <v>0</v>
      </c>
      <c r="AS54" s="107">
        <v>0</v>
      </c>
    </row>
    <row r="55" spans="1:45" x14ac:dyDescent="0.3">
      <c r="A55" s="105" t="s">
        <v>78</v>
      </c>
      <c r="B55" s="107">
        <f>$G$6*B17/(100*$D$12)</f>
        <v>4.0632678132678124E-2</v>
      </c>
      <c r="C55" s="107">
        <f t="shared" si="183"/>
        <v>5.1468058968058963E-2</v>
      </c>
      <c r="D55" s="107">
        <f t="shared" si="183"/>
        <v>6.5012285012285009E-2</v>
      </c>
      <c r="E55" s="107">
        <f t="shared" si="183"/>
        <v>6.9075552825552833E-2</v>
      </c>
      <c r="F55" s="107">
        <f t="shared" si="183"/>
        <v>7.4493243243243232E-2</v>
      </c>
      <c r="G55" s="107">
        <f t="shared" si="183"/>
        <v>6.7721130221130216E-2</v>
      </c>
      <c r="H55" s="107">
        <f t="shared" si="183"/>
        <v>6.7721130221130216E-2</v>
      </c>
      <c r="I55" s="107">
        <f t="shared" si="183"/>
        <v>6.7721130221130216E-2</v>
      </c>
      <c r="J55" s="107">
        <f t="shared" si="183"/>
        <v>6.7721130221130216E-2</v>
      </c>
      <c r="K55" s="107">
        <f t="shared" si="183"/>
        <v>6.7721130221130216E-2</v>
      </c>
      <c r="L55" s="107">
        <f t="shared" si="183"/>
        <v>6.0949017199017193E-2</v>
      </c>
      <c r="M55" s="107">
        <f t="shared" si="183"/>
        <v>6.0949017199017193E-2</v>
      </c>
      <c r="N55" s="107">
        <f t="shared" si="183"/>
        <v>6.0949017199017193E-2</v>
      </c>
      <c r="O55" s="107">
        <f t="shared" si="183"/>
        <v>6.0949017199017193E-2</v>
      </c>
      <c r="P55" s="107">
        <f t="shared" si="183"/>
        <v>6.0949017199017193E-2</v>
      </c>
      <c r="Q55" s="107">
        <f t="shared" si="183"/>
        <v>6.0949017199017193E-2</v>
      </c>
      <c r="R55" s="107">
        <f t="shared" si="183"/>
        <v>6.0949017199017193E-2</v>
      </c>
      <c r="S55" s="107">
        <f t="shared" si="183"/>
        <v>6.0949017199017193E-2</v>
      </c>
      <c r="T55" s="107">
        <f t="shared" si="183"/>
        <v>6.0949017199017193E-2</v>
      </c>
      <c r="U55" s="107">
        <f t="shared" si="183"/>
        <v>6.0949017199017193E-2</v>
      </c>
      <c r="V55" s="107">
        <f t="shared" si="183"/>
        <v>6.0949017199017193E-2</v>
      </c>
      <c r="W55" s="49"/>
      <c r="X55" s="105" t="s">
        <v>78</v>
      </c>
      <c r="Y55" s="107">
        <v>0</v>
      </c>
      <c r="Z55" s="107">
        <v>0</v>
      </c>
      <c r="AA55" s="107">
        <v>0</v>
      </c>
      <c r="AB55" s="107">
        <v>0</v>
      </c>
      <c r="AC55" s="107">
        <v>0</v>
      </c>
      <c r="AD55" s="107">
        <v>0</v>
      </c>
      <c r="AE55" s="107">
        <v>0</v>
      </c>
      <c r="AF55" s="107">
        <v>0</v>
      </c>
      <c r="AG55" s="107">
        <v>0</v>
      </c>
      <c r="AH55" s="107">
        <v>0</v>
      </c>
      <c r="AI55" s="107">
        <v>0</v>
      </c>
      <c r="AJ55" s="107">
        <v>0</v>
      </c>
      <c r="AK55" s="107">
        <v>0</v>
      </c>
      <c r="AL55" s="107">
        <v>0</v>
      </c>
      <c r="AM55" s="107">
        <v>0</v>
      </c>
      <c r="AN55" s="107">
        <v>0</v>
      </c>
      <c r="AO55" s="107">
        <v>0</v>
      </c>
      <c r="AP55" s="107">
        <v>0</v>
      </c>
      <c r="AQ55" s="107">
        <v>0</v>
      </c>
      <c r="AR55" s="107">
        <v>0</v>
      </c>
      <c r="AS55" s="107">
        <v>0</v>
      </c>
    </row>
    <row r="56" spans="1:45" x14ac:dyDescent="0.3">
      <c r="A56" s="108" t="s">
        <v>7</v>
      </c>
      <c r="B56" s="107"/>
      <c r="C56" s="107"/>
      <c r="D56" s="107"/>
      <c r="E56" s="107"/>
      <c r="F56" s="107"/>
      <c r="G56" s="107"/>
      <c r="H56" s="107"/>
      <c r="I56" s="107"/>
      <c r="J56" s="107"/>
      <c r="K56" s="107"/>
      <c r="L56" s="107"/>
      <c r="M56" s="107"/>
      <c r="N56" s="107"/>
      <c r="O56" s="107"/>
      <c r="P56" s="107"/>
      <c r="Q56" s="107"/>
      <c r="R56" s="107"/>
      <c r="S56" s="107"/>
      <c r="T56" s="107"/>
      <c r="U56" s="107"/>
      <c r="V56" s="107"/>
      <c r="W56" s="49"/>
      <c r="X56" s="108" t="s">
        <v>7</v>
      </c>
      <c r="Y56" s="107"/>
      <c r="Z56" s="107"/>
      <c r="AA56" s="107"/>
      <c r="AB56" s="107"/>
      <c r="AC56" s="107"/>
      <c r="AD56" s="107"/>
      <c r="AE56" s="107"/>
      <c r="AF56" s="107"/>
      <c r="AG56" s="107"/>
      <c r="AH56" s="107"/>
      <c r="AI56" s="107"/>
      <c r="AJ56" s="107"/>
      <c r="AK56" s="107"/>
      <c r="AL56" s="107"/>
      <c r="AM56" s="107"/>
      <c r="AN56" s="107"/>
      <c r="AO56" s="107"/>
      <c r="AP56" s="107"/>
      <c r="AQ56" s="107"/>
      <c r="AR56" s="107"/>
      <c r="AS56" s="107"/>
    </row>
    <row r="57" spans="1:45" x14ac:dyDescent="0.3">
      <c r="A57" s="105" t="s">
        <v>77</v>
      </c>
      <c r="B57" s="107">
        <f>$G$7*B16/(100*$D$12)</f>
        <v>1.2254299754299727E-2</v>
      </c>
      <c r="C57" s="107">
        <f t="shared" ref="C57:V58" si="184">$G$7*C16/(100*$D$12)</f>
        <v>1.5479115479115476E-2</v>
      </c>
      <c r="D57" s="107">
        <f t="shared" si="184"/>
        <v>2.0509828009828007E-2</v>
      </c>
      <c r="E57" s="107">
        <f t="shared" si="184"/>
        <v>2.6701474201474198E-2</v>
      </c>
      <c r="F57" s="107">
        <f t="shared" si="184"/>
        <v>2.7088452088452085E-2</v>
      </c>
      <c r="G57" s="107">
        <f t="shared" si="184"/>
        <v>2.5153562653562649E-2</v>
      </c>
      <c r="H57" s="107">
        <f t="shared" si="184"/>
        <v>2.5153562653562649E-2</v>
      </c>
      <c r="I57" s="107">
        <f t="shared" si="184"/>
        <v>2.5153562653562649E-2</v>
      </c>
      <c r="J57" s="107">
        <f t="shared" si="184"/>
        <v>2.5153562653562649E-2</v>
      </c>
      <c r="K57" s="107">
        <f t="shared" si="184"/>
        <v>2.3218673218673217E-2</v>
      </c>
      <c r="L57" s="107">
        <f t="shared" si="184"/>
        <v>2.3218673218673217E-2</v>
      </c>
      <c r="M57" s="107">
        <f t="shared" si="184"/>
        <v>2.3218673218673217E-2</v>
      </c>
      <c r="N57" s="107">
        <f t="shared" si="184"/>
        <v>2.3218673218673217E-2</v>
      </c>
      <c r="O57" s="107">
        <f t="shared" si="184"/>
        <v>2.1283783783783781E-2</v>
      </c>
      <c r="P57" s="107">
        <f t="shared" si="184"/>
        <v>2.1283783783783781E-2</v>
      </c>
      <c r="Q57" s="107">
        <f t="shared" si="184"/>
        <v>2.1283783783783781E-2</v>
      </c>
      <c r="R57" s="107">
        <f t="shared" si="184"/>
        <v>2.1283783783783781E-2</v>
      </c>
      <c r="S57" s="107">
        <f t="shared" si="184"/>
        <v>2.1283783783783781E-2</v>
      </c>
      <c r="T57" s="107">
        <f t="shared" si="184"/>
        <v>2.1283783783783781E-2</v>
      </c>
      <c r="U57" s="107">
        <f t="shared" si="184"/>
        <v>2.1283783783783781E-2</v>
      </c>
      <c r="V57" s="107">
        <f t="shared" si="184"/>
        <v>2.1283783783783781E-2</v>
      </c>
      <c r="W57" s="49"/>
      <c r="X57" s="105" t="s">
        <v>77</v>
      </c>
      <c r="Y57" s="107">
        <v>0</v>
      </c>
      <c r="Z57" s="107">
        <v>0</v>
      </c>
      <c r="AA57" s="107">
        <v>0</v>
      </c>
      <c r="AB57" s="107">
        <v>0</v>
      </c>
      <c r="AC57" s="107">
        <v>0</v>
      </c>
      <c r="AD57" s="107">
        <v>0</v>
      </c>
      <c r="AE57" s="107">
        <v>0</v>
      </c>
      <c r="AF57" s="107">
        <v>0</v>
      </c>
      <c r="AG57" s="107">
        <v>0</v>
      </c>
      <c r="AH57" s="107">
        <v>0</v>
      </c>
      <c r="AI57" s="107">
        <v>0</v>
      </c>
      <c r="AJ57" s="107">
        <v>0</v>
      </c>
      <c r="AK57" s="107">
        <v>0</v>
      </c>
      <c r="AL57" s="107">
        <v>0</v>
      </c>
      <c r="AM57" s="107">
        <v>0</v>
      </c>
      <c r="AN57" s="107">
        <v>0</v>
      </c>
      <c r="AO57" s="107">
        <v>0</v>
      </c>
      <c r="AP57" s="107">
        <v>0</v>
      </c>
      <c r="AQ57" s="107">
        <v>0</v>
      </c>
      <c r="AR57" s="107">
        <v>0</v>
      </c>
      <c r="AS57" s="107">
        <v>0</v>
      </c>
    </row>
    <row r="58" spans="1:45" x14ac:dyDescent="0.3">
      <c r="A58" s="105" t="s">
        <v>78</v>
      </c>
      <c r="B58" s="107">
        <f>$G$7*B17/(100*$D$12)</f>
        <v>1.1609336609336609E-2</v>
      </c>
      <c r="C58" s="107">
        <f t="shared" si="184"/>
        <v>1.4705159705159704E-2</v>
      </c>
      <c r="D58" s="107">
        <f t="shared" si="184"/>
        <v>1.8574938574938575E-2</v>
      </c>
      <c r="E58" s="107">
        <f t="shared" si="184"/>
        <v>1.9735872235872236E-2</v>
      </c>
      <c r="F58" s="107">
        <f t="shared" si="184"/>
        <v>2.1283783783783781E-2</v>
      </c>
      <c r="G58" s="107">
        <f t="shared" si="184"/>
        <v>1.9348894348894346E-2</v>
      </c>
      <c r="H58" s="107">
        <f t="shared" si="184"/>
        <v>1.9348894348894346E-2</v>
      </c>
      <c r="I58" s="107">
        <f t="shared" si="184"/>
        <v>1.9348894348894346E-2</v>
      </c>
      <c r="J58" s="107">
        <f t="shared" si="184"/>
        <v>1.9348894348894346E-2</v>
      </c>
      <c r="K58" s="107">
        <f t="shared" si="184"/>
        <v>1.9348894348894346E-2</v>
      </c>
      <c r="L58" s="107">
        <f t="shared" si="184"/>
        <v>1.741400491400491E-2</v>
      </c>
      <c r="M58" s="107">
        <f t="shared" si="184"/>
        <v>1.741400491400491E-2</v>
      </c>
      <c r="N58" s="107">
        <f t="shared" si="184"/>
        <v>1.741400491400491E-2</v>
      </c>
      <c r="O58" s="107">
        <f t="shared" si="184"/>
        <v>1.741400491400491E-2</v>
      </c>
      <c r="P58" s="107">
        <f t="shared" si="184"/>
        <v>1.741400491400491E-2</v>
      </c>
      <c r="Q58" s="107">
        <f t="shared" si="184"/>
        <v>1.741400491400491E-2</v>
      </c>
      <c r="R58" s="107">
        <f t="shared" si="184"/>
        <v>1.741400491400491E-2</v>
      </c>
      <c r="S58" s="107">
        <f t="shared" si="184"/>
        <v>1.741400491400491E-2</v>
      </c>
      <c r="T58" s="107">
        <f t="shared" si="184"/>
        <v>1.741400491400491E-2</v>
      </c>
      <c r="U58" s="107">
        <f t="shared" si="184"/>
        <v>1.741400491400491E-2</v>
      </c>
      <c r="V58" s="107">
        <f t="shared" si="184"/>
        <v>1.741400491400491E-2</v>
      </c>
      <c r="W58" s="49"/>
      <c r="X58" s="105" t="s">
        <v>78</v>
      </c>
      <c r="Y58" s="107">
        <v>0</v>
      </c>
      <c r="Z58" s="107">
        <v>0</v>
      </c>
      <c r="AA58" s="107">
        <v>0</v>
      </c>
      <c r="AB58" s="107">
        <v>0</v>
      </c>
      <c r="AC58" s="107">
        <v>0</v>
      </c>
      <c r="AD58" s="107">
        <v>0</v>
      </c>
      <c r="AE58" s="107">
        <v>0</v>
      </c>
      <c r="AF58" s="107">
        <v>0</v>
      </c>
      <c r="AG58" s="107">
        <v>0</v>
      </c>
      <c r="AH58" s="107">
        <v>0</v>
      </c>
      <c r="AI58" s="107">
        <v>0</v>
      </c>
      <c r="AJ58" s="107">
        <v>0</v>
      </c>
      <c r="AK58" s="107">
        <v>0</v>
      </c>
      <c r="AL58" s="107">
        <v>0</v>
      </c>
      <c r="AM58" s="107">
        <v>0</v>
      </c>
      <c r="AN58" s="107">
        <v>0</v>
      </c>
      <c r="AO58" s="107">
        <v>0</v>
      </c>
      <c r="AP58" s="107">
        <v>0</v>
      </c>
      <c r="AQ58" s="107">
        <v>0</v>
      </c>
      <c r="AR58" s="107">
        <v>0</v>
      </c>
      <c r="AS58" s="107">
        <v>0</v>
      </c>
    </row>
    <row r="59" spans="1:45" x14ac:dyDescent="0.3">
      <c r="A59" s="104" t="s">
        <v>12</v>
      </c>
      <c r="B59" s="6"/>
      <c r="C59" s="6"/>
      <c r="D59" s="120"/>
      <c r="E59" s="120"/>
      <c r="F59" s="120"/>
      <c r="G59" s="120"/>
      <c r="H59" s="120"/>
      <c r="I59" s="120"/>
      <c r="J59" s="120"/>
      <c r="K59" s="120"/>
      <c r="L59" s="120"/>
      <c r="M59" s="120"/>
      <c r="N59" s="120"/>
      <c r="O59" s="120"/>
      <c r="P59" s="120"/>
      <c r="Q59" s="120"/>
      <c r="R59" s="120"/>
      <c r="S59" s="120"/>
      <c r="T59" s="120"/>
      <c r="U59" s="120"/>
      <c r="V59" s="120"/>
      <c r="X59" s="104" t="s">
        <v>12</v>
      </c>
      <c r="Y59" s="6"/>
      <c r="Z59" s="6"/>
      <c r="AA59" s="120"/>
      <c r="AB59" s="120"/>
      <c r="AC59" s="120"/>
      <c r="AD59" s="120"/>
      <c r="AE59" s="120"/>
      <c r="AF59" s="120"/>
      <c r="AG59" s="120"/>
      <c r="AH59" s="120"/>
      <c r="AI59" s="120"/>
      <c r="AJ59" s="120"/>
      <c r="AK59" s="120"/>
      <c r="AL59" s="120"/>
      <c r="AM59" s="120"/>
      <c r="AN59" s="120"/>
      <c r="AO59" s="120"/>
      <c r="AP59" s="120"/>
      <c r="AQ59" s="120"/>
      <c r="AR59" s="120"/>
      <c r="AS59" s="120"/>
    </row>
    <row r="60" spans="1:45" x14ac:dyDescent="0.3">
      <c r="A60" s="105" t="s">
        <v>77</v>
      </c>
      <c r="B60" s="107">
        <f>$G$8*B16/(100*$D$12)</f>
        <v>2.328316953316948E-2</v>
      </c>
      <c r="C60" s="107">
        <f t="shared" ref="C60:V61" si="185">$G$8*C16/(100*$D$12)</f>
        <v>2.9410319410319404E-2</v>
      </c>
      <c r="D60" s="107">
        <f t="shared" si="185"/>
        <v>3.8968673218673214E-2</v>
      </c>
      <c r="E60" s="107">
        <f t="shared" si="185"/>
        <v>5.0732800982800974E-2</v>
      </c>
      <c r="F60" s="107">
        <f t="shared" si="185"/>
        <v>5.1468058968058956E-2</v>
      </c>
      <c r="G60" s="107">
        <f t="shared" si="185"/>
        <v>4.7791769041769031E-2</v>
      </c>
      <c r="H60" s="107">
        <f t="shared" si="185"/>
        <v>4.7791769041769031E-2</v>
      </c>
      <c r="I60" s="107">
        <f t="shared" si="185"/>
        <v>4.7791769041769031E-2</v>
      </c>
      <c r="J60" s="107">
        <f t="shared" si="185"/>
        <v>4.7791769041769031E-2</v>
      </c>
      <c r="K60" s="107">
        <f t="shared" si="185"/>
        <v>4.4115479115479111E-2</v>
      </c>
      <c r="L60" s="107">
        <f t="shared" si="185"/>
        <v>4.4115479115479111E-2</v>
      </c>
      <c r="M60" s="107">
        <f t="shared" si="185"/>
        <v>4.4115479115479111E-2</v>
      </c>
      <c r="N60" s="107">
        <f t="shared" si="185"/>
        <v>4.4115479115479111E-2</v>
      </c>
      <c r="O60" s="107">
        <f t="shared" si="185"/>
        <v>4.0439189189189186E-2</v>
      </c>
      <c r="P60" s="107">
        <f t="shared" si="185"/>
        <v>4.0439189189189186E-2</v>
      </c>
      <c r="Q60" s="107">
        <f t="shared" si="185"/>
        <v>4.0439189189189186E-2</v>
      </c>
      <c r="R60" s="107">
        <f t="shared" si="185"/>
        <v>4.0439189189189186E-2</v>
      </c>
      <c r="S60" s="107">
        <f t="shared" si="185"/>
        <v>4.0439189189189186E-2</v>
      </c>
      <c r="T60" s="107">
        <f t="shared" si="185"/>
        <v>4.0439189189189186E-2</v>
      </c>
      <c r="U60" s="107">
        <f t="shared" si="185"/>
        <v>4.0439189189189186E-2</v>
      </c>
      <c r="V60" s="107">
        <f t="shared" si="185"/>
        <v>4.0439189189189186E-2</v>
      </c>
      <c r="X60" s="105" t="s">
        <v>77</v>
      </c>
      <c r="Y60" s="107">
        <f>$AB$8*B16/(100*$D$12)</f>
        <v>6.1271498771498636E-2</v>
      </c>
      <c r="Z60" s="107">
        <f t="shared" ref="Z60:AS60" si="186">$AB$8*C16/(100*$D$12)</f>
        <v>7.7395577395577383E-2</v>
      </c>
      <c r="AA60" s="107">
        <f t="shared" si="186"/>
        <v>0.10254914004914002</v>
      </c>
      <c r="AB60" s="107">
        <f t="shared" si="186"/>
        <v>0.13350737100737101</v>
      </c>
      <c r="AC60" s="107">
        <f t="shared" si="186"/>
        <v>0.13544226044226043</v>
      </c>
      <c r="AD60" s="107">
        <f t="shared" si="186"/>
        <v>0.12576781326781325</v>
      </c>
      <c r="AE60" s="107">
        <f t="shared" si="186"/>
        <v>0.12576781326781325</v>
      </c>
      <c r="AF60" s="107">
        <f t="shared" si="186"/>
        <v>0.12576781326781325</v>
      </c>
      <c r="AG60" s="107">
        <f t="shared" si="186"/>
        <v>0.12576781326781325</v>
      </c>
      <c r="AH60" s="107">
        <f t="shared" si="186"/>
        <v>0.11609336609336608</v>
      </c>
      <c r="AI60" s="107">
        <f t="shared" si="186"/>
        <v>0.11609336609336608</v>
      </c>
      <c r="AJ60" s="107">
        <f t="shared" si="186"/>
        <v>0.11609336609336608</v>
      </c>
      <c r="AK60" s="107">
        <f t="shared" si="186"/>
        <v>0.11609336609336608</v>
      </c>
      <c r="AL60" s="107">
        <f t="shared" si="186"/>
        <v>0.10641891891891891</v>
      </c>
      <c r="AM60" s="107">
        <f t="shared" si="186"/>
        <v>0.10641891891891891</v>
      </c>
      <c r="AN60" s="107">
        <f t="shared" si="186"/>
        <v>0.10641891891891891</v>
      </c>
      <c r="AO60" s="107">
        <f t="shared" si="186"/>
        <v>0.10641891891891891</v>
      </c>
      <c r="AP60" s="107">
        <f t="shared" si="186"/>
        <v>0.10641891891891891</v>
      </c>
      <c r="AQ60" s="107">
        <f t="shared" si="186"/>
        <v>0.10641891891891891</v>
      </c>
      <c r="AR60" s="107">
        <f t="shared" si="186"/>
        <v>0.10641891891891891</v>
      </c>
      <c r="AS60" s="107">
        <f t="shared" si="186"/>
        <v>0.10641891891891891</v>
      </c>
    </row>
    <row r="61" spans="1:45" x14ac:dyDescent="0.3">
      <c r="A61" s="105" t="s">
        <v>78</v>
      </c>
      <c r="B61" s="107">
        <f>$G$8*B17/(100*$D$12)</f>
        <v>2.2057739557739556E-2</v>
      </c>
      <c r="C61" s="107">
        <f t="shared" si="185"/>
        <v>2.7939803439803439E-2</v>
      </c>
      <c r="D61" s="107">
        <f t="shared" si="185"/>
        <v>3.5292383292383288E-2</v>
      </c>
      <c r="E61" s="107">
        <f t="shared" si="185"/>
        <v>3.7498157248157242E-2</v>
      </c>
      <c r="F61" s="107">
        <f t="shared" si="185"/>
        <v>4.0439189189189186E-2</v>
      </c>
      <c r="G61" s="107">
        <f t="shared" si="185"/>
        <v>3.676289926289926E-2</v>
      </c>
      <c r="H61" s="107">
        <f t="shared" si="185"/>
        <v>3.676289926289926E-2</v>
      </c>
      <c r="I61" s="107">
        <f t="shared" si="185"/>
        <v>3.676289926289926E-2</v>
      </c>
      <c r="J61" s="107">
        <f t="shared" si="185"/>
        <v>3.676289926289926E-2</v>
      </c>
      <c r="K61" s="107">
        <f t="shared" si="185"/>
        <v>3.676289926289926E-2</v>
      </c>
      <c r="L61" s="107">
        <f t="shared" si="185"/>
        <v>3.3086609336609334E-2</v>
      </c>
      <c r="M61" s="107">
        <f t="shared" si="185"/>
        <v>3.3086609336609334E-2</v>
      </c>
      <c r="N61" s="107">
        <f t="shared" si="185"/>
        <v>3.3086609336609334E-2</v>
      </c>
      <c r="O61" s="107">
        <f t="shared" si="185"/>
        <v>3.3086609336609334E-2</v>
      </c>
      <c r="P61" s="107">
        <f t="shared" si="185"/>
        <v>3.3086609336609334E-2</v>
      </c>
      <c r="Q61" s="107">
        <f t="shared" si="185"/>
        <v>3.3086609336609334E-2</v>
      </c>
      <c r="R61" s="107">
        <f t="shared" si="185"/>
        <v>3.3086609336609334E-2</v>
      </c>
      <c r="S61" s="107">
        <f t="shared" si="185"/>
        <v>3.3086609336609334E-2</v>
      </c>
      <c r="T61" s="107">
        <f t="shared" si="185"/>
        <v>3.3086609336609334E-2</v>
      </c>
      <c r="U61" s="107">
        <f t="shared" si="185"/>
        <v>3.3086609336609334E-2</v>
      </c>
      <c r="V61" s="107">
        <f t="shared" si="185"/>
        <v>3.3086609336609334E-2</v>
      </c>
      <c r="X61" s="105" t="s">
        <v>78</v>
      </c>
      <c r="Y61" s="107">
        <f>$AB$8*B17/(100*$D$12)</f>
        <v>5.8046683046683041E-2</v>
      </c>
      <c r="Z61" s="107">
        <f t="shared" ref="Z61" si="187">$AB$8*C17/(100*$D$12)</f>
        <v>7.3525798525798519E-2</v>
      </c>
      <c r="AA61" s="107">
        <f t="shared" ref="AA61" si="188">$AB$8*D17/(100*$D$12)</f>
        <v>9.2874692874692868E-2</v>
      </c>
      <c r="AB61" s="107">
        <f t="shared" ref="AB61" si="189">$AB$8*E17/(100*$D$12)</f>
        <v>9.8679361179361172E-2</v>
      </c>
      <c r="AC61" s="107">
        <f t="shared" ref="AC61" si="190">$AB$8*F17/(100*$D$12)</f>
        <v>0.10641891891891891</v>
      </c>
      <c r="AD61" s="107">
        <f t="shared" ref="AD61" si="191">$AB$8*G17/(100*$D$12)</f>
        <v>9.6744471744471733E-2</v>
      </c>
      <c r="AE61" s="107">
        <f t="shared" ref="AE61" si="192">$AB$8*H17/(100*$D$12)</f>
        <v>9.6744471744471733E-2</v>
      </c>
      <c r="AF61" s="107">
        <f t="shared" ref="AF61" si="193">$AB$8*I17/(100*$D$12)</f>
        <v>9.6744471744471733E-2</v>
      </c>
      <c r="AG61" s="107">
        <f t="shared" ref="AG61" si="194">$AB$8*J17/(100*$D$12)</f>
        <v>9.6744471744471733E-2</v>
      </c>
      <c r="AH61" s="107">
        <f t="shared" ref="AH61" si="195">$AB$8*K17/(100*$D$12)</f>
        <v>9.6744471744471733E-2</v>
      </c>
      <c r="AI61" s="107">
        <f t="shared" ref="AI61" si="196">$AB$8*L17/(100*$D$12)</f>
        <v>8.7070024570024551E-2</v>
      </c>
      <c r="AJ61" s="107">
        <f t="shared" ref="AJ61" si="197">$AB$8*M17/(100*$D$12)</f>
        <v>8.7070024570024551E-2</v>
      </c>
      <c r="AK61" s="107">
        <f t="shared" ref="AK61" si="198">$AB$8*N17/(100*$D$12)</f>
        <v>8.7070024570024551E-2</v>
      </c>
      <c r="AL61" s="107">
        <f t="shared" ref="AL61" si="199">$AB$8*O17/(100*$D$12)</f>
        <v>8.7070024570024551E-2</v>
      </c>
      <c r="AM61" s="107">
        <f t="shared" ref="AM61" si="200">$AB$8*P17/(100*$D$12)</f>
        <v>8.7070024570024551E-2</v>
      </c>
      <c r="AN61" s="107">
        <f t="shared" ref="AN61" si="201">$AB$8*Q17/(100*$D$12)</f>
        <v>8.7070024570024551E-2</v>
      </c>
      <c r="AO61" s="107">
        <f t="shared" ref="AO61" si="202">$AB$8*R17/(100*$D$12)</f>
        <v>8.7070024570024551E-2</v>
      </c>
      <c r="AP61" s="107">
        <f t="shared" ref="AP61" si="203">$AB$8*S17/(100*$D$12)</f>
        <v>8.7070024570024551E-2</v>
      </c>
      <c r="AQ61" s="107">
        <f t="shared" ref="AQ61" si="204">$AB$8*T17/(100*$D$12)</f>
        <v>8.7070024570024551E-2</v>
      </c>
      <c r="AR61" s="107">
        <f t="shared" ref="AR61" si="205">$AB$8*U17/(100*$D$12)</f>
        <v>8.7070024570024551E-2</v>
      </c>
      <c r="AS61" s="107">
        <f t="shared" ref="AS61" si="206">$AB$8*V17/(100*$D$12)</f>
        <v>8.7070024570024551E-2</v>
      </c>
    </row>
    <row r="62" spans="1:45" x14ac:dyDescent="0.3">
      <c r="A62" s="104" t="s">
        <v>81</v>
      </c>
      <c r="B62" s="49"/>
      <c r="C62" s="49"/>
      <c r="D62" s="49"/>
      <c r="E62" s="49"/>
      <c r="F62" s="49"/>
      <c r="G62" s="49"/>
      <c r="H62" s="49"/>
      <c r="I62" s="49"/>
      <c r="J62" s="49"/>
      <c r="K62" s="49"/>
      <c r="L62" s="49"/>
      <c r="M62" s="49"/>
      <c r="N62" s="49"/>
      <c r="O62" s="49"/>
      <c r="P62" s="49"/>
      <c r="Q62" s="49"/>
      <c r="R62" s="49"/>
      <c r="S62" s="49"/>
      <c r="T62" s="49"/>
      <c r="U62" s="49"/>
      <c r="V62" s="49"/>
      <c r="X62" s="104" t="s">
        <v>81</v>
      </c>
      <c r="Y62" s="49"/>
      <c r="Z62" s="49"/>
      <c r="AA62" s="49"/>
      <c r="AB62" s="49"/>
      <c r="AC62" s="49"/>
      <c r="AD62" s="49"/>
      <c r="AE62" s="49"/>
      <c r="AF62" s="49"/>
      <c r="AG62" s="49"/>
      <c r="AH62" s="49"/>
      <c r="AI62" s="49"/>
      <c r="AJ62" s="49"/>
      <c r="AK62" s="49"/>
      <c r="AL62" s="49"/>
      <c r="AM62" s="49"/>
      <c r="AN62" s="49"/>
      <c r="AO62" s="49"/>
      <c r="AP62" s="49"/>
      <c r="AQ62" s="49"/>
      <c r="AR62" s="49"/>
      <c r="AS62" s="49"/>
    </row>
    <row r="63" spans="1:45" x14ac:dyDescent="0.3">
      <c r="A63" s="105" t="s">
        <v>77</v>
      </c>
      <c r="B63" s="107">
        <f>$G$9*B16/(100*$D$12)</f>
        <v>0.31861179361179293</v>
      </c>
      <c r="C63" s="107">
        <f t="shared" ref="C63:V64" si="207">$G$9*C16/(100*$D$12)</f>
        <v>0.40245700245700239</v>
      </c>
      <c r="D63" s="107">
        <f t="shared" si="207"/>
        <v>0.53325552825552813</v>
      </c>
      <c r="E63" s="107">
        <f t="shared" si="207"/>
        <v>0.69423832923832918</v>
      </c>
      <c r="F63" s="107">
        <f t="shared" si="207"/>
        <v>0.70429975429975422</v>
      </c>
      <c r="G63" s="107">
        <f t="shared" si="207"/>
        <v>0.653992628992629</v>
      </c>
      <c r="H63" s="107">
        <f t="shared" si="207"/>
        <v>0.653992628992629</v>
      </c>
      <c r="I63" s="107">
        <f t="shared" si="207"/>
        <v>0.653992628992629</v>
      </c>
      <c r="J63" s="107">
        <f t="shared" si="207"/>
        <v>0.653992628992629</v>
      </c>
      <c r="K63" s="107">
        <f t="shared" si="207"/>
        <v>0.60368550368550367</v>
      </c>
      <c r="L63" s="107">
        <f t="shared" si="207"/>
        <v>0.60368550368550367</v>
      </c>
      <c r="M63" s="107">
        <f t="shared" si="207"/>
        <v>0.60368550368550367</v>
      </c>
      <c r="N63" s="107">
        <f t="shared" si="207"/>
        <v>0.60368550368550367</v>
      </c>
      <c r="O63" s="107">
        <f t="shared" si="207"/>
        <v>0.55337837837837833</v>
      </c>
      <c r="P63" s="107">
        <f t="shared" si="207"/>
        <v>0.55337837837837833</v>
      </c>
      <c r="Q63" s="107">
        <f t="shared" si="207"/>
        <v>0.55337837837837833</v>
      </c>
      <c r="R63" s="107">
        <f t="shared" si="207"/>
        <v>0.55337837837837833</v>
      </c>
      <c r="S63" s="107">
        <f t="shared" si="207"/>
        <v>0.55337837837837833</v>
      </c>
      <c r="T63" s="107">
        <f t="shared" si="207"/>
        <v>0.55337837837837833</v>
      </c>
      <c r="U63" s="107">
        <f t="shared" si="207"/>
        <v>0.55337837837837833</v>
      </c>
      <c r="V63" s="107">
        <f t="shared" si="207"/>
        <v>0.55337837837837833</v>
      </c>
      <c r="X63" s="105" t="s">
        <v>77</v>
      </c>
      <c r="Y63" s="107">
        <f>$AB$9*B16/(100*$D$12)</f>
        <v>0.1838144963144959</v>
      </c>
      <c r="Z63" s="107">
        <f t="shared" ref="Z63:AS63" si="208">$AB$9*C16/(100*$D$12)</f>
        <v>0.23218673218673216</v>
      </c>
      <c r="AA63" s="107">
        <f t="shared" si="208"/>
        <v>0.30764742014742008</v>
      </c>
      <c r="AB63" s="107">
        <f t="shared" si="208"/>
        <v>0.40052211302211299</v>
      </c>
      <c r="AC63" s="107">
        <f t="shared" si="208"/>
        <v>0.40632678132678124</v>
      </c>
      <c r="AD63" s="107">
        <f t="shared" si="208"/>
        <v>0.37730343980343978</v>
      </c>
      <c r="AE63" s="107">
        <f t="shared" si="208"/>
        <v>0.37730343980343978</v>
      </c>
      <c r="AF63" s="107">
        <f t="shared" si="208"/>
        <v>0.37730343980343978</v>
      </c>
      <c r="AG63" s="107">
        <f t="shared" si="208"/>
        <v>0.37730343980343978</v>
      </c>
      <c r="AH63" s="107">
        <f t="shared" si="208"/>
        <v>0.3482800982800982</v>
      </c>
      <c r="AI63" s="107">
        <f t="shared" si="208"/>
        <v>0.3482800982800982</v>
      </c>
      <c r="AJ63" s="107">
        <f t="shared" si="208"/>
        <v>0.3482800982800982</v>
      </c>
      <c r="AK63" s="107">
        <f t="shared" si="208"/>
        <v>0.3482800982800982</v>
      </c>
      <c r="AL63" s="107">
        <f t="shared" si="208"/>
        <v>0.31925675675675669</v>
      </c>
      <c r="AM63" s="107">
        <f t="shared" si="208"/>
        <v>0.31925675675675669</v>
      </c>
      <c r="AN63" s="107">
        <f t="shared" si="208"/>
        <v>0.31925675675675669</v>
      </c>
      <c r="AO63" s="107">
        <f t="shared" si="208"/>
        <v>0.31925675675675669</v>
      </c>
      <c r="AP63" s="107">
        <f t="shared" si="208"/>
        <v>0.31925675675675669</v>
      </c>
      <c r="AQ63" s="107">
        <f t="shared" si="208"/>
        <v>0.31925675675675669</v>
      </c>
      <c r="AR63" s="107">
        <f t="shared" si="208"/>
        <v>0.31925675675675669</v>
      </c>
      <c r="AS63" s="107">
        <f t="shared" si="208"/>
        <v>0.31925675675675669</v>
      </c>
    </row>
    <row r="64" spans="1:45" x14ac:dyDescent="0.3">
      <c r="A64" s="105" t="s">
        <v>78</v>
      </c>
      <c r="B64" s="107">
        <f>$G$9*B17/(100*$D$12)</f>
        <v>0.30184275184275183</v>
      </c>
      <c r="C64" s="107">
        <f t="shared" si="207"/>
        <v>0.3823341523341523</v>
      </c>
      <c r="D64" s="107">
        <f t="shared" si="207"/>
        <v>0.48294840294840291</v>
      </c>
      <c r="E64" s="107">
        <f t="shared" si="207"/>
        <v>0.51313267813267815</v>
      </c>
      <c r="F64" s="107">
        <f t="shared" si="207"/>
        <v>0.55337837837837833</v>
      </c>
      <c r="G64" s="107">
        <f t="shared" si="207"/>
        <v>0.503071253071253</v>
      </c>
      <c r="H64" s="107">
        <f t="shared" si="207"/>
        <v>0.503071253071253</v>
      </c>
      <c r="I64" s="107">
        <f t="shared" si="207"/>
        <v>0.503071253071253</v>
      </c>
      <c r="J64" s="107">
        <f t="shared" si="207"/>
        <v>0.503071253071253</v>
      </c>
      <c r="K64" s="107">
        <f t="shared" si="207"/>
        <v>0.503071253071253</v>
      </c>
      <c r="L64" s="107">
        <f t="shared" si="207"/>
        <v>0.45276412776412767</v>
      </c>
      <c r="M64" s="107">
        <f t="shared" si="207"/>
        <v>0.45276412776412767</v>
      </c>
      <c r="N64" s="107">
        <f t="shared" si="207"/>
        <v>0.45276412776412767</v>
      </c>
      <c r="O64" s="107">
        <f t="shared" si="207"/>
        <v>0.45276412776412767</v>
      </c>
      <c r="P64" s="107">
        <f t="shared" si="207"/>
        <v>0.45276412776412767</v>
      </c>
      <c r="Q64" s="107">
        <f t="shared" si="207"/>
        <v>0.45276412776412767</v>
      </c>
      <c r="R64" s="107">
        <f t="shared" si="207"/>
        <v>0.45276412776412767</v>
      </c>
      <c r="S64" s="107">
        <f t="shared" si="207"/>
        <v>0.45276412776412767</v>
      </c>
      <c r="T64" s="107">
        <f t="shared" si="207"/>
        <v>0.45276412776412767</v>
      </c>
      <c r="U64" s="107">
        <f t="shared" si="207"/>
        <v>0.45276412776412767</v>
      </c>
      <c r="V64" s="107">
        <f t="shared" si="207"/>
        <v>0.45276412776412767</v>
      </c>
      <c r="X64" s="105" t="s">
        <v>78</v>
      </c>
      <c r="Y64" s="107">
        <f>$AB$9*B17/(100*$D$12)</f>
        <v>0.1741400491400491</v>
      </c>
      <c r="Z64" s="107">
        <f t="shared" ref="Z64" si="209">$AB$9*C17/(100*$D$12)</f>
        <v>0.22057739557739556</v>
      </c>
      <c r="AA64" s="107">
        <f t="shared" ref="AA64" si="210">$AB$9*D17/(100*$D$12)</f>
        <v>0.27862407862407862</v>
      </c>
      <c r="AB64" s="107">
        <f t="shared" ref="AB64" si="211">$AB$9*E17/(100*$D$12)</f>
        <v>0.29603808353808353</v>
      </c>
      <c r="AC64" s="107">
        <f t="shared" ref="AC64" si="212">$AB$9*F17/(100*$D$12)</f>
        <v>0.31925675675675669</v>
      </c>
      <c r="AD64" s="107">
        <f t="shared" ref="AD64" si="213">$AB$9*G17/(100*$D$12)</f>
        <v>0.29023341523341523</v>
      </c>
      <c r="AE64" s="107">
        <f t="shared" ref="AE64" si="214">$AB$9*H17/(100*$D$12)</f>
        <v>0.29023341523341523</v>
      </c>
      <c r="AF64" s="107">
        <f t="shared" ref="AF64" si="215">$AB$9*I17/(100*$D$12)</f>
        <v>0.29023341523341523</v>
      </c>
      <c r="AG64" s="107">
        <f t="shared" ref="AG64" si="216">$AB$9*J17/(100*$D$12)</f>
        <v>0.29023341523341523</v>
      </c>
      <c r="AH64" s="107">
        <f t="shared" ref="AH64" si="217">$AB$9*K17/(100*$D$12)</f>
        <v>0.29023341523341523</v>
      </c>
      <c r="AI64" s="107">
        <f t="shared" ref="AI64" si="218">$AB$9*L17/(100*$D$12)</f>
        <v>0.26121007371007371</v>
      </c>
      <c r="AJ64" s="107">
        <f t="shared" ref="AJ64" si="219">$AB$9*M17/(100*$D$12)</f>
        <v>0.26121007371007371</v>
      </c>
      <c r="AK64" s="107">
        <f t="shared" ref="AK64" si="220">$AB$9*N17/(100*$D$12)</f>
        <v>0.26121007371007371</v>
      </c>
      <c r="AL64" s="107">
        <f t="shared" ref="AL64" si="221">$AB$9*O17/(100*$D$12)</f>
        <v>0.26121007371007371</v>
      </c>
      <c r="AM64" s="107">
        <f t="shared" ref="AM64" si="222">$AB$9*P17/(100*$D$12)</f>
        <v>0.26121007371007371</v>
      </c>
      <c r="AN64" s="107">
        <f t="shared" ref="AN64" si="223">$AB$9*Q17/(100*$D$12)</f>
        <v>0.26121007371007371</v>
      </c>
      <c r="AO64" s="107">
        <f t="shared" ref="AO64" si="224">$AB$9*R17/(100*$D$12)</f>
        <v>0.26121007371007371</v>
      </c>
      <c r="AP64" s="107">
        <f t="shared" ref="AP64" si="225">$AB$9*S17/(100*$D$12)</f>
        <v>0.26121007371007371</v>
      </c>
      <c r="AQ64" s="107">
        <f t="shared" ref="AQ64" si="226">$AB$9*T17/(100*$D$12)</f>
        <v>0.26121007371007371</v>
      </c>
      <c r="AR64" s="107">
        <f t="shared" ref="AR64" si="227">$AB$9*U17/(100*$D$12)</f>
        <v>0.26121007371007371</v>
      </c>
      <c r="AS64" s="107">
        <f t="shared" ref="AS64" si="228">$AB$9*V17/(100*$D$12)</f>
        <v>0.26121007371007371</v>
      </c>
    </row>
    <row r="65" spans="1:45" x14ac:dyDescent="0.3">
      <c r="A65" s="104" t="s">
        <v>92</v>
      </c>
      <c r="B65" s="49"/>
      <c r="C65" s="49"/>
      <c r="D65" s="49"/>
      <c r="E65" s="49"/>
      <c r="F65" s="49"/>
      <c r="G65" s="49"/>
      <c r="H65" s="49"/>
      <c r="I65" s="49"/>
      <c r="J65" s="49"/>
      <c r="K65" s="49"/>
      <c r="L65" s="49"/>
      <c r="M65" s="49"/>
      <c r="N65" s="49"/>
      <c r="O65" s="49"/>
      <c r="P65" s="49"/>
      <c r="Q65" s="49"/>
      <c r="R65" s="49"/>
      <c r="S65" s="49"/>
      <c r="T65" s="49"/>
      <c r="U65" s="49"/>
      <c r="V65" s="49"/>
      <c r="X65" s="104" t="s">
        <v>92</v>
      </c>
      <c r="Y65" s="49"/>
      <c r="Z65" s="49"/>
      <c r="AA65" s="49"/>
      <c r="AB65" s="49"/>
      <c r="AC65" s="49"/>
      <c r="AD65" s="49"/>
      <c r="AE65" s="49"/>
      <c r="AF65" s="49"/>
      <c r="AG65" s="49"/>
      <c r="AH65" s="49"/>
      <c r="AI65" s="49"/>
      <c r="AJ65" s="49"/>
      <c r="AK65" s="49"/>
      <c r="AL65" s="49"/>
      <c r="AM65" s="49"/>
      <c r="AN65" s="49"/>
      <c r="AO65" s="49"/>
      <c r="AP65" s="49"/>
      <c r="AQ65" s="49"/>
      <c r="AR65" s="49"/>
      <c r="AS65" s="49"/>
    </row>
    <row r="66" spans="1:45" x14ac:dyDescent="0.3">
      <c r="A66" s="105" t="s">
        <v>77</v>
      </c>
      <c r="B66" s="107">
        <f>$G$10*B16/(100*$D$12)</f>
        <v>5.6369778869778737E-2</v>
      </c>
      <c r="C66" s="107">
        <f t="shared" ref="C66:V67" si="229">$G$10*C16/(100*$D$12)</f>
        <v>7.1203931203931189E-2</v>
      </c>
      <c r="D66" s="107">
        <f>$G$10*D16/(100*$D$12)</f>
        <v>9.4345208845208819E-2</v>
      </c>
      <c r="E66" s="107">
        <f t="shared" si="229"/>
        <v>0.12282678132678131</v>
      </c>
      <c r="F66" s="107">
        <f t="shared" si="229"/>
        <v>0.12460687960687959</v>
      </c>
      <c r="G66" s="107">
        <f t="shared" si="229"/>
        <v>0.11570638820638818</v>
      </c>
      <c r="H66" s="107">
        <f t="shared" si="229"/>
        <v>0.11570638820638818</v>
      </c>
      <c r="I66" s="107">
        <f t="shared" si="229"/>
        <v>0.11570638820638818</v>
      </c>
      <c r="J66" s="107">
        <f t="shared" si="229"/>
        <v>0.11570638820638818</v>
      </c>
      <c r="K66" s="107">
        <f t="shared" si="229"/>
        <v>0.10680589680589678</v>
      </c>
      <c r="L66" s="107">
        <f t="shared" si="229"/>
        <v>0.10680589680589678</v>
      </c>
      <c r="M66" s="107">
        <f t="shared" si="229"/>
        <v>0.10680589680589678</v>
      </c>
      <c r="N66" s="107">
        <f t="shared" si="229"/>
        <v>0.10680589680589678</v>
      </c>
      <c r="O66" s="107">
        <f t="shared" si="229"/>
        <v>9.7905405405405391E-2</v>
      </c>
      <c r="P66" s="107">
        <f t="shared" si="229"/>
        <v>9.7905405405405391E-2</v>
      </c>
      <c r="Q66" s="107">
        <f t="shared" si="229"/>
        <v>9.7905405405405391E-2</v>
      </c>
      <c r="R66" s="107">
        <f t="shared" si="229"/>
        <v>9.7905405405405391E-2</v>
      </c>
      <c r="S66" s="107">
        <f t="shared" si="229"/>
        <v>9.7905405405405391E-2</v>
      </c>
      <c r="T66" s="107">
        <f t="shared" si="229"/>
        <v>9.7905405405405391E-2</v>
      </c>
      <c r="U66" s="107">
        <f t="shared" si="229"/>
        <v>9.7905405405405391E-2</v>
      </c>
      <c r="V66" s="107">
        <f t="shared" si="229"/>
        <v>9.7905405405405391E-2</v>
      </c>
      <c r="X66" s="105" t="s">
        <v>77</v>
      </c>
      <c r="Y66" s="107">
        <f>$AB$10*B16/(100*$D$12)</f>
        <v>0.12254299754299727</v>
      </c>
      <c r="Z66" s="107">
        <f t="shared" ref="Z66:AS66" si="230">$AB$10*C16/(100*$D$12)</f>
        <v>0.15479115479115477</v>
      </c>
      <c r="AA66" s="107">
        <f t="shared" si="230"/>
        <v>0.20509828009828004</v>
      </c>
      <c r="AB66" s="107">
        <f t="shared" si="230"/>
        <v>0.26701474201474201</v>
      </c>
      <c r="AC66" s="107">
        <f t="shared" si="230"/>
        <v>0.27088452088452086</v>
      </c>
      <c r="AD66" s="107">
        <f t="shared" si="230"/>
        <v>0.2515356265356265</v>
      </c>
      <c r="AE66" s="107">
        <f t="shared" si="230"/>
        <v>0.2515356265356265</v>
      </c>
      <c r="AF66" s="107">
        <f t="shared" si="230"/>
        <v>0.2515356265356265</v>
      </c>
      <c r="AG66" s="107">
        <f t="shared" si="230"/>
        <v>0.2515356265356265</v>
      </c>
      <c r="AH66" s="107">
        <f t="shared" si="230"/>
        <v>0.23218673218673216</v>
      </c>
      <c r="AI66" s="107">
        <f t="shared" si="230"/>
        <v>0.23218673218673216</v>
      </c>
      <c r="AJ66" s="107">
        <f t="shared" si="230"/>
        <v>0.23218673218673216</v>
      </c>
      <c r="AK66" s="107">
        <f t="shared" si="230"/>
        <v>0.23218673218673216</v>
      </c>
      <c r="AL66" s="107">
        <f t="shared" si="230"/>
        <v>0.21283783783783783</v>
      </c>
      <c r="AM66" s="107">
        <f t="shared" si="230"/>
        <v>0.21283783783783783</v>
      </c>
      <c r="AN66" s="107">
        <f t="shared" si="230"/>
        <v>0.21283783783783783</v>
      </c>
      <c r="AO66" s="107">
        <f t="shared" si="230"/>
        <v>0.21283783783783783</v>
      </c>
      <c r="AP66" s="107">
        <f t="shared" si="230"/>
        <v>0.21283783783783783</v>
      </c>
      <c r="AQ66" s="107">
        <f t="shared" si="230"/>
        <v>0.21283783783783783</v>
      </c>
      <c r="AR66" s="107">
        <f t="shared" si="230"/>
        <v>0.21283783783783783</v>
      </c>
      <c r="AS66" s="107">
        <f t="shared" si="230"/>
        <v>0.21283783783783783</v>
      </c>
    </row>
    <row r="67" spans="1:45" x14ac:dyDescent="0.3">
      <c r="A67" s="105" t="s">
        <v>78</v>
      </c>
      <c r="B67" s="107">
        <f>$G$10*B17/(100*$D$12)</f>
        <v>5.3402948402948389E-2</v>
      </c>
      <c r="C67" s="107">
        <f t="shared" si="229"/>
        <v>6.7643734643734632E-2</v>
      </c>
      <c r="D67" s="107">
        <f t="shared" si="229"/>
        <v>8.5444717444717419E-2</v>
      </c>
      <c r="E67" s="107">
        <f t="shared" si="229"/>
        <v>9.078501228501229E-2</v>
      </c>
      <c r="F67" s="107">
        <f t="shared" si="229"/>
        <v>9.7905405405405391E-2</v>
      </c>
      <c r="G67" s="107">
        <f t="shared" si="229"/>
        <v>8.900491400491399E-2</v>
      </c>
      <c r="H67" s="107">
        <f t="shared" si="229"/>
        <v>8.900491400491399E-2</v>
      </c>
      <c r="I67" s="107">
        <f t="shared" si="229"/>
        <v>8.900491400491399E-2</v>
      </c>
      <c r="J67" s="107">
        <f t="shared" si="229"/>
        <v>8.900491400491399E-2</v>
      </c>
      <c r="K67" s="107">
        <f t="shared" si="229"/>
        <v>8.900491400491399E-2</v>
      </c>
      <c r="L67" s="107">
        <f t="shared" si="229"/>
        <v>8.0104422604422576E-2</v>
      </c>
      <c r="M67" s="107">
        <f t="shared" si="229"/>
        <v>8.0104422604422576E-2</v>
      </c>
      <c r="N67" s="107">
        <f t="shared" si="229"/>
        <v>8.0104422604422576E-2</v>
      </c>
      <c r="O67" s="107">
        <f t="shared" si="229"/>
        <v>8.0104422604422576E-2</v>
      </c>
      <c r="P67" s="107">
        <f t="shared" si="229"/>
        <v>8.0104422604422576E-2</v>
      </c>
      <c r="Q67" s="107">
        <f t="shared" si="229"/>
        <v>8.0104422604422576E-2</v>
      </c>
      <c r="R67" s="107">
        <f t="shared" si="229"/>
        <v>8.0104422604422576E-2</v>
      </c>
      <c r="S67" s="107">
        <f t="shared" si="229"/>
        <v>8.0104422604422576E-2</v>
      </c>
      <c r="T67" s="107">
        <f t="shared" si="229"/>
        <v>8.0104422604422576E-2</v>
      </c>
      <c r="U67" s="107">
        <f t="shared" si="229"/>
        <v>8.0104422604422576E-2</v>
      </c>
      <c r="V67" s="107">
        <f t="shared" si="229"/>
        <v>8.0104422604422576E-2</v>
      </c>
      <c r="X67" s="105" t="s">
        <v>78</v>
      </c>
      <c r="Y67" s="107">
        <f>$AB$10*B17/(100*$D$12)</f>
        <v>0.11609336609336608</v>
      </c>
      <c r="Z67" s="107">
        <f t="shared" ref="Z67" si="231">$AB$10*C17/(100*$D$12)</f>
        <v>0.14705159705159704</v>
      </c>
      <c r="AA67" s="107">
        <f t="shared" ref="AA67" si="232">$AB$10*D17/(100*$D$12)</f>
        <v>0.18574938574938574</v>
      </c>
      <c r="AB67" s="107">
        <f t="shared" ref="AB67" si="233">$AB$10*E17/(100*$D$12)</f>
        <v>0.19735872235872234</v>
      </c>
      <c r="AC67" s="107">
        <f t="shared" ref="AC67" si="234">$AB$10*F17/(100*$D$12)</f>
        <v>0.21283783783783783</v>
      </c>
      <c r="AD67" s="107">
        <f t="shared" ref="AD67" si="235">$AB$10*G17/(100*$D$12)</f>
        <v>0.19348894348894347</v>
      </c>
      <c r="AE67" s="107">
        <f t="shared" ref="AE67" si="236">$AB$10*H17/(100*$D$12)</f>
        <v>0.19348894348894347</v>
      </c>
      <c r="AF67" s="107">
        <f t="shared" ref="AF67" si="237">$AB$10*I17/(100*$D$12)</f>
        <v>0.19348894348894347</v>
      </c>
      <c r="AG67" s="107">
        <f t="shared" ref="AG67" si="238">$AB$10*J17/(100*$D$12)</f>
        <v>0.19348894348894347</v>
      </c>
      <c r="AH67" s="107">
        <f t="shared" ref="AH67" si="239">$AB$10*K17/(100*$D$12)</f>
        <v>0.19348894348894347</v>
      </c>
      <c r="AI67" s="107">
        <f t="shared" ref="AI67" si="240">$AB$10*L17/(100*$D$12)</f>
        <v>0.1741400491400491</v>
      </c>
      <c r="AJ67" s="107">
        <f t="shared" ref="AJ67" si="241">$AB$10*M17/(100*$D$12)</f>
        <v>0.1741400491400491</v>
      </c>
      <c r="AK67" s="107">
        <f t="shared" ref="AK67" si="242">$AB$10*N17/(100*$D$12)</f>
        <v>0.1741400491400491</v>
      </c>
      <c r="AL67" s="107">
        <f t="shared" ref="AL67" si="243">$AB$10*O17/(100*$D$12)</f>
        <v>0.1741400491400491</v>
      </c>
      <c r="AM67" s="107">
        <f t="shared" ref="AM67" si="244">$AB$10*P17/(100*$D$12)</f>
        <v>0.1741400491400491</v>
      </c>
      <c r="AN67" s="107">
        <f t="shared" ref="AN67" si="245">$AB$10*Q17/(100*$D$12)</f>
        <v>0.1741400491400491</v>
      </c>
      <c r="AO67" s="107">
        <f t="shared" ref="AO67" si="246">$AB$10*R17/(100*$D$12)</f>
        <v>0.1741400491400491</v>
      </c>
      <c r="AP67" s="107">
        <f t="shared" ref="AP67" si="247">$AB$10*S17/(100*$D$12)</f>
        <v>0.1741400491400491</v>
      </c>
      <c r="AQ67" s="107">
        <f t="shared" ref="AQ67" si="248">$AB$10*T17/(100*$D$12)</f>
        <v>0.1741400491400491</v>
      </c>
      <c r="AR67" s="107">
        <f t="shared" ref="AR67" si="249">$AB$10*U17/(100*$D$12)</f>
        <v>0.1741400491400491</v>
      </c>
      <c r="AS67" s="107">
        <f t="shared" ref="AS67" si="250">$AB$10*V17/(100*$D$12)</f>
        <v>0.1741400491400491</v>
      </c>
    </row>
    <row r="68" spans="1:45" x14ac:dyDescent="0.3">
      <c r="A68" s="108" t="s">
        <v>85</v>
      </c>
      <c r="B68" s="107"/>
      <c r="C68" s="107"/>
      <c r="D68" s="107"/>
      <c r="E68" s="107"/>
      <c r="F68" s="107"/>
      <c r="G68" s="107"/>
      <c r="H68" s="107"/>
      <c r="I68" s="107"/>
      <c r="J68" s="107"/>
      <c r="K68" s="107"/>
      <c r="L68" s="107"/>
      <c r="M68" s="107"/>
      <c r="N68" s="107"/>
      <c r="O68" s="107"/>
      <c r="P68" s="107"/>
      <c r="Q68" s="107"/>
      <c r="R68" s="107"/>
      <c r="S68" s="107"/>
      <c r="T68" s="107"/>
      <c r="U68" s="107"/>
      <c r="V68" s="107"/>
      <c r="X68" s="108" t="s">
        <v>85</v>
      </c>
      <c r="Y68" s="107"/>
      <c r="Z68" s="107"/>
      <c r="AA68" s="107"/>
      <c r="AB68" s="107"/>
      <c r="AC68" s="107"/>
      <c r="AD68" s="107"/>
      <c r="AE68" s="107"/>
      <c r="AF68" s="107"/>
      <c r="AG68" s="107"/>
      <c r="AH68" s="107"/>
      <c r="AI68" s="107"/>
      <c r="AJ68" s="107"/>
      <c r="AK68" s="107"/>
      <c r="AL68" s="107"/>
      <c r="AM68" s="107"/>
      <c r="AN68" s="107"/>
      <c r="AO68" s="107"/>
      <c r="AP68" s="107"/>
      <c r="AQ68" s="107"/>
      <c r="AR68" s="107"/>
      <c r="AS68" s="107"/>
    </row>
    <row r="69" spans="1:45" x14ac:dyDescent="0.3">
      <c r="A69" s="105" t="s">
        <v>77</v>
      </c>
      <c r="B69" s="107">
        <f>$G$11*B16/(100*$D$12)</f>
        <v>0.15930589680589646</v>
      </c>
      <c r="C69" s="107">
        <f t="shared" ref="C69:V70" si="251">$G$11*C16/(100*$D$12)</f>
        <v>0.20122850122850119</v>
      </c>
      <c r="D69" s="107">
        <f t="shared" si="251"/>
        <v>0.26662776412776407</v>
      </c>
      <c r="E69" s="107">
        <f t="shared" si="251"/>
        <v>0.34711916461916459</v>
      </c>
      <c r="F69" s="107">
        <f t="shared" si="251"/>
        <v>0.35214987714987711</v>
      </c>
      <c r="G69" s="107">
        <f t="shared" si="251"/>
        <v>0.3269963144963145</v>
      </c>
      <c r="H69" s="107">
        <f t="shared" si="251"/>
        <v>0.3269963144963145</v>
      </c>
      <c r="I69" s="107">
        <f t="shared" si="251"/>
        <v>0.3269963144963145</v>
      </c>
      <c r="J69" s="107">
        <f t="shared" si="251"/>
        <v>0.3269963144963145</v>
      </c>
      <c r="K69" s="107">
        <f t="shared" si="251"/>
        <v>0.30184275184275183</v>
      </c>
      <c r="L69" s="107">
        <f t="shared" si="251"/>
        <v>0.30184275184275183</v>
      </c>
      <c r="M69" s="107">
        <f t="shared" si="251"/>
        <v>0.30184275184275183</v>
      </c>
      <c r="N69" s="107">
        <f t="shared" si="251"/>
        <v>0.30184275184275183</v>
      </c>
      <c r="O69" s="107">
        <f t="shared" si="251"/>
        <v>0.27668918918918917</v>
      </c>
      <c r="P69" s="107">
        <f t="shared" si="251"/>
        <v>0.27668918918918917</v>
      </c>
      <c r="Q69" s="107">
        <f t="shared" si="251"/>
        <v>0.27668918918918917</v>
      </c>
      <c r="R69" s="107">
        <f t="shared" si="251"/>
        <v>0.27668918918918917</v>
      </c>
      <c r="S69" s="107">
        <f t="shared" si="251"/>
        <v>0.27668918918918917</v>
      </c>
      <c r="T69" s="107">
        <f t="shared" si="251"/>
        <v>0.27668918918918917</v>
      </c>
      <c r="U69" s="107">
        <f t="shared" si="251"/>
        <v>0.27668918918918917</v>
      </c>
      <c r="V69" s="107">
        <f t="shared" si="251"/>
        <v>0.27668918918918917</v>
      </c>
      <c r="X69" s="105" t="s">
        <v>77</v>
      </c>
      <c r="Y69" s="107">
        <f>$AB$11*B16/(100*$D$12)</f>
        <v>0.24508599508599455</v>
      </c>
      <c r="Z69" s="107">
        <f t="shared" ref="Z69:AS69" si="252">$AB$11*C16/(100*$D$12)</f>
        <v>0.30958230958230953</v>
      </c>
      <c r="AA69" s="107">
        <f t="shared" si="252"/>
        <v>0.41019656019656009</v>
      </c>
      <c r="AB69" s="107">
        <f t="shared" si="252"/>
        <v>0.53402948402948403</v>
      </c>
      <c r="AC69" s="107">
        <f t="shared" si="252"/>
        <v>0.54176904176904173</v>
      </c>
      <c r="AD69" s="107">
        <f t="shared" si="252"/>
        <v>0.503071253071253</v>
      </c>
      <c r="AE69" s="107">
        <f t="shared" si="252"/>
        <v>0.503071253071253</v>
      </c>
      <c r="AF69" s="107">
        <f t="shared" si="252"/>
        <v>0.503071253071253</v>
      </c>
      <c r="AG69" s="107">
        <f t="shared" si="252"/>
        <v>0.503071253071253</v>
      </c>
      <c r="AH69" s="107">
        <f t="shared" si="252"/>
        <v>0.46437346437346433</v>
      </c>
      <c r="AI69" s="107">
        <f t="shared" si="252"/>
        <v>0.46437346437346433</v>
      </c>
      <c r="AJ69" s="107">
        <f t="shared" si="252"/>
        <v>0.46437346437346433</v>
      </c>
      <c r="AK69" s="107">
        <f t="shared" si="252"/>
        <v>0.46437346437346433</v>
      </c>
      <c r="AL69" s="107">
        <f t="shared" si="252"/>
        <v>0.42567567567567566</v>
      </c>
      <c r="AM69" s="107">
        <f t="shared" si="252"/>
        <v>0.42567567567567566</v>
      </c>
      <c r="AN69" s="107">
        <f t="shared" si="252"/>
        <v>0.42567567567567566</v>
      </c>
      <c r="AO69" s="107">
        <f t="shared" si="252"/>
        <v>0.42567567567567566</v>
      </c>
      <c r="AP69" s="107">
        <f t="shared" si="252"/>
        <v>0.42567567567567566</v>
      </c>
      <c r="AQ69" s="107">
        <f t="shared" si="252"/>
        <v>0.42567567567567566</v>
      </c>
      <c r="AR69" s="107">
        <f t="shared" si="252"/>
        <v>0.42567567567567566</v>
      </c>
      <c r="AS69" s="107">
        <f t="shared" si="252"/>
        <v>0.42567567567567566</v>
      </c>
    </row>
    <row r="70" spans="1:45" x14ac:dyDescent="0.3">
      <c r="A70" s="105" t="s">
        <v>78</v>
      </c>
      <c r="B70" s="107">
        <f>$G$11*B17/(100*$D$12)</f>
        <v>0.15092137592137592</v>
      </c>
      <c r="C70" s="107">
        <f t="shared" si="251"/>
        <v>0.19116707616707615</v>
      </c>
      <c r="D70" s="107">
        <f t="shared" si="251"/>
        <v>0.24147420147420146</v>
      </c>
      <c r="E70" s="107">
        <f t="shared" si="251"/>
        <v>0.25656633906633908</v>
      </c>
      <c r="F70" s="107">
        <f t="shared" si="251"/>
        <v>0.27668918918918917</v>
      </c>
      <c r="G70" s="107">
        <f t="shared" si="251"/>
        <v>0.2515356265356265</v>
      </c>
      <c r="H70" s="107">
        <f t="shared" si="251"/>
        <v>0.2515356265356265</v>
      </c>
      <c r="I70" s="107">
        <f t="shared" si="251"/>
        <v>0.2515356265356265</v>
      </c>
      <c r="J70" s="107">
        <f t="shared" si="251"/>
        <v>0.2515356265356265</v>
      </c>
      <c r="K70" s="107">
        <f t="shared" si="251"/>
        <v>0.2515356265356265</v>
      </c>
      <c r="L70" s="107">
        <f t="shared" si="251"/>
        <v>0.22638206388206383</v>
      </c>
      <c r="M70" s="107">
        <f t="shared" si="251"/>
        <v>0.22638206388206383</v>
      </c>
      <c r="N70" s="107">
        <f t="shared" si="251"/>
        <v>0.22638206388206383</v>
      </c>
      <c r="O70" s="107">
        <f t="shared" si="251"/>
        <v>0.22638206388206383</v>
      </c>
      <c r="P70" s="107">
        <f t="shared" si="251"/>
        <v>0.22638206388206383</v>
      </c>
      <c r="Q70" s="107">
        <f t="shared" si="251"/>
        <v>0.22638206388206383</v>
      </c>
      <c r="R70" s="107">
        <f t="shared" si="251"/>
        <v>0.22638206388206383</v>
      </c>
      <c r="S70" s="107">
        <f t="shared" si="251"/>
        <v>0.22638206388206383</v>
      </c>
      <c r="T70" s="107">
        <f t="shared" si="251"/>
        <v>0.22638206388206383</v>
      </c>
      <c r="U70" s="107">
        <f t="shared" si="251"/>
        <v>0.22638206388206383</v>
      </c>
      <c r="V70" s="107">
        <f t="shared" si="251"/>
        <v>0.22638206388206383</v>
      </c>
      <c r="X70" s="105" t="s">
        <v>78</v>
      </c>
      <c r="Y70" s="107">
        <f>$AB$11*B17/(100*$D$12)</f>
        <v>0.23218673218673216</v>
      </c>
      <c r="Z70" s="107">
        <f t="shared" ref="Z70" si="253">$AB$11*C17/(100*$D$12)</f>
        <v>0.29410319410319408</v>
      </c>
      <c r="AA70" s="107">
        <f t="shared" ref="AA70" si="254">$AB$11*D17/(100*$D$12)</f>
        <v>0.37149877149877147</v>
      </c>
      <c r="AB70" s="107">
        <f t="shared" ref="AB70" si="255">$AB$11*E17/(100*$D$12)</f>
        <v>0.39471744471744469</v>
      </c>
      <c r="AC70" s="107">
        <f t="shared" ref="AC70" si="256">$AB$11*F17/(100*$D$12)</f>
        <v>0.42567567567567566</v>
      </c>
      <c r="AD70" s="107">
        <f t="shared" ref="AD70" si="257">$AB$11*G17/(100*$D$12)</f>
        <v>0.38697788697788693</v>
      </c>
      <c r="AE70" s="107">
        <f t="shared" ref="AE70" si="258">$AB$11*H17/(100*$D$12)</f>
        <v>0.38697788697788693</v>
      </c>
      <c r="AF70" s="107">
        <f t="shared" ref="AF70" si="259">$AB$11*I17/(100*$D$12)</f>
        <v>0.38697788697788693</v>
      </c>
      <c r="AG70" s="107">
        <f t="shared" ref="AG70" si="260">$AB$11*J17/(100*$D$12)</f>
        <v>0.38697788697788693</v>
      </c>
      <c r="AH70" s="107">
        <f t="shared" ref="AH70" si="261">$AB$11*K17/(100*$D$12)</f>
        <v>0.38697788697788693</v>
      </c>
      <c r="AI70" s="107">
        <f t="shared" ref="AI70" si="262">$AB$11*L17/(100*$D$12)</f>
        <v>0.3482800982800982</v>
      </c>
      <c r="AJ70" s="107">
        <f t="shared" ref="AJ70" si="263">$AB$11*M17/(100*$D$12)</f>
        <v>0.3482800982800982</v>
      </c>
      <c r="AK70" s="107">
        <f t="shared" ref="AK70" si="264">$AB$11*N17/(100*$D$12)</f>
        <v>0.3482800982800982</v>
      </c>
      <c r="AL70" s="107">
        <f t="shared" ref="AL70" si="265">$AB$11*O17/(100*$D$12)</f>
        <v>0.3482800982800982</v>
      </c>
      <c r="AM70" s="107">
        <f t="shared" ref="AM70" si="266">$AB$11*P17/(100*$D$12)</f>
        <v>0.3482800982800982</v>
      </c>
      <c r="AN70" s="107">
        <f t="shared" ref="AN70" si="267">$AB$11*Q17/(100*$D$12)</f>
        <v>0.3482800982800982</v>
      </c>
      <c r="AO70" s="107">
        <f t="shared" ref="AO70" si="268">$AB$11*R17/(100*$D$12)</f>
        <v>0.3482800982800982</v>
      </c>
      <c r="AP70" s="107">
        <f t="shared" ref="AP70" si="269">$AB$11*S17/(100*$D$12)</f>
        <v>0.3482800982800982</v>
      </c>
      <c r="AQ70" s="107">
        <f t="shared" ref="AQ70" si="270">$AB$11*T17/(100*$D$12)</f>
        <v>0.3482800982800982</v>
      </c>
      <c r="AR70" s="107">
        <f t="shared" ref="AR70" si="271">$AB$11*U17/(100*$D$12)</f>
        <v>0.3482800982800982</v>
      </c>
      <c r="AS70" s="107">
        <f t="shared" ref="AS70" si="272">$AB$11*V17/(100*$D$12)</f>
        <v>0.3482800982800982</v>
      </c>
    </row>
    <row r="72" spans="1:45" x14ac:dyDescent="0.3">
      <c r="A72" s="103" t="s">
        <v>184</v>
      </c>
      <c r="B72" s="49"/>
      <c r="C72" s="49"/>
      <c r="D72" s="49"/>
      <c r="E72" s="49"/>
      <c r="F72" s="49"/>
      <c r="G72" s="49"/>
      <c r="H72" s="49"/>
      <c r="I72" s="49"/>
      <c r="J72" s="49"/>
      <c r="K72" s="49"/>
      <c r="L72" s="49"/>
      <c r="M72" s="49"/>
      <c r="N72" s="49"/>
      <c r="O72" s="49"/>
      <c r="P72" s="49"/>
      <c r="Q72" s="49"/>
      <c r="R72" s="49"/>
      <c r="S72" s="49"/>
      <c r="T72" s="49"/>
      <c r="U72" s="49"/>
      <c r="V72" s="49"/>
    </row>
    <row r="73" spans="1:45" x14ac:dyDescent="0.3">
      <c r="A73" s="104" t="s">
        <v>82</v>
      </c>
      <c r="B73" s="105" t="s">
        <v>51</v>
      </c>
      <c r="C73" s="105" t="s">
        <v>52</v>
      </c>
      <c r="D73" s="106" t="s">
        <v>53</v>
      </c>
      <c r="E73" s="106" t="s">
        <v>54</v>
      </c>
      <c r="F73" s="106" t="s">
        <v>55</v>
      </c>
      <c r="G73" s="106" t="s">
        <v>56</v>
      </c>
      <c r="H73" s="106" t="s">
        <v>57</v>
      </c>
      <c r="I73" s="106" t="s">
        <v>58</v>
      </c>
      <c r="J73" s="106" t="s">
        <v>59</v>
      </c>
      <c r="K73" s="106" t="s">
        <v>60</v>
      </c>
      <c r="L73" s="106" t="s">
        <v>61</v>
      </c>
      <c r="M73" s="106" t="s">
        <v>62</v>
      </c>
      <c r="N73" s="106" t="s">
        <v>63</v>
      </c>
      <c r="O73" s="106" t="s">
        <v>64</v>
      </c>
      <c r="P73" s="106" t="s">
        <v>65</v>
      </c>
      <c r="Q73" s="106" t="s">
        <v>66</v>
      </c>
      <c r="R73" s="106" t="s">
        <v>67</v>
      </c>
      <c r="S73" s="106" t="s">
        <v>68</v>
      </c>
      <c r="T73" s="106" t="s">
        <v>69</v>
      </c>
      <c r="U73" s="106" t="s">
        <v>70</v>
      </c>
      <c r="V73" s="106" t="s">
        <v>71</v>
      </c>
    </row>
    <row r="74" spans="1:45" x14ac:dyDescent="0.3">
      <c r="A74" s="105" t="s">
        <v>77</v>
      </c>
      <c r="B74" s="107">
        <f>$AA$4*B16/(100*$D$12)</f>
        <v>8.2103808353808181E-3</v>
      </c>
      <c r="C74" s="107">
        <f t="shared" ref="C74:V75" si="273">$AA$4*C16/(100*$D$12)</f>
        <v>1.037100737100737E-2</v>
      </c>
      <c r="D74" s="107">
        <f t="shared" si="273"/>
        <v>1.3741584766584764E-2</v>
      </c>
      <c r="E74" s="107">
        <f t="shared" si="273"/>
        <v>1.7889987714987714E-2</v>
      </c>
      <c r="F74" s="107">
        <f t="shared" si="273"/>
        <v>1.81492628992629E-2</v>
      </c>
      <c r="G74" s="107">
        <f t="shared" si="273"/>
        <v>1.6852886977886977E-2</v>
      </c>
      <c r="H74" s="107">
        <f t="shared" si="273"/>
        <v>1.6852886977886977E-2</v>
      </c>
      <c r="I74" s="107">
        <f t="shared" si="273"/>
        <v>1.6852886977886977E-2</v>
      </c>
      <c r="J74" s="107">
        <f t="shared" si="273"/>
        <v>1.6852886977886977E-2</v>
      </c>
      <c r="K74" s="107">
        <f t="shared" si="273"/>
        <v>1.5556511056511055E-2</v>
      </c>
      <c r="L74" s="107">
        <f t="shared" si="273"/>
        <v>1.5556511056511055E-2</v>
      </c>
      <c r="M74" s="107">
        <f t="shared" si="273"/>
        <v>1.5556511056511055E-2</v>
      </c>
      <c r="N74" s="107">
        <f t="shared" si="273"/>
        <v>1.5556511056511055E-2</v>
      </c>
      <c r="O74" s="107">
        <f t="shared" si="273"/>
        <v>1.4260135135135134E-2</v>
      </c>
      <c r="P74" s="107">
        <f t="shared" si="273"/>
        <v>1.4260135135135134E-2</v>
      </c>
      <c r="Q74" s="107">
        <f t="shared" si="273"/>
        <v>1.4260135135135134E-2</v>
      </c>
      <c r="R74" s="107">
        <f t="shared" si="273"/>
        <v>1.4260135135135134E-2</v>
      </c>
      <c r="S74" s="107">
        <f t="shared" si="273"/>
        <v>1.4260135135135134E-2</v>
      </c>
      <c r="T74" s="107">
        <f t="shared" si="273"/>
        <v>1.4260135135135134E-2</v>
      </c>
      <c r="U74" s="107">
        <f t="shared" si="273"/>
        <v>1.4260135135135134E-2</v>
      </c>
      <c r="V74" s="107">
        <f t="shared" si="273"/>
        <v>1.4260135135135134E-2</v>
      </c>
    </row>
    <row r="75" spans="1:45" x14ac:dyDescent="0.3">
      <c r="A75" s="105" t="s">
        <v>78</v>
      </c>
      <c r="B75" s="107">
        <f>$AA$4*B17/(100*$D$12)</f>
        <v>7.7782555282555274E-3</v>
      </c>
      <c r="C75" s="107">
        <f t="shared" si="273"/>
        <v>9.8524570024570036E-3</v>
      </c>
      <c r="D75" s="107">
        <f t="shared" si="273"/>
        <v>1.2445208845208845E-2</v>
      </c>
      <c r="E75" s="107">
        <f t="shared" si="273"/>
        <v>1.3223034398034399E-2</v>
      </c>
      <c r="F75" s="107">
        <f t="shared" si="273"/>
        <v>1.4260135135135134E-2</v>
      </c>
      <c r="G75" s="107">
        <f t="shared" si="273"/>
        <v>1.2963759213759212E-2</v>
      </c>
      <c r="H75" s="107">
        <f t="shared" si="273"/>
        <v>1.2963759213759212E-2</v>
      </c>
      <c r="I75" s="107">
        <f t="shared" si="273"/>
        <v>1.2963759213759212E-2</v>
      </c>
      <c r="J75" s="107">
        <f t="shared" si="273"/>
        <v>1.2963759213759212E-2</v>
      </c>
      <c r="K75" s="107">
        <f t="shared" si="273"/>
        <v>1.2963759213759212E-2</v>
      </c>
      <c r="L75" s="107">
        <f t="shared" si="273"/>
        <v>1.1667383292383291E-2</v>
      </c>
      <c r="M75" s="107">
        <f t="shared" si="273"/>
        <v>1.1667383292383291E-2</v>
      </c>
      <c r="N75" s="107">
        <f t="shared" si="273"/>
        <v>1.1667383292383291E-2</v>
      </c>
      <c r="O75" s="107">
        <f t="shared" si="273"/>
        <v>1.1667383292383291E-2</v>
      </c>
      <c r="P75" s="107">
        <f t="shared" si="273"/>
        <v>1.1667383292383291E-2</v>
      </c>
      <c r="Q75" s="107">
        <f t="shared" si="273"/>
        <v>1.1667383292383291E-2</v>
      </c>
      <c r="R75" s="107">
        <f t="shared" si="273"/>
        <v>1.1667383292383291E-2</v>
      </c>
      <c r="S75" s="107">
        <f t="shared" si="273"/>
        <v>1.1667383292383291E-2</v>
      </c>
      <c r="T75" s="107">
        <f t="shared" si="273"/>
        <v>1.1667383292383291E-2</v>
      </c>
      <c r="U75" s="107">
        <f t="shared" si="273"/>
        <v>1.1667383292383291E-2</v>
      </c>
      <c r="V75" s="107">
        <f>$AA$4*V17/(100*$D$12)</f>
        <v>1.1667383292383291E-2</v>
      </c>
    </row>
    <row r="76" spans="1:45" x14ac:dyDescent="0.3">
      <c r="A76" s="104" t="s">
        <v>83</v>
      </c>
      <c r="B76" s="49"/>
      <c r="C76" s="49"/>
      <c r="D76" s="49"/>
      <c r="E76" s="49"/>
      <c r="F76" s="49"/>
      <c r="G76" s="49"/>
      <c r="H76" s="49"/>
      <c r="I76" s="49"/>
      <c r="J76" s="49"/>
      <c r="K76" s="49"/>
      <c r="L76" s="49"/>
      <c r="M76" s="49"/>
      <c r="N76" s="49"/>
      <c r="O76" s="49"/>
      <c r="P76" s="49"/>
      <c r="Q76" s="49"/>
      <c r="R76" s="49"/>
      <c r="S76" s="49"/>
      <c r="T76" s="49"/>
      <c r="U76" s="49"/>
      <c r="V76" s="49"/>
    </row>
    <row r="77" spans="1:45" x14ac:dyDescent="0.3">
      <c r="A77" s="105" t="s">
        <v>77</v>
      </c>
      <c r="B77" s="107">
        <f>$AA$5*B16/(100*$D$12)</f>
        <v>2.5060042997542942E-2</v>
      </c>
      <c r="C77" s="107">
        <f t="shared" ref="C77:V78" si="274">$AA$5*C16/(100*$D$12)</f>
        <v>3.1654791154791147E-2</v>
      </c>
      <c r="D77" s="107">
        <f t="shared" si="274"/>
        <v>4.1942598280098276E-2</v>
      </c>
      <c r="E77" s="107">
        <f t="shared" si="274"/>
        <v>5.4604514742014734E-2</v>
      </c>
      <c r="F77" s="107">
        <f t="shared" si="274"/>
        <v>5.5395884520884515E-2</v>
      </c>
      <c r="G77" s="107">
        <f t="shared" si="274"/>
        <v>5.1439035626535623E-2</v>
      </c>
      <c r="H77" s="107">
        <f t="shared" si="274"/>
        <v>5.1439035626535623E-2</v>
      </c>
      <c r="I77" s="107">
        <f t="shared" si="274"/>
        <v>5.1439035626535623E-2</v>
      </c>
      <c r="J77" s="107">
        <f t="shared" si="274"/>
        <v>5.1439035626535623E-2</v>
      </c>
      <c r="K77" s="107">
        <f t="shared" si="274"/>
        <v>4.7482186732186731E-2</v>
      </c>
      <c r="L77" s="107">
        <f t="shared" si="274"/>
        <v>4.7482186732186731E-2</v>
      </c>
      <c r="M77" s="107">
        <f t="shared" si="274"/>
        <v>4.7482186732186731E-2</v>
      </c>
      <c r="N77" s="107">
        <f t="shared" si="274"/>
        <v>4.7482186732186731E-2</v>
      </c>
      <c r="O77" s="107">
        <f t="shared" si="274"/>
        <v>4.3525337837837824E-2</v>
      </c>
      <c r="P77" s="107">
        <f t="shared" si="274"/>
        <v>4.3525337837837824E-2</v>
      </c>
      <c r="Q77" s="107">
        <f t="shared" si="274"/>
        <v>4.3525337837837824E-2</v>
      </c>
      <c r="R77" s="107">
        <f t="shared" si="274"/>
        <v>4.3525337837837824E-2</v>
      </c>
      <c r="S77" s="107">
        <f t="shared" si="274"/>
        <v>4.3525337837837824E-2</v>
      </c>
      <c r="T77" s="107">
        <f t="shared" si="274"/>
        <v>4.3525337837837824E-2</v>
      </c>
      <c r="U77" s="107">
        <f t="shared" si="274"/>
        <v>4.3525337837837824E-2</v>
      </c>
      <c r="V77" s="107">
        <f t="shared" si="274"/>
        <v>4.3525337837837824E-2</v>
      </c>
    </row>
    <row r="78" spans="1:45" x14ac:dyDescent="0.3">
      <c r="A78" s="105" t="s">
        <v>78</v>
      </c>
      <c r="B78" s="107">
        <f>$AA$5*B17/(100*$D$12)</f>
        <v>2.3741093366093365E-2</v>
      </c>
      <c r="C78" s="107">
        <f t="shared" si="274"/>
        <v>3.0072051597051595E-2</v>
      </c>
      <c r="D78" s="107">
        <f t="shared" si="274"/>
        <v>3.7985749385749383E-2</v>
      </c>
      <c r="E78" s="107">
        <f t="shared" si="274"/>
        <v>4.035985872235872E-2</v>
      </c>
      <c r="F78" s="107">
        <f t="shared" si="274"/>
        <v>4.3525337837837824E-2</v>
      </c>
      <c r="G78" s="107">
        <f t="shared" si="274"/>
        <v>3.9568488943488932E-2</v>
      </c>
      <c r="H78" s="107">
        <f t="shared" si="274"/>
        <v>3.9568488943488932E-2</v>
      </c>
      <c r="I78" s="107">
        <f t="shared" si="274"/>
        <v>3.9568488943488932E-2</v>
      </c>
      <c r="J78" s="107">
        <f t="shared" si="274"/>
        <v>3.9568488943488932E-2</v>
      </c>
      <c r="K78" s="107">
        <f t="shared" si="274"/>
        <v>3.9568488943488932E-2</v>
      </c>
      <c r="L78" s="107">
        <f t="shared" si="274"/>
        <v>3.5611640049140039E-2</v>
      </c>
      <c r="M78" s="107">
        <f t="shared" si="274"/>
        <v>3.5611640049140039E-2</v>
      </c>
      <c r="N78" s="107">
        <f t="shared" si="274"/>
        <v>3.5611640049140039E-2</v>
      </c>
      <c r="O78" s="107">
        <f t="shared" si="274"/>
        <v>3.5611640049140039E-2</v>
      </c>
      <c r="P78" s="107">
        <f t="shared" si="274"/>
        <v>3.5611640049140039E-2</v>
      </c>
      <c r="Q78" s="107">
        <f t="shared" si="274"/>
        <v>3.5611640049140039E-2</v>
      </c>
      <c r="R78" s="107">
        <f t="shared" si="274"/>
        <v>3.5611640049140039E-2</v>
      </c>
      <c r="S78" s="107">
        <f t="shared" si="274"/>
        <v>3.5611640049140039E-2</v>
      </c>
      <c r="T78" s="107">
        <f t="shared" si="274"/>
        <v>3.5611640049140039E-2</v>
      </c>
      <c r="U78" s="107">
        <f t="shared" si="274"/>
        <v>3.5611640049140039E-2</v>
      </c>
      <c r="V78" s="107">
        <f t="shared" si="274"/>
        <v>3.5611640049140039E-2</v>
      </c>
    </row>
    <row r="79" spans="1:45" x14ac:dyDescent="0.3">
      <c r="A79" s="104" t="s">
        <v>6</v>
      </c>
      <c r="B79" s="49"/>
      <c r="C79" s="49"/>
      <c r="D79" s="49"/>
      <c r="E79" s="49"/>
      <c r="F79" s="49"/>
      <c r="G79" s="49"/>
      <c r="H79" s="49"/>
      <c r="I79" s="49"/>
      <c r="J79" s="49"/>
      <c r="K79" s="49"/>
      <c r="L79" s="49"/>
      <c r="M79" s="49"/>
      <c r="N79" s="49"/>
      <c r="O79" s="49"/>
      <c r="P79" s="49"/>
      <c r="Q79" s="49"/>
      <c r="R79" s="49"/>
      <c r="S79" s="49"/>
      <c r="T79" s="49"/>
      <c r="U79" s="49"/>
      <c r="V79" s="49"/>
    </row>
    <row r="80" spans="1:45" x14ac:dyDescent="0.3">
      <c r="A80" s="105" t="s">
        <v>77</v>
      </c>
      <c r="B80" s="107">
        <f>$AA$6*B16/(100*$D$12)</f>
        <v>4.7669226044225937E-2</v>
      </c>
      <c r="C80" s="107">
        <f t="shared" ref="C80:V81" si="275">$AA$6*C16/(100*$D$12)</f>
        <v>6.021375921375921E-2</v>
      </c>
      <c r="D80" s="107">
        <f t="shared" si="275"/>
        <v>7.978323095823095E-2</v>
      </c>
      <c r="E80" s="107">
        <f t="shared" si="275"/>
        <v>0.10386873464373464</v>
      </c>
      <c r="F80" s="107">
        <f t="shared" si="275"/>
        <v>0.10537407862407862</v>
      </c>
      <c r="G80" s="107">
        <f t="shared" si="275"/>
        <v>9.784735872235871E-2</v>
      </c>
      <c r="H80" s="107">
        <f t="shared" si="275"/>
        <v>9.784735872235871E-2</v>
      </c>
      <c r="I80" s="107">
        <f t="shared" si="275"/>
        <v>9.784735872235871E-2</v>
      </c>
      <c r="J80" s="107">
        <f t="shared" si="275"/>
        <v>9.784735872235871E-2</v>
      </c>
      <c r="K80" s="107">
        <f t="shared" si="275"/>
        <v>9.0320638820638816E-2</v>
      </c>
      <c r="L80" s="107">
        <f t="shared" si="275"/>
        <v>9.0320638820638816E-2</v>
      </c>
      <c r="M80" s="107">
        <f t="shared" si="275"/>
        <v>9.0320638820638816E-2</v>
      </c>
      <c r="N80" s="107">
        <f t="shared" si="275"/>
        <v>9.0320638820638816E-2</v>
      </c>
      <c r="O80" s="107">
        <f t="shared" si="275"/>
        <v>8.2793918918918921E-2</v>
      </c>
      <c r="P80" s="107">
        <f t="shared" si="275"/>
        <v>8.2793918918918921E-2</v>
      </c>
      <c r="Q80" s="107">
        <f t="shared" si="275"/>
        <v>8.2793918918918921E-2</v>
      </c>
      <c r="R80" s="107">
        <f t="shared" si="275"/>
        <v>8.2793918918918921E-2</v>
      </c>
      <c r="S80" s="107">
        <f t="shared" si="275"/>
        <v>8.2793918918918921E-2</v>
      </c>
      <c r="T80" s="107">
        <f t="shared" si="275"/>
        <v>8.2793918918918921E-2</v>
      </c>
      <c r="U80" s="107">
        <f t="shared" si="275"/>
        <v>8.2793918918918921E-2</v>
      </c>
      <c r="V80" s="107">
        <f t="shared" si="275"/>
        <v>8.2793918918918921E-2</v>
      </c>
    </row>
    <row r="81" spans="1:22" x14ac:dyDescent="0.3">
      <c r="A81" s="105" t="s">
        <v>78</v>
      </c>
      <c r="B81" s="107">
        <f>$AA$6*B17/(100*$D$12)</f>
        <v>4.5160319410319408E-2</v>
      </c>
      <c r="C81" s="107">
        <f t="shared" si="275"/>
        <v>5.7203071253071253E-2</v>
      </c>
      <c r="D81" s="107">
        <f t="shared" si="275"/>
        <v>7.2256511056511055E-2</v>
      </c>
      <c r="E81" s="107">
        <f t="shared" si="275"/>
        <v>7.6772542997543006E-2</v>
      </c>
      <c r="F81" s="107">
        <f t="shared" si="275"/>
        <v>8.2793918918918921E-2</v>
      </c>
      <c r="G81" s="107">
        <f t="shared" si="275"/>
        <v>7.5267199017199013E-2</v>
      </c>
      <c r="H81" s="107">
        <f t="shared" si="275"/>
        <v>7.5267199017199013E-2</v>
      </c>
      <c r="I81" s="107">
        <f t="shared" si="275"/>
        <v>7.5267199017199013E-2</v>
      </c>
      <c r="J81" s="107">
        <f t="shared" si="275"/>
        <v>7.5267199017199013E-2</v>
      </c>
      <c r="K81" s="107">
        <f t="shared" si="275"/>
        <v>7.5267199017199013E-2</v>
      </c>
      <c r="L81" s="107">
        <f t="shared" si="275"/>
        <v>6.7740479115479105E-2</v>
      </c>
      <c r="M81" s="107">
        <f t="shared" si="275"/>
        <v>6.7740479115479105E-2</v>
      </c>
      <c r="N81" s="107">
        <f t="shared" si="275"/>
        <v>6.7740479115479105E-2</v>
      </c>
      <c r="O81" s="107">
        <f t="shared" si="275"/>
        <v>6.7740479115479105E-2</v>
      </c>
      <c r="P81" s="107">
        <f t="shared" si="275"/>
        <v>6.7740479115479105E-2</v>
      </c>
      <c r="Q81" s="107">
        <f t="shared" si="275"/>
        <v>6.7740479115479105E-2</v>
      </c>
      <c r="R81" s="107">
        <f t="shared" si="275"/>
        <v>6.7740479115479105E-2</v>
      </c>
      <c r="S81" s="107">
        <f t="shared" si="275"/>
        <v>6.7740479115479105E-2</v>
      </c>
      <c r="T81" s="107">
        <f t="shared" si="275"/>
        <v>6.7740479115479105E-2</v>
      </c>
      <c r="U81" s="107">
        <f t="shared" si="275"/>
        <v>6.7740479115479105E-2</v>
      </c>
      <c r="V81" s="107">
        <f t="shared" si="275"/>
        <v>6.7740479115479105E-2</v>
      </c>
    </row>
    <row r="82" spans="1:22" x14ac:dyDescent="0.3">
      <c r="A82" s="108" t="s">
        <v>7</v>
      </c>
      <c r="B82" s="107"/>
      <c r="C82" s="107"/>
      <c r="D82" s="107"/>
      <c r="E82" s="107"/>
      <c r="F82" s="107"/>
      <c r="G82" s="107"/>
      <c r="H82" s="107"/>
      <c r="I82" s="107"/>
      <c r="J82" s="107"/>
      <c r="K82" s="107"/>
      <c r="L82" s="107"/>
      <c r="M82" s="107"/>
      <c r="N82" s="107"/>
      <c r="O82" s="107"/>
      <c r="P82" s="107"/>
      <c r="Q82" s="107"/>
      <c r="R82" s="107"/>
      <c r="S82" s="107"/>
      <c r="T82" s="107"/>
      <c r="U82" s="107"/>
      <c r="V82" s="107"/>
    </row>
    <row r="83" spans="1:22" x14ac:dyDescent="0.3">
      <c r="A83" s="105" t="s">
        <v>77</v>
      </c>
      <c r="B83" s="107">
        <f>$AA$7*B16/(100*$D$12)</f>
        <v>4.5340909090908991E-3</v>
      </c>
      <c r="C83" s="107">
        <f t="shared" ref="C83:V84" si="276">$AA$7*C16/(100*$D$12)</f>
        <v>5.7272727272727267E-3</v>
      </c>
      <c r="D83" s="107">
        <f t="shared" si="276"/>
        <v>7.5886363636363616E-3</v>
      </c>
      <c r="E83" s="107">
        <f t="shared" si="276"/>
        <v>9.8795454545454534E-3</v>
      </c>
      <c r="F83" s="107">
        <f t="shared" si="276"/>
        <v>1.002272727272727E-2</v>
      </c>
      <c r="G83" s="107">
        <f t="shared" si="276"/>
        <v>9.30681818181818E-3</v>
      </c>
      <c r="H83" s="107">
        <f t="shared" si="276"/>
        <v>9.30681818181818E-3</v>
      </c>
      <c r="I83" s="107">
        <f t="shared" si="276"/>
        <v>9.30681818181818E-3</v>
      </c>
      <c r="J83" s="107">
        <f t="shared" si="276"/>
        <v>9.30681818181818E-3</v>
      </c>
      <c r="K83" s="107">
        <f t="shared" si="276"/>
        <v>8.59090909090909E-3</v>
      </c>
      <c r="L83" s="107">
        <f t="shared" si="276"/>
        <v>8.59090909090909E-3</v>
      </c>
      <c r="M83" s="107">
        <f t="shared" si="276"/>
        <v>8.59090909090909E-3</v>
      </c>
      <c r="N83" s="107">
        <f t="shared" si="276"/>
        <v>8.59090909090909E-3</v>
      </c>
      <c r="O83" s="107">
        <f t="shared" si="276"/>
        <v>7.8749999999999983E-3</v>
      </c>
      <c r="P83" s="107">
        <f t="shared" si="276"/>
        <v>7.8749999999999983E-3</v>
      </c>
      <c r="Q83" s="107">
        <f t="shared" si="276"/>
        <v>7.8749999999999983E-3</v>
      </c>
      <c r="R83" s="107">
        <f t="shared" si="276"/>
        <v>7.8749999999999983E-3</v>
      </c>
      <c r="S83" s="107">
        <f t="shared" si="276"/>
        <v>7.8749999999999983E-3</v>
      </c>
      <c r="T83" s="107">
        <f t="shared" si="276"/>
        <v>7.8749999999999983E-3</v>
      </c>
      <c r="U83" s="107">
        <f t="shared" si="276"/>
        <v>7.8749999999999983E-3</v>
      </c>
      <c r="V83" s="107">
        <f t="shared" si="276"/>
        <v>7.8749999999999983E-3</v>
      </c>
    </row>
    <row r="84" spans="1:22" x14ac:dyDescent="0.3">
      <c r="A84" s="105" t="s">
        <v>78</v>
      </c>
      <c r="B84" s="107">
        <f>$AA$7*B17/(100*$D$12)</f>
        <v>4.295454545454545E-3</v>
      </c>
      <c r="C84" s="107">
        <f t="shared" si="276"/>
        <v>5.4409090909090909E-3</v>
      </c>
      <c r="D84" s="107">
        <f t="shared" si="276"/>
        <v>6.8727272727272717E-3</v>
      </c>
      <c r="E84" s="107">
        <f t="shared" si="276"/>
        <v>7.3022727272727267E-3</v>
      </c>
      <c r="F84" s="107">
        <f t="shared" si="276"/>
        <v>7.8749999999999983E-3</v>
      </c>
      <c r="G84" s="107">
        <f t="shared" si="276"/>
        <v>7.1590909090909084E-3</v>
      </c>
      <c r="H84" s="107">
        <f t="shared" si="276"/>
        <v>7.1590909090909084E-3</v>
      </c>
      <c r="I84" s="107">
        <f t="shared" si="276"/>
        <v>7.1590909090909084E-3</v>
      </c>
      <c r="J84" s="107">
        <f t="shared" si="276"/>
        <v>7.1590909090909084E-3</v>
      </c>
      <c r="K84" s="107">
        <f t="shared" si="276"/>
        <v>7.1590909090909084E-3</v>
      </c>
      <c r="L84" s="107">
        <f t="shared" si="276"/>
        <v>6.4431818181818175E-3</v>
      </c>
      <c r="M84" s="107">
        <f t="shared" si="276"/>
        <v>6.4431818181818175E-3</v>
      </c>
      <c r="N84" s="107">
        <f t="shared" si="276"/>
        <v>6.4431818181818175E-3</v>
      </c>
      <c r="O84" s="107">
        <f t="shared" si="276"/>
        <v>6.4431818181818175E-3</v>
      </c>
      <c r="P84" s="107">
        <f t="shared" si="276"/>
        <v>6.4431818181818175E-3</v>
      </c>
      <c r="Q84" s="107">
        <f t="shared" si="276"/>
        <v>6.4431818181818175E-3</v>
      </c>
      <c r="R84" s="107">
        <f t="shared" si="276"/>
        <v>6.4431818181818175E-3</v>
      </c>
      <c r="S84" s="107">
        <f t="shared" si="276"/>
        <v>6.4431818181818175E-3</v>
      </c>
      <c r="T84" s="107">
        <f t="shared" si="276"/>
        <v>6.4431818181818175E-3</v>
      </c>
      <c r="U84" s="107">
        <f t="shared" si="276"/>
        <v>6.4431818181818175E-3</v>
      </c>
      <c r="V84" s="107">
        <f t="shared" si="276"/>
        <v>6.4431818181818175E-3</v>
      </c>
    </row>
    <row r="85" spans="1:22" x14ac:dyDescent="0.3">
      <c r="A85" s="104" t="s">
        <v>12</v>
      </c>
      <c r="B85" s="6"/>
      <c r="C85" s="6"/>
      <c r="D85" s="120"/>
      <c r="E85" s="120"/>
      <c r="F85" s="120"/>
      <c r="G85" s="120"/>
      <c r="H85" s="120"/>
      <c r="I85" s="120"/>
      <c r="J85" s="120"/>
      <c r="K85" s="120"/>
      <c r="L85" s="120"/>
      <c r="M85" s="120"/>
      <c r="N85" s="120"/>
      <c r="O85" s="120"/>
      <c r="P85" s="120"/>
      <c r="Q85" s="120"/>
      <c r="R85" s="120"/>
      <c r="S85" s="120"/>
      <c r="T85" s="120"/>
      <c r="U85" s="120"/>
      <c r="V85" s="120"/>
    </row>
    <row r="86" spans="1:22" x14ac:dyDescent="0.3">
      <c r="A86" s="105" t="s">
        <v>77</v>
      </c>
      <c r="B86" s="107">
        <f>$AA$8*B16/(100*$D$12)</f>
        <v>4.2154791154791066E-2</v>
      </c>
      <c r="C86" s="107">
        <f t="shared" ref="C86:V87" si="277">$AA$8*C16/(100*$D$12)</f>
        <v>5.3248157248157242E-2</v>
      </c>
      <c r="D86" s="107">
        <f t="shared" si="277"/>
        <v>7.0553808353808339E-2</v>
      </c>
      <c r="E86" s="107">
        <f t="shared" si="277"/>
        <v>9.1853071253071239E-2</v>
      </c>
      <c r="F86" s="107">
        <f t="shared" si="277"/>
        <v>9.3184275184275162E-2</v>
      </c>
      <c r="G86" s="107">
        <f t="shared" si="277"/>
        <v>8.6528255528255507E-2</v>
      </c>
      <c r="H86" s="107">
        <f t="shared" si="277"/>
        <v>8.6528255528255507E-2</v>
      </c>
      <c r="I86" s="107">
        <f t="shared" si="277"/>
        <v>8.6528255528255507E-2</v>
      </c>
      <c r="J86" s="107">
        <f t="shared" si="277"/>
        <v>8.6528255528255507E-2</v>
      </c>
      <c r="K86" s="107">
        <f t="shared" si="277"/>
        <v>7.9872235872235867E-2</v>
      </c>
      <c r="L86" s="107">
        <f t="shared" si="277"/>
        <v>7.9872235872235867E-2</v>
      </c>
      <c r="M86" s="107">
        <f t="shared" si="277"/>
        <v>7.9872235872235867E-2</v>
      </c>
      <c r="N86" s="107">
        <f t="shared" si="277"/>
        <v>7.9872235872235867E-2</v>
      </c>
      <c r="O86" s="107">
        <f t="shared" si="277"/>
        <v>7.3216216216216212E-2</v>
      </c>
      <c r="P86" s="107">
        <f t="shared" si="277"/>
        <v>7.3216216216216212E-2</v>
      </c>
      <c r="Q86" s="107">
        <f t="shared" si="277"/>
        <v>7.3216216216216212E-2</v>
      </c>
      <c r="R86" s="107">
        <f t="shared" si="277"/>
        <v>7.3216216216216212E-2</v>
      </c>
      <c r="S86" s="107">
        <f t="shared" si="277"/>
        <v>7.3216216216216212E-2</v>
      </c>
      <c r="T86" s="107">
        <f t="shared" si="277"/>
        <v>7.3216216216216212E-2</v>
      </c>
      <c r="U86" s="107">
        <f t="shared" si="277"/>
        <v>7.3216216216216212E-2</v>
      </c>
      <c r="V86" s="107">
        <f t="shared" si="277"/>
        <v>7.3216216216216212E-2</v>
      </c>
    </row>
    <row r="87" spans="1:22" x14ac:dyDescent="0.3">
      <c r="A87" s="105" t="s">
        <v>78</v>
      </c>
      <c r="B87" s="107">
        <f>$AA$8*B17/(100*$D$12)</f>
        <v>3.9936117936117933E-2</v>
      </c>
      <c r="C87" s="107">
        <f t="shared" si="277"/>
        <v>5.0585749385749383E-2</v>
      </c>
      <c r="D87" s="107">
        <f t="shared" si="277"/>
        <v>6.3897788697788699E-2</v>
      </c>
      <c r="E87" s="107">
        <f t="shared" si="277"/>
        <v>6.7891400491400494E-2</v>
      </c>
      <c r="F87" s="107">
        <f t="shared" si="277"/>
        <v>7.3216216216216212E-2</v>
      </c>
      <c r="G87" s="107">
        <f t="shared" si="277"/>
        <v>6.6560196560196544E-2</v>
      </c>
      <c r="H87" s="107">
        <f t="shared" si="277"/>
        <v>6.6560196560196544E-2</v>
      </c>
      <c r="I87" s="107">
        <f t="shared" si="277"/>
        <v>6.6560196560196544E-2</v>
      </c>
      <c r="J87" s="107">
        <f t="shared" si="277"/>
        <v>6.6560196560196544E-2</v>
      </c>
      <c r="K87" s="107">
        <f t="shared" si="277"/>
        <v>6.6560196560196544E-2</v>
      </c>
      <c r="L87" s="107">
        <f t="shared" si="277"/>
        <v>5.9904176904176897E-2</v>
      </c>
      <c r="M87" s="107">
        <f t="shared" si="277"/>
        <v>5.9904176904176897E-2</v>
      </c>
      <c r="N87" s="107">
        <f t="shared" si="277"/>
        <v>5.9904176904176897E-2</v>
      </c>
      <c r="O87" s="107">
        <f t="shared" si="277"/>
        <v>5.9904176904176897E-2</v>
      </c>
      <c r="P87" s="107">
        <f t="shared" si="277"/>
        <v>5.9904176904176897E-2</v>
      </c>
      <c r="Q87" s="107">
        <f t="shared" si="277"/>
        <v>5.9904176904176897E-2</v>
      </c>
      <c r="R87" s="107">
        <f t="shared" si="277"/>
        <v>5.9904176904176897E-2</v>
      </c>
      <c r="S87" s="107">
        <f t="shared" si="277"/>
        <v>5.9904176904176897E-2</v>
      </c>
      <c r="T87" s="107">
        <f t="shared" si="277"/>
        <v>5.9904176904176897E-2</v>
      </c>
      <c r="U87" s="107">
        <f t="shared" si="277"/>
        <v>5.9904176904176897E-2</v>
      </c>
      <c r="V87" s="107">
        <f t="shared" si="277"/>
        <v>5.9904176904176897E-2</v>
      </c>
    </row>
    <row r="88" spans="1:22" x14ac:dyDescent="0.3">
      <c r="A88" s="104" t="s">
        <v>81</v>
      </c>
      <c r="B88" s="49"/>
      <c r="C88" s="49"/>
      <c r="D88" s="49"/>
      <c r="E88" s="49"/>
      <c r="F88" s="49"/>
      <c r="G88" s="49"/>
      <c r="H88" s="49"/>
      <c r="I88" s="49"/>
      <c r="J88" s="49"/>
      <c r="K88" s="49"/>
      <c r="L88" s="49"/>
      <c r="M88" s="49"/>
      <c r="N88" s="49"/>
      <c r="O88" s="49"/>
      <c r="P88" s="49"/>
      <c r="Q88" s="49"/>
      <c r="R88" s="49"/>
      <c r="S88" s="49"/>
      <c r="T88" s="49"/>
      <c r="U88" s="49"/>
      <c r="V88" s="49"/>
    </row>
    <row r="89" spans="1:22" x14ac:dyDescent="0.3">
      <c r="A89" s="105" t="s">
        <v>77</v>
      </c>
      <c r="B89" s="107">
        <f>$AA$9*B16/(100*$D$12)</f>
        <v>0.17910578163390625</v>
      </c>
      <c r="C89" s="107">
        <f t="shared" ref="C89:V90" si="278">$AA$9*C16/(100*$D$12)</f>
        <v>0.22623888206388204</v>
      </c>
      <c r="D89" s="107">
        <f t="shared" si="278"/>
        <v>0.29976651873464366</v>
      </c>
      <c r="E89" s="107">
        <f t="shared" si="278"/>
        <v>0.39026207156019654</v>
      </c>
      <c r="F89" s="107">
        <f t="shared" si="278"/>
        <v>0.39591804361179361</v>
      </c>
      <c r="G89" s="107">
        <f t="shared" si="278"/>
        <v>0.36763818335380827</v>
      </c>
      <c r="H89" s="107">
        <f t="shared" si="278"/>
        <v>0.36763818335380827</v>
      </c>
      <c r="I89" s="107">
        <f t="shared" si="278"/>
        <v>0.36763818335380827</v>
      </c>
      <c r="J89" s="107">
        <f t="shared" si="278"/>
        <v>0.36763818335380827</v>
      </c>
      <c r="K89" s="107">
        <f t="shared" si="278"/>
        <v>0.33935832309582303</v>
      </c>
      <c r="L89" s="107">
        <f t="shared" si="278"/>
        <v>0.33935832309582303</v>
      </c>
      <c r="M89" s="107">
        <f t="shared" si="278"/>
        <v>0.33935832309582303</v>
      </c>
      <c r="N89" s="107">
        <f t="shared" si="278"/>
        <v>0.33935832309582303</v>
      </c>
      <c r="O89" s="107">
        <f t="shared" si="278"/>
        <v>0.31107846283783785</v>
      </c>
      <c r="P89" s="107">
        <f t="shared" si="278"/>
        <v>0.31107846283783785</v>
      </c>
      <c r="Q89" s="107">
        <f t="shared" si="278"/>
        <v>0.31107846283783785</v>
      </c>
      <c r="R89" s="107">
        <f t="shared" si="278"/>
        <v>0.31107846283783785</v>
      </c>
      <c r="S89" s="107">
        <f t="shared" si="278"/>
        <v>0.31107846283783785</v>
      </c>
      <c r="T89" s="107">
        <f t="shared" si="278"/>
        <v>0.31107846283783785</v>
      </c>
      <c r="U89" s="107">
        <f t="shared" si="278"/>
        <v>0.31107846283783785</v>
      </c>
      <c r="V89" s="107">
        <f t="shared" si="278"/>
        <v>0.31107846283783785</v>
      </c>
    </row>
    <row r="90" spans="1:22" x14ac:dyDescent="0.3">
      <c r="A90" s="105" t="s">
        <v>78</v>
      </c>
      <c r="B90" s="107">
        <f>$AA$9*B17/(100*$D$12)</f>
        <v>0.16967916154791152</v>
      </c>
      <c r="C90" s="107">
        <f t="shared" si="278"/>
        <v>0.21492693796068796</v>
      </c>
      <c r="D90" s="107">
        <f t="shared" si="278"/>
        <v>0.27148665847665848</v>
      </c>
      <c r="E90" s="107">
        <f t="shared" si="278"/>
        <v>0.28845457463144963</v>
      </c>
      <c r="F90" s="107">
        <f t="shared" si="278"/>
        <v>0.31107846283783785</v>
      </c>
      <c r="G90" s="107">
        <f t="shared" si="278"/>
        <v>0.28279860257985256</v>
      </c>
      <c r="H90" s="107">
        <f t="shared" si="278"/>
        <v>0.28279860257985256</v>
      </c>
      <c r="I90" s="107">
        <f t="shared" si="278"/>
        <v>0.28279860257985256</v>
      </c>
      <c r="J90" s="107">
        <f t="shared" si="278"/>
        <v>0.28279860257985256</v>
      </c>
      <c r="K90" s="107">
        <f t="shared" si="278"/>
        <v>0.28279860257985256</v>
      </c>
      <c r="L90" s="107">
        <f t="shared" si="278"/>
        <v>0.25451874232186728</v>
      </c>
      <c r="M90" s="107">
        <f t="shared" si="278"/>
        <v>0.25451874232186728</v>
      </c>
      <c r="N90" s="107">
        <f t="shared" si="278"/>
        <v>0.25451874232186728</v>
      </c>
      <c r="O90" s="107">
        <f t="shared" si="278"/>
        <v>0.25451874232186728</v>
      </c>
      <c r="P90" s="107">
        <f t="shared" si="278"/>
        <v>0.25451874232186728</v>
      </c>
      <c r="Q90" s="107">
        <f t="shared" si="278"/>
        <v>0.25451874232186728</v>
      </c>
      <c r="R90" s="107">
        <f t="shared" si="278"/>
        <v>0.25451874232186728</v>
      </c>
      <c r="S90" s="107">
        <f t="shared" si="278"/>
        <v>0.25451874232186728</v>
      </c>
      <c r="T90" s="107">
        <f t="shared" si="278"/>
        <v>0.25451874232186728</v>
      </c>
      <c r="U90" s="107">
        <f t="shared" si="278"/>
        <v>0.25451874232186728</v>
      </c>
      <c r="V90" s="107">
        <f t="shared" si="278"/>
        <v>0.25451874232186728</v>
      </c>
    </row>
    <row r="91" spans="1:22" x14ac:dyDescent="0.3">
      <c r="A91" s="104" t="s">
        <v>92</v>
      </c>
      <c r="B91" s="49"/>
      <c r="C91" s="49"/>
      <c r="D91" s="49"/>
      <c r="E91" s="49"/>
      <c r="F91" s="49"/>
      <c r="G91" s="49"/>
      <c r="H91" s="49"/>
      <c r="I91" s="49"/>
      <c r="J91" s="49"/>
      <c r="K91" s="49"/>
      <c r="L91" s="49"/>
      <c r="M91" s="49"/>
      <c r="N91" s="49"/>
      <c r="O91" s="49"/>
      <c r="P91" s="49"/>
      <c r="Q91" s="49"/>
      <c r="R91" s="49"/>
      <c r="S91" s="49"/>
      <c r="T91" s="49"/>
      <c r="U91" s="49"/>
      <c r="V91" s="49"/>
    </row>
    <row r="92" spans="1:22" x14ac:dyDescent="0.3">
      <c r="A92" s="105" t="s">
        <v>77</v>
      </c>
      <c r="B92" s="107">
        <f>$AA$10*B16/(100*$D$12)</f>
        <v>7.2046091830466674E-2</v>
      </c>
      <c r="C92" s="107">
        <f t="shared" ref="C92:V93" si="279">$AA$10*C16/(100*$D$12)</f>
        <v>9.1005589680589666E-2</v>
      </c>
      <c r="D92" s="107">
        <f t="shared" si="279"/>
        <v>0.12058240632678131</v>
      </c>
      <c r="E92" s="107">
        <f t="shared" si="279"/>
        <v>0.15698464219901717</v>
      </c>
      <c r="F92" s="107">
        <f t="shared" si="279"/>
        <v>0.15925978194103194</v>
      </c>
      <c r="G92" s="107">
        <f t="shared" si="279"/>
        <v>0.14788408323095822</v>
      </c>
      <c r="H92" s="107">
        <f t="shared" si="279"/>
        <v>0.14788408323095822</v>
      </c>
      <c r="I92" s="107">
        <f t="shared" si="279"/>
        <v>0.14788408323095822</v>
      </c>
      <c r="J92" s="107">
        <f t="shared" si="279"/>
        <v>0.14788408323095822</v>
      </c>
      <c r="K92" s="107">
        <f t="shared" si="279"/>
        <v>0.13650838452088448</v>
      </c>
      <c r="L92" s="107">
        <f t="shared" si="279"/>
        <v>0.13650838452088448</v>
      </c>
      <c r="M92" s="107">
        <f t="shared" si="279"/>
        <v>0.13650838452088448</v>
      </c>
      <c r="N92" s="107">
        <f t="shared" si="279"/>
        <v>0.13650838452088448</v>
      </c>
      <c r="O92" s="107">
        <f t="shared" si="279"/>
        <v>0.1251326858108108</v>
      </c>
      <c r="P92" s="107">
        <f t="shared" si="279"/>
        <v>0.1251326858108108</v>
      </c>
      <c r="Q92" s="107">
        <f t="shared" si="279"/>
        <v>0.1251326858108108</v>
      </c>
      <c r="R92" s="107">
        <f t="shared" si="279"/>
        <v>0.1251326858108108</v>
      </c>
      <c r="S92" s="107">
        <f t="shared" si="279"/>
        <v>0.1251326858108108</v>
      </c>
      <c r="T92" s="107">
        <f t="shared" si="279"/>
        <v>0.1251326858108108</v>
      </c>
      <c r="U92" s="107">
        <f t="shared" si="279"/>
        <v>0.1251326858108108</v>
      </c>
      <c r="V92" s="107">
        <f t="shared" si="279"/>
        <v>0.1251326858108108</v>
      </c>
    </row>
    <row r="93" spans="1:22" x14ac:dyDescent="0.3">
      <c r="A93" s="105" t="s">
        <v>78</v>
      </c>
      <c r="B93" s="107">
        <f>$AA$10*B17/(100*$D$12)</f>
        <v>6.8254192260442242E-2</v>
      </c>
      <c r="C93" s="107">
        <f t="shared" si="279"/>
        <v>8.6455310196560192E-2</v>
      </c>
      <c r="D93" s="107">
        <f t="shared" si="279"/>
        <v>0.1092067076167076</v>
      </c>
      <c r="E93" s="107">
        <f t="shared" si="279"/>
        <v>0.11603212684275184</v>
      </c>
      <c r="F93" s="107">
        <f t="shared" si="279"/>
        <v>0.1251326858108108</v>
      </c>
      <c r="G93" s="107">
        <f t="shared" si="279"/>
        <v>0.11375698710073708</v>
      </c>
      <c r="H93" s="107">
        <f t="shared" si="279"/>
        <v>0.11375698710073708</v>
      </c>
      <c r="I93" s="107">
        <f t="shared" si="279"/>
        <v>0.11375698710073708</v>
      </c>
      <c r="J93" s="107">
        <f t="shared" si="279"/>
        <v>0.11375698710073708</v>
      </c>
      <c r="K93" s="107">
        <f t="shared" si="279"/>
        <v>0.11375698710073708</v>
      </c>
      <c r="L93" s="107">
        <f t="shared" si="279"/>
        <v>0.10238128839066338</v>
      </c>
      <c r="M93" s="107">
        <f t="shared" si="279"/>
        <v>0.10238128839066338</v>
      </c>
      <c r="N93" s="107">
        <f t="shared" si="279"/>
        <v>0.10238128839066338</v>
      </c>
      <c r="O93" s="107">
        <f t="shared" si="279"/>
        <v>0.10238128839066338</v>
      </c>
      <c r="P93" s="107">
        <f t="shared" si="279"/>
        <v>0.10238128839066338</v>
      </c>
      <c r="Q93" s="107">
        <f t="shared" si="279"/>
        <v>0.10238128839066338</v>
      </c>
      <c r="R93" s="107">
        <f t="shared" si="279"/>
        <v>0.10238128839066338</v>
      </c>
      <c r="S93" s="107">
        <f t="shared" si="279"/>
        <v>0.10238128839066338</v>
      </c>
      <c r="T93" s="107">
        <f t="shared" si="279"/>
        <v>0.10238128839066338</v>
      </c>
      <c r="U93" s="107">
        <f t="shared" si="279"/>
        <v>0.10238128839066338</v>
      </c>
      <c r="V93" s="107">
        <f t="shared" si="279"/>
        <v>0.10238128839066338</v>
      </c>
    </row>
    <row r="94" spans="1:22" x14ac:dyDescent="0.3">
      <c r="A94" s="108" t="s">
        <v>85</v>
      </c>
      <c r="B94" s="107"/>
      <c r="C94" s="107"/>
      <c r="D94" s="107"/>
      <c r="E94" s="107"/>
      <c r="F94" s="107"/>
      <c r="G94" s="107"/>
      <c r="H94" s="107"/>
      <c r="I94" s="107"/>
      <c r="J94" s="107"/>
      <c r="K94" s="107"/>
      <c r="L94" s="107"/>
      <c r="M94" s="107"/>
      <c r="N94" s="107"/>
      <c r="O94" s="107"/>
      <c r="P94" s="107"/>
      <c r="Q94" s="107"/>
      <c r="R94" s="107"/>
      <c r="S94" s="107"/>
      <c r="T94" s="107"/>
      <c r="U94" s="107"/>
      <c r="V94" s="107"/>
    </row>
    <row r="95" spans="1:22" x14ac:dyDescent="0.3">
      <c r="A95" s="105" t="s">
        <v>77</v>
      </c>
      <c r="B95" s="107">
        <f>$AA$11*B16/(100*$D$12)</f>
        <v>0.2294617628992624</v>
      </c>
      <c r="C95" s="107">
        <f t="shared" ref="C95:V96" si="280">$AA$11*C16/(100*$D$12)</f>
        <v>0.28984643734643734</v>
      </c>
      <c r="D95" s="107">
        <f t="shared" si="280"/>
        <v>0.38404652948402945</v>
      </c>
      <c r="E95" s="107">
        <f t="shared" si="280"/>
        <v>0.49998510442260446</v>
      </c>
      <c r="F95" s="107">
        <f t="shared" si="280"/>
        <v>0.50723126535626528</v>
      </c>
      <c r="G95" s="107">
        <f t="shared" si="280"/>
        <v>0.47100046068796064</v>
      </c>
      <c r="H95" s="107">
        <f t="shared" si="280"/>
        <v>0.47100046068796064</v>
      </c>
      <c r="I95" s="107">
        <f t="shared" si="280"/>
        <v>0.47100046068796064</v>
      </c>
      <c r="J95" s="107">
        <f t="shared" si="280"/>
        <v>0.47100046068796064</v>
      </c>
      <c r="K95" s="107">
        <f t="shared" si="280"/>
        <v>0.43476965601965595</v>
      </c>
      <c r="L95" s="107">
        <f t="shared" si="280"/>
        <v>0.43476965601965595</v>
      </c>
      <c r="M95" s="107">
        <f t="shared" si="280"/>
        <v>0.43476965601965595</v>
      </c>
      <c r="N95" s="107">
        <f t="shared" si="280"/>
        <v>0.43476965601965595</v>
      </c>
      <c r="O95" s="107">
        <f t="shared" si="280"/>
        <v>0.39853885135135131</v>
      </c>
      <c r="P95" s="107">
        <f t="shared" si="280"/>
        <v>0.39853885135135131</v>
      </c>
      <c r="Q95" s="107">
        <f t="shared" si="280"/>
        <v>0.39853885135135131</v>
      </c>
      <c r="R95" s="107">
        <f t="shared" si="280"/>
        <v>0.39853885135135131</v>
      </c>
      <c r="S95" s="107">
        <f t="shared" si="280"/>
        <v>0.39853885135135131</v>
      </c>
      <c r="T95" s="107">
        <f t="shared" si="280"/>
        <v>0.39853885135135131</v>
      </c>
      <c r="U95" s="107">
        <f t="shared" si="280"/>
        <v>0.39853885135135131</v>
      </c>
      <c r="V95" s="107">
        <f t="shared" si="280"/>
        <v>0.39853885135135131</v>
      </c>
    </row>
    <row r="96" spans="1:22" x14ac:dyDescent="0.3">
      <c r="A96" s="105" t="s">
        <v>78</v>
      </c>
      <c r="B96" s="107">
        <f>$AA$11*B17/(100*$D$12)</f>
        <v>0.21738482800982797</v>
      </c>
      <c r="C96" s="107">
        <f t="shared" si="280"/>
        <v>0.27535411547911548</v>
      </c>
      <c r="D96" s="107">
        <f t="shared" si="280"/>
        <v>0.34781572481572481</v>
      </c>
      <c r="E96" s="107">
        <f t="shared" si="280"/>
        <v>0.36955420761670765</v>
      </c>
      <c r="F96" s="107">
        <f t="shared" si="280"/>
        <v>0.39853885135135131</v>
      </c>
      <c r="G96" s="107">
        <f t="shared" si="280"/>
        <v>0.36230804668304661</v>
      </c>
      <c r="H96" s="107">
        <f t="shared" si="280"/>
        <v>0.36230804668304661</v>
      </c>
      <c r="I96" s="107">
        <f t="shared" si="280"/>
        <v>0.36230804668304661</v>
      </c>
      <c r="J96" s="107">
        <f t="shared" si="280"/>
        <v>0.36230804668304661</v>
      </c>
      <c r="K96" s="107">
        <f t="shared" si="280"/>
        <v>0.36230804668304661</v>
      </c>
      <c r="L96" s="107">
        <f t="shared" si="280"/>
        <v>0.32607724201474203</v>
      </c>
      <c r="M96" s="107">
        <f t="shared" si="280"/>
        <v>0.32607724201474203</v>
      </c>
      <c r="N96" s="107">
        <f t="shared" si="280"/>
        <v>0.32607724201474203</v>
      </c>
      <c r="O96" s="107">
        <f t="shared" si="280"/>
        <v>0.32607724201474203</v>
      </c>
      <c r="P96" s="107">
        <f t="shared" si="280"/>
        <v>0.32607724201474203</v>
      </c>
      <c r="Q96" s="107">
        <f t="shared" si="280"/>
        <v>0.32607724201474203</v>
      </c>
      <c r="R96" s="107">
        <f t="shared" si="280"/>
        <v>0.32607724201474203</v>
      </c>
      <c r="S96" s="107">
        <f t="shared" si="280"/>
        <v>0.32607724201474203</v>
      </c>
      <c r="T96" s="107">
        <f t="shared" si="280"/>
        <v>0.32607724201474203</v>
      </c>
      <c r="U96" s="107">
        <f t="shared" si="280"/>
        <v>0.32607724201474203</v>
      </c>
      <c r="V96" s="107">
        <f t="shared" si="280"/>
        <v>0.32607724201474203</v>
      </c>
    </row>
  </sheetData>
  <mergeCells count="4">
    <mergeCell ref="B2:C2"/>
    <mergeCell ref="D2:E2"/>
    <mergeCell ref="F2:G2"/>
    <mergeCell ref="H2:H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activeCell="C11" sqref="C11"/>
    </sheetView>
  </sheetViews>
  <sheetFormatPr defaultRowHeight="14.4" x14ac:dyDescent="0.3"/>
  <cols>
    <col min="1" max="1" width="9.109375" style="49"/>
    <col min="2" max="2" width="33.44140625" bestFit="1" customWidth="1"/>
    <col min="3" max="3" width="14.77734375" bestFit="1" customWidth="1"/>
    <col min="4" max="4" width="28.77734375" bestFit="1" customWidth="1"/>
    <col min="5" max="5" width="31.88671875" bestFit="1" customWidth="1"/>
    <col min="6" max="6" width="15.44140625" bestFit="1" customWidth="1"/>
    <col min="7" max="7" width="20.5546875" bestFit="1" customWidth="1"/>
    <col min="8" max="8" width="17.44140625" bestFit="1" customWidth="1"/>
  </cols>
  <sheetData>
    <row r="1" spans="1:9" x14ac:dyDescent="0.3">
      <c r="B1" s="49" t="s">
        <v>189</v>
      </c>
      <c r="C1" s="49" t="s">
        <v>190</v>
      </c>
      <c r="D1" s="49" t="s">
        <v>202</v>
      </c>
      <c r="E1" s="132" t="s">
        <v>191</v>
      </c>
      <c r="F1" s="97" t="s">
        <v>200</v>
      </c>
      <c r="G1" s="98" t="s">
        <v>201</v>
      </c>
      <c r="H1" t="s">
        <v>187</v>
      </c>
      <c r="I1" s="132" t="s">
        <v>188</v>
      </c>
    </row>
    <row r="2" spans="1:9" x14ac:dyDescent="0.3">
      <c r="A2" s="49" t="s">
        <v>82</v>
      </c>
      <c r="B2" s="49">
        <v>1.77</v>
      </c>
      <c r="C2" s="49">
        <v>0.45</v>
      </c>
      <c r="D2" s="49">
        <v>1.34</v>
      </c>
      <c r="E2" s="147">
        <v>1.8</v>
      </c>
      <c r="F2" s="116">
        <v>2.2999999999999998</v>
      </c>
      <c r="G2" s="117">
        <v>0</v>
      </c>
      <c r="H2">
        <f t="shared" ref="H2:H10" si="0">F2*$F$10+$G$10*G2</f>
        <v>1.8399999999999999</v>
      </c>
      <c r="I2" t="s">
        <v>198</v>
      </c>
    </row>
    <row r="3" spans="1:9" x14ac:dyDescent="0.3">
      <c r="A3" s="49" t="s">
        <v>83</v>
      </c>
      <c r="B3" s="49">
        <v>7.54</v>
      </c>
      <c r="C3" s="49">
        <v>2.52</v>
      </c>
      <c r="D3" s="49">
        <v>4.09</v>
      </c>
      <c r="E3" s="147">
        <v>6.7</v>
      </c>
      <c r="F3" s="116">
        <v>7.2</v>
      </c>
      <c r="G3" s="117">
        <v>0</v>
      </c>
      <c r="H3" s="49">
        <f t="shared" si="0"/>
        <v>5.7600000000000007</v>
      </c>
      <c r="I3" t="s">
        <v>197</v>
      </c>
    </row>
    <row r="4" spans="1:9" x14ac:dyDescent="0.3">
      <c r="A4" s="49" t="s">
        <v>6</v>
      </c>
      <c r="B4" s="49">
        <v>6.92</v>
      </c>
      <c r="C4" s="49">
        <v>7.98</v>
      </c>
      <c r="D4" s="49">
        <v>7.78</v>
      </c>
      <c r="E4" s="147">
        <v>4</v>
      </c>
      <c r="F4" s="116">
        <v>6.7</v>
      </c>
      <c r="G4" s="117">
        <v>7</v>
      </c>
      <c r="H4" s="49">
        <f t="shared" si="0"/>
        <v>6.7600000000000007</v>
      </c>
      <c r="I4" t="s">
        <v>196</v>
      </c>
    </row>
    <row r="5" spans="1:9" s="167" customFormat="1" x14ac:dyDescent="0.3">
      <c r="A5" s="167" t="s">
        <v>7</v>
      </c>
      <c r="B5" s="167">
        <v>1.25</v>
      </c>
      <c r="C5" s="167">
        <v>0.76</v>
      </c>
      <c r="D5" s="167">
        <v>0.74</v>
      </c>
      <c r="E5" s="168">
        <v>1.2</v>
      </c>
      <c r="F5" s="169">
        <v>1</v>
      </c>
      <c r="G5" s="170">
        <v>2</v>
      </c>
      <c r="H5" s="167">
        <f t="shared" si="0"/>
        <v>1.2000000000000002</v>
      </c>
      <c r="I5" s="167" t="s">
        <v>195</v>
      </c>
    </row>
    <row r="6" spans="1:9" x14ac:dyDescent="0.3">
      <c r="A6" s="49" t="s">
        <v>81</v>
      </c>
      <c r="B6" s="49">
        <v>46.11</v>
      </c>
      <c r="C6" s="49">
        <v>29.99</v>
      </c>
      <c r="D6" s="49">
        <v>29.23</v>
      </c>
      <c r="E6" s="147">
        <v>54</v>
      </c>
      <c r="F6" s="116">
        <v>46.8</v>
      </c>
      <c r="G6" s="117">
        <v>52</v>
      </c>
      <c r="H6" s="49">
        <f t="shared" si="0"/>
        <v>47.839999999999996</v>
      </c>
      <c r="I6" t="s">
        <v>192</v>
      </c>
    </row>
    <row r="7" spans="1:9" x14ac:dyDescent="0.3">
      <c r="A7" s="49" t="s">
        <v>12</v>
      </c>
      <c r="B7" s="49">
        <v>2.36</v>
      </c>
      <c r="C7" s="49">
        <v>7.06</v>
      </c>
      <c r="D7" s="49">
        <v>6.88</v>
      </c>
      <c r="E7" s="147">
        <v>2.2999999999999998</v>
      </c>
      <c r="F7" s="116">
        <v>2</v>
      </c>
      <c r="G7" s="117">
        <v>3.8</v>
      </c>
      <c r="H7" s="49">
        <f t="shared" si="0"/>
        <v>2.3600000000000003</v>
      </c>
      <c r="I7" t="s">
        <v>199</v>
      </c>
    </row>
    <row r="8" spans="1:9" x14ac:dyDescent="0.3">
      <c r="A8" s="49" t="s">
        <v>84</v>
      </c>
      <c r="B8" s="49">
        <v>12.77</v>
      </c>
      <c r="C8" s="49">
        <v>12.06</v>
      </c>
      <c r="D8" s="49">
        <v>11.76</v>
      </c>
      <c r="E8" s="147">
        <v>10</v>
      </c>
      <c r="F8" s="116">
        <v>8</v>
      </c>
      <c r="G8" s="117">
        <v>12</v>
      </c>
      <c r="H8" s="49">
        <f>F8*$F$10+$G$10*G8</f>
        <v>8.8000000000000007</v>
      </c>
      <c r="I8" t="s">
        <v>194</v>
      </c>
    </row>
    <row r="9" spans="1:9" ht="15" thickBot="1" x14ac:dyDescent="0.35">
      <c r="A9" s="49" t="s">
        <v>85</v>
      </c>
      <c r="B9" s="49">
        <v>20.399999999999999</v>
      </c>
      <c r="C9" s="49">
        <v>38.43</v>
      </c>
      <c r="D9" s="49">
        <v>37.450000000000003</v>
      </c>
      <c r="E9" s="147">
        <v>20</v>
      </c>
      <c r="F9" s="118">
        <v>26</v>
      </c>
      <c r="G9" s="119">
        <v>26</v>
      </c>
      <c r="H9" s="49">
        <f t="shared" si="0"/>
        <v>26</v>
      </c>
      <c r="I9" t="s">
        <v>193</v>
      </c>
    </row>
    <row r="10" spans="1:9" x14ac:dyDescent="0.3">
      <c r="F10" s="165">
        <v>0.8</v>
      </c>
      <c r="G10" s="166">
        <v>0.2</v>
      </c>
      <c r="H10">
        <f t="shared" si="0"/>
        <v>0.68000000000000016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
  <sheetViews>
    <sheetView workbookViewId="0">
      <selection activeCell="J12" sqref="J12"/>
    </sheetView>
  </sheetViews>
  <sheetFormatPr defaultRowHeight="14.4" x14ac:dyDescent="0.3"/>
  <cols>
    <col min="1" max="4" width="9.109375" customWidth="1"/>
    <col min="5" max="5" width="12.77734375" customWidth="1"/>
    <col min="6" max="7" width="9.109375" customWidth="1"/>
    <col min="8" max="8" width="9.109375" style="49" customWidth="1"/>
    <col min="9" max="9" width="11.88671875" customWidth="1"/>
    <col min="10" max="11" width="9.109375" customWidth="1"/>
    <col min="12" max="12" width="11.88671875" bestFit="1" customWidth="1"/>
  </cols>
  <sheetData>
    <row r="1" spans="1:12" s="49" customFormat="1" x14ac:dyDescent="0.3">
      <c r="B1" s="103" t="s">
        <v>125</v>
      </c>
      <c r="C1" s="103"/>
      <c r="D1" s="103" t="s">
        <v>126</v>
      </c>
      <c r="E1" s="103"/>
    </row>
    <row r="2" spans="1:12" x14ac:dyDescent="0.3">
      <c r="B2" s="103" t="s">
        <v>123</v>
      </c>
      <c r="C2" s="103" t="s">
        <v>124</v>
      </c>
      <c r="D2" s="103" t="s">
        <v>123</v>
      </c>
      <c r="E2" s="103" t="s">
        <v>124</v>
      </c>
      <c r="F2" s="103" t="s">
        <v>152</v>
      </c>
      <c r="G2" s="103" t="s">
        <v>153</v>
      </c>
      <c r="H2" s="103"/>
    </row>
    <row r="3" spans="1:12" x14ac:dyDescent="0.3">
      <c r="A3" t="s">
        <v>81</v>
      </c>
      <c r="C3" s="158"/>
      <c r="D3" s="184" t="s">
        <v>141</v>
      </c>
      <c r="E3" s="184" t="s">
        <v>142</v>
      </c>
      <c r="F3">
        <v>3.2067183462532296</v>
      </c>
      <c r="G3" s="183">
        <v>860</v>
      </c>
      <c r="H3" s="156"/>
    </row>
    <row r="4" spans="1:12" x14ac:dyDescent="0.3">
      <c r="A4" t="s">
        <v>127</v>
      </c>
      <c r="C4" s="158"/>
      <c r="D4" s="184"/>
      <c r="E4" s="184"/>
      <c r="F4">
        <v>0.81226325757575757</v>
      </c>
      <c r="G4" s="183"/>
      <c r="H4" s="161">
        <f>100*G3/$G$21</f>
        <v>35.279187677180019</v>
      </c>
      <c r="I4" s="49" t="s">
        <v>82</v>
      </c>
      <c r="J4" s="61">
        <f>ROUND(H13, 2)</f>
        <v>0.45</v>
      </c>
    </row>
    <row r="5" spans="1:12" x14ac:dyDescent="0.3">
      <c r="A5" t="s">
        <v>128</v>
      </c>
      <c r="B5">
        <v>50</v>
      </c>
      <c r="C5" s="61" t="s">
        <v>143</v>
      </c>
      <c r="F5">
        <v>3.4424410540915393</v>
      </c>
      <c r="G5">
        <f>F5*B5</f>
        <v>172.12205270457696</v>
      </c>
      <c r="H5" s="161">
        <f>100*G5/$G$21</f>
        <v>7.0608444194723736</v>
      </c>
      <c r="I5" s="49" t="s">
        <v>83</v>
      </c>
      <c r="J5" s="61">
        <f>ROUND(H16+H15, 2)</f>
        <v>2.52</v>
      </c>
    </row>
    <row r="6" spans="1:12" x14ac:dyDescent="0.3">
      <c r="A6" t="s">
        <v>129</v>
      </c>
      <c r="B6">
        <v>25</v>
      </c>
      <c r="C6" s="61" t="s">
        <v>144</v>
      </c>
      <c r="F6" s="159">
        <v>3.4424410540915393</v>
      </c>
      <c r="G6" s="49">
        <f>F6*B6</f>
        <v>86.061026352288479</v>
      </c>
      <c r="H6" s="160">
        <f t="shared" ref="H6:H18" si="0">100*G6/$G$21</f>
        <v>3.5304222097361868</v>
      </c>
      <c r="I6" s="49" t="s">
        <v>6</v>
      </c>
      <c r="J6" s="61">
        <f>ROUND(H18, 2)</f>
        <v>7.98</v>
      </c>
    </row>
    <row r="7" spans="1:12" x14ac:dyDescent="0.3">
      <c r="A7" t="s">
        <v>10</v>
      </c>
      <c r="B7">
        <v>50</v>
      </c>
      <c r="C7" s="61">
        <v>2</v>
      </c>
      <c r="F7">
        <v>2.4957264957264953</v>
      </c>
      <c r="G7" s="49">
        <f t="shared" ref="G7:G9" si="1">F7*B7</f>
        <v>124.78632478632477</v>
      </c>
      <c r="H7" s="160">
        <f t="shared" si="0"/>
        <v>5.119023455444526</v>
      </c>
      <c r="I7" s="49" t="s">
        <v>7</v>
      </c>
      <c r="J7" s="61">
        <f>ROUND(H17, 2)</f>
        <v>0.76</v>
      </c>
    </row>
    <row r="8" spans="1:12" x14ac:dyDescent="0.3">
      <c r="A8" t="s">
        <v>130</v>
      </c>
      <c r="B8">
        <v>300</v>
      </c>
      <c r="C8" s="158" t="s">
        <v>145</v>
      </c>
      <c r="F8">
        <v>0.2468322892938497</v>
      </c>
      <c r="G8" s="49">
        <f t="shared" si="1"/>
        <v>74.049686788154915</v>
      </c>
      <c r="H8" s="161">
        <f t="shared" si="0"/>
        <v>3.0376892995764124</v>
      </c>
      <c r="I8" s="49" t="s">
        <v>12</v>
      </c>
      <c r="J8" s="61">
        <f>ROUND(H5, 2)</f>
        <v>7.06</v>
      </c>
    </row>
    <row r="9" spans="1:12" x14ac:dyDescent="0.3">
      <c r="A9" t="s">
        <v>131</v>
      </c>
      <c r="B9">
        <v>200</v>
      </c>
      <c r="C9" s="158" t="s">
        <v>146</v>
      </c>
      <c r="F9">
        <v>0.45466803647104148</v>
      </c>
      <c r="G9" s="49">
        <f t="shared" si="1"/>
        <v>90.933607294208301</v>
      </c>
      <c r="H9" s="161">
        <f t="shared" si="0"/>
        <v>3.7303067417387914</v>
      </c>
      <c r="I9" s="49" t="s">
        <v>81</v>
      </c>
      <c r="J9" s="61">
        <f>ROUND(H4, 2)*0.85</f>
        <v>29.988</v>
      </c>
    </row>
    <row r="10" spans="1:12" x14ac:dyDescent="0.3">
      <c r="A10" t="s">
        <v>26</v>
      </c>
      <c r="C10" s="61"/>
      <c r="D10">
        <v>31</v>
      </c>
      <c r="E10" t="s">
        <v>147</v>
      </c>
      <c r="F10">
        <v>0.31670300000000001</v>
      </c>
      <c r="G10">
        <f>F10*D10</f>
        <v>9.817793</v>
      </c>
      <c r="H10" s="160">
        <f t="shared" si="0"/>
        <v>0.40274856025895844</v>
      </c>
      <c r="I10" s="49" t="s">
        <v>84</v>
      </c>
      <c r="J10" s="61">
        <f>ROUND(H8+H9, 2)+0.15*ROUND(H4, 2)</f>
        <v>12.061999999999999</v>
      </c>
    </row>
    <row r="11" spans="1:12" x14ac:dyDescent="0.3">
      <c r="A11" t="s">
        <v>132</v>
      </c>
      <c r="C11" s="61"/>
      <c r="D11">
        <v>6.8</v>
      </c>
      <c r="E11">
        <v>1</v>
      </c>
      <c r="F11">
        <v>2.9514824797843699</v>
      </c>
      <c r="G11" s="49">
        <f t="shared" ref="G11:G12" si="2">F11*D11</f>
        <v>20.070080862533715</v>
      </c>
      <c r="H11" s="160">
        <f t="shared" si="0"/>
        <v>0.82332110400640224</v>
      </c>
      <c r="I11" s="49" t="s">
        <v>85</v>
      </c>
      <c r="J11" s="61">
        <f>ROUND(H10+H11+H12+H6+H7, 2)</f>
        <v>38.43</v>
      </c>
      <c r="L11" s="183"/>
    </row>
    <row r="12" spans="1:12" x14ac:dyDescent="0.3">
      <c r="A12" t="s">
        <v>133</v>
      </c>
      <c r="C12" s="61"/>
      <c r="D12">
        <v>80</v>
      </c>
      <c r="E12" t="s">
        <v>142</v>
      </c>
      <c r="F12">
        <v>8.699648197009676</v>
      </c>
      <c r="G12" s="49">
        <f t="shared" si="2"/>
        <v>695.97185576077413</v>
      </c>
      <c r="H12" s="160">
        <f t="shared" si="0"/>
        <v>28.550374090022807</v>
      </c>
      <c r="L12" s="183"/>
    </row>
    <row r="13" spans="1:12" x14ac:dyDescent="0.3">
      <c r="A13" t="s">
        <v>134</v>
      </c>
      <c r="C13" s="61"/>
      <c r="D13" s="184" t="s">
        <v>148</v>
      </c>
      <c r="E13" s="185" t="s">
        <v>149</v>
      </c>
      <c r="F13">
        <v>1.5665236051502101</v>
      </c>
      <c r="G13">
        <f>7*F13</f>
        <v>10.965665236051471</v>
      </c>
      <c r="H13" s="161">
        <f t="shared" si="0"/>
        <v>0.44983693240440503</v>
      </c>
    </row>
    <row r="14" spans="1:12" x14ac:dyDescent="0.3">
      <c r="A14" t="s">
        <v>135</v>
      </c>
      <c r="C14" s="61"/>
      <c r="D14" s="184"/>
      <c r="E14" s="185"/>
      <c r="F14">
        <v>1.5665236051502101</v>
      </c>
      <c r="H14" s="160">
        <f t="shared" si="0"/>
        <v>0</v>
      </c>
    </row>
    <row r="15" spans="1:12" x14ac:dyDescent="0.3">
      <c r="A15" t="s">
        <v>136</v>
      </c>
      <c r="C15" s="61"/>
      <c r="D15" s="184"/>
      <c r="E15" s="185"/>
      <c r="F15">
        <v>2.8252184769038702</v>
      </c>
      <c r="G15">
        <f>7*F15</f>
        <v>19.776529338327091</v>
      </c>
      <c r="H15" s="161">
        <f>100*G15/$G$21</f>
        <v>0.81127894201174211</v>
      </c>
    </row>
    <row r="16" spans="1:12" x14ac:dyDescent="0.3">
      <c r="A16" t="s">
        <v>137</v>
      </c>
      <c r="C16" s="61"/>
      <c r="D16">
        <v>29</v>
      </c>
      <c r="E16" s="158" t="s">
        <v>143</v>
      </c>
      <c r="F16">
        <v>1.4366244162775184</v>
      </c>
      <c r="G16">
        <f>F16*D16</f>
        <v>41.662108072048035</v>
      </c>
      <c r="H16" s="161">
        <f t="shared" si="0"/>
        <v>1.7090759647683011</v>
      </c>
    </row>
    <row r="17" spans="1:8" x14ac:dyDescent="0.3">
      <c r="A17" t="s">
        <v>138</v>
      </c>
      <c r="C17" s="61"/>
      <c r="D17">
        <v>13</v>
      </c>
      <c r="E17" s="158" t="s">
        <v>151</v>
      </c>
      <c r="F17">
        <v>1.4298150163220891</v>
      </c>
      <c r="G17" s="49">
        <f t="shared" ref="G17:G18" si="3">F17*D17</f>
        <v>18.587595212187157</v>
      </c>
      <c r="H17" s="161">
        <f t="shared" si="0"/>
        <v>0.76250611623046916</v>
      </c>
    </row>
    <row r="18" spans="1:8" x14ac:dyDescent="0.3">
      <c r="A18" t="s">
        <v>139</v>
      </c>
      <c r="C18" s="61"/>
      <c r="D18">
        <v>250</v>
      </c>
      <c r="E18" s="158" t="s">
        <v>150</v>
      </c>
      <c r="F18">
        <v>0.77834333476210893</v>
      </c>
      <c r="G18" s="49">
        <f t="shared" si="3"/>
        <v>194.58583369052724</v>
      </c>
      <c r="H18" s="161">
        <f t="shared" si="0"/>
        <v>7.9823606349868017</v>
      </c>
    </row>
    <row r="19" spans="1:8" x14ac:dyDescent="0.3">
      <c r="A19" t="s">
        <v>140</v>
      </c>
      <c r="B19">
        <v>28</v>
      </c>
      <c r="C19" s="61">
        <v>0.5</v>
      </c>
      <c r="E19" s="158"/>
      <c r="F19">
        <v>0.65384615384615374</v>
      </c>
      <c r="G19">
        <f>F19*B19</f>
        <v>18.307692307692307</v>
      </c>
      <c r="H19" s="160">
        <f>100*G19/$G$21</f>
        <v>0.75102385216179279</v>
      </c>
    </row>
    <row r="20" spans="1:8" x14ac:dyDescent="0.3">
      <c r="H20" s="156"/>
    </row>
    <row r="21" spans="1:8" x14ac:dyDescent="0.3">
      <c r="F21" t="s">
        <v>154</v>
      </c>
      <c r="G21">
        <f>SUM(G3:G19)</f>
        <v>2437.697851405695</v>
      </c>
    </row>
  </sheetData>
  <mergeCells count="6">
    <mergeCell ref="L11:L12"/>
    <mergeCell ref="D3:D4"/>
    <mergeCell ref="E3:E4"/>
    <mergeCell ref="D13:D15"/>
    <mergeCell ref="E13:E15"/>
    <mergeCell ref="G3:G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
  <sheetViews>
    <sheetView workbookViewId="0">
      <selection activeCell="J4" sqref="J4:J11"/>
    </sheetView>
  </sheetViews>
  <sheetFormatPr defaultColWidth="9.109375" defaultRowHeight="14.4" x14ac:dyDescent="0.3"/>
  <cols>
    <col min="1" max="4" width="9.109375" style="49" customWidth="1"/>
    <col min="5" max="5" width="12.77734375" style="49" customWidth="1"/>
    <col min="6" max="8" width="9.109375" style="49" customWidth="1"/>
    <col min="9" max="9" width="11.88671875" style="49" customWidth="1"/>
    <col min="10" max="11" width="9.109375" style="49" customWidth="1"/>
    <col min="12" max="12" width="11.88671875" style="49" bestFit="1" customWidth="1"/>
    <col min="13" max="16384" width="9.109375" style="49"/>
  </cols>
  <sheetData>
    <row r="1" spans="1:12" x14ac:dyDescent="0.3">
      <c r="B1" s="103" t="s">
        <v>125</v>
      </c>
      <c r="C1" s="103"/>
      <c r="D1" s="103" t="s">
        <v>126</v>
      </c>
      <c r="E1" s="103"/>
    </row>
    <row r="2" spans="1:12" x14ac:dyDescent="0.3">
      <c r="B2" s="103" t="s">
        <v>123</v>
      </c>
      <c r="C2" s="103" t="s">
        <v>124</v>
      </c>
      <c r="D2" s="103" t="s">
        <v>123</v>
      </c>
      <c r="E2" s="103" t="s">
        <v>124</v>
      </c>
      <c r="F2" s="103" t="s">
        <v>152</v>
      </c>
      <c r="G2" s="103" t="s">
        <v>153</v>
      </c>
      <c r="H2" s="103"/>
    </row>
    <row r="3" spans="1:12" x14ac:dyDescent="0.3">
      <c r="A3" s="49" t="s">
        <v>81</v>
      </c>
      <c r="C3" s="158"/>
      <c r="D3" s="184" t="s">
        <v>141</v>
      </c>
      <c r="E3" s="184" t="s">
        <v>142</v>
      </c>
      <c r="F3" s="49">
        <v>3.2067183462532296</v>
      </c>
      <c r="G3" s="183">
        <v>860</v>
      </c>
      <c r="H3" s="157"/>
    </row>
    <row r="4" spans="1:12" x14ac:dyDescent="0.3">
      <c r="A4" s="49" t="s">
        <v>127</v>
      </c>
      <c r="C4" s="158"/>
      <c r="D4" s="184"/>
      <c r="E4" s="184"/>
      <c r="F4" s="49">
        <v>0.81226325757575757</v>
      </c>
      <c r="G4" s="183"/>
      <c r="H4" s="161">
        <f>100*G3/$G$21</f>
        <v>34.385359872793828</v>
      </c>
      <c r="I4" s="49" t="s">
        <v>82</v>
      </c>
      <c r="J4" s="61">
        <f>ROUND(H13, 2)</f>
        <v>1.34</v>
      </c>
    </row>
    <row r="5" spans="1:12" x14ac:dyDescent="0.3">
      <c r="A5" s="49" t="s">
        <v>128</v>
      </c>
      <c r="B5" s="49">
        <v>50</v>
      </c>
      <c r="C5" s="61" t="s">
        <v>143</v>
      </c>
      <c r="F5" s="49">
        <v>3.4424410540915393</v>
      </c>
      <c r="G5" s="49">
        <f>F5*B5</f>
        <v>172.12205270457696</v>
      </c>
      <c r="H5" s="161">
        <f>100*G5/$G$21</f>
        <v>6.8819520049893779</v>
      </c>
      <c r="I5" s="49" t="s">
        <v>83</v>
      </c>
      <c r="J5" s="61">
        <f>ROUND(H16+H15, 2)</f>
        <v>4.09</v>
      </c>
    </row>
    <row r="6" spans="1:12" x14ac:dyDescent="0.3">
      <c r="A6" s="49" t="s">
        <v>129</v>
      </c>
      <c r="B6" s="49">
        <v>25</v>
      </c>
      <c r="C6" s="61" t="s">
        <v>144</v>
      </c>
      <c r="F6" s="159">
        <v>3.4424410540915393</v>
      </c>
      <c r="G6" s="49">
        <f>F6*B6</f>
        <v>86.061026352288479</v>
      </c>
      <c r="H6" s="160">
        <f t="shared" ref="H6:H18" si="0">100*G6/$G$21</f>
        <v>3.4409760024946889</v>
      </c>
      <c r="I6" s="49" t="s">
        <v>6</v>
      </c>
      <c r="J6" s="61">
        <f>ROUND(H18, 2)</f>
        <v>7.78</v>
      </c>
    </row>
    <row r="7" spans="1:12" x14ac:dyDescent="0.3">
      <c r="A7" s="49" t="s">
        <v>10</v>
      </c>
      <c r="B7" s="49">
        <v>50</v>
      </c>
      <c r="C7" s="61">
        <v>2</v>
      </c>
      <c r="F7" s="49">
        <v>2.4957264957264953</v>
      </c>
      <c r="G7" s="49">
        <f t="shared" ref="G7:G9" si="1">F7*B7</f>
        <v>124.78632478632477</v>
      </c>
      <c r="H7" s="160">
        <f t="shared" si="0"/>
        <v>4.9893287034664064</v>
      </c>
      <c r="I7" s="49" t="s">
        <v>7</v>
      </c>
      <c r="J7" s="61">
        <f>ROUND(H17, 2)</f>
        <v>0.74</v>
      </c>
    </row>
    <row r="8" spans="1:12" x14ac:dyDescent="0.3">
      <c r="A8" s="49" t="s">
        <v>130</v>
      </c>
      <c r="B8" s="49">
        <v>300</v>
      </c>
      <c r="C8" s="158" t="s">
        <v>145</v>
      </c>
      <c r="F8" s="49">
        <v>0.2468322892938497</v>
      </c>
      <c r="G8" s="49">
        <f>F8*B8</f>
        <v>74.049686788154915</v>
      </c>
      <c r="H8" s="161">
        <f t="shared" si="0"/>
        <v>2.9607268938120619</v>
      </c>
      <c r="I8" s="49" t="s">
        <v>12</v>
      </c>
      <c r="J8" s="61">
        <f>ROUND(H5, 2)</f>
        <v>6.88</v>
      </c>
    </row>
    <row r="9" spans="1:12" x14ac:dyDescent="0.3">
      <c r="A9" s="49" t="s">
        <v>131</v>
      </c>
      <c r="B9" s="49">
        <v>200</v>
      </c>
      <c r="C9" s="158" t="s">
        <v>146</v>
      </c>
      <c r="F9" s="49">
        <v>0.45466803647104148</v>
      </c>
      <c r="G9" s="49">
        <f t="shared" si="1"/>
        <v>90.933607294208301</v>
      </c>
      <c r="H9" s="161">
        <f t="shared" si="0"/>
        <v>3.6357962922589095</v>
      </c>
      <c r="I9" s="49" t="s">
        <v>81</v>
      </c>
      <c r="J9" s="61">
        <f>ROUND(H4, 2)*0.85</f>
        <v>29.2315</v>
      </c>
    </row>
    <row r="10" spans="1:12" x14ac:dyDescent="0.3">
      <c r="A10" s="49" t="s">
        <v>26</v>
      </c>
      <c r="C10" s="61"/>
      <c r="D10" s="49">
        <v>31</v>
      </c>
      <c r="E10" s="49" t="s">
        <v>147</v>
      </c>
      <c r="F10" s="49">
        <v>0.31670300000000001</v>
      </c>
      <c r="G10" s="49">
        <f>F10*D10</f>
        <v>9.817793</v>
      </c>
      <c r="H10" s="160">
        <f t="shared" si="0"/>
        <v>0.39254458774604201</v>
      </c>
      <c r="I10" s="49" t="s">
        <v>84</v>
      </c>
      <c r="J10" s="61">
        <f>ROUND(H8+H9, 2)+0.15*ROUND(H4,2)</f>
        <v>11.7585</v>
      </c>
    </row>
    <row r="11" spans="1:12" x14ac:dyDescent="0.3">
      <c r="A11" s="49" t="s">
        <v>132</v>
      </c>
      <c r="C11" s="61"/>
      <c r="D11" s="49">
        <v>6.8</v>
      </c>
      <c r="E11" s="49">
        <v>1</v>
      </c>
      <c r="F11" s="49">
        <v>2.9514824797843699</v>
      </c>
      <c r="G11" s="49">
        <f t="shared" ref="G11:G12" si="2">F11*D11</f>
        <v>20.070080862533715</v>
      </c>
      <c r="H11" s="160">
        <f t="shared" si="0"/>
        <v>0.80246157341196989</v>
      </c>
      <c r="I11" s="49" t="s">
        <v>85</v>
      </c>
      <c r="J11" s="61">
        <f>ROUND(H10+H11+H12+H6+H7, 2)</f>
        <v>37.450000000000003</v>
      </c>
      <c r="L11" s="183"/>
    </row>
    <row r="12" spans="1:12" x14ac:dyDescent="0.3">
      <c r="A12" s="49" t="s">
        <v>133</v>
      </c>
      <c r="C12" s="61"/>
      <c r="D12" s="49">
        <v>80</v>
      </c>
      <c r="E12" s="49" t="s">
        <v>142</v>
      </c>
      <c r="F12" s="49">
        <v>8.699648197009676</v>
      </c>
      <c r="G12" s="49">
        <f t="shared" si="2"/>
        <v>695.97185576077413</v>
      </c>
      <c r="H12" s="160">
        <f t="shared" si="0"/>
        <v>27.82702642054695</v>
      </c>
      <c r="L12" s="183"/>
    </row>
    <row r="13" spans="1:12" x14ac:dyDescent="0.3">
      <c r="A13" s="49" t="s">
        <v>134</v>
      </c>
      <c r="C13" s="61"/>
      <c r="D13" s="184">
        <f>300/7</f>
        <v>42.857142857142854</v>
      </c>
      <c r="E13" s="185" t="s">
        <v>158</v>
      </c>
      <c r="F13" s="49">
        <v>1.5665236051502101</v>
      </c>
      <c r="G13" s="49">
        <f>D13/2*F13</f>
        <v>33.568362967504498</v>
      </c>
      <c r="H13" s="161">
        <f t="shared" si="0"/>
        <v>1.3421630709048924</v>
      </c>
    </row>
    <row r="14" spans="1:12" x14ac:dyDescent="0.3">
      <c r="A14" s="49" t="s">
        <v>135</v>
      </c>
      <c r="C14" s="61"/>
      <c r="D14" s="184"/>
      <c r="E14" s="185"/>
      <c r="F14" s="49">
        <v>1.5665236051502101</v>
      </c>
      <c r="H14" s="160">
        <f t="shared" si="0"/>
        <v>0</v>
      </c>
    </row>
    <row r="15" spans="1:12" x14ac:dyDescent="0.3">
      <c r="A15" s="49" t="s">
        <v>136</v>
      </c>
      <c r="C15" s="61"/>
      <c r="D15" s="184"/>
      <c r="E15" s="185"/>
      <c r="F15" s="49">
        <v>2.8252184769038702</v>
      </c>
      <c r="G15" s="49">
        <f>D13/2*F15</f>
        <v>60.540395933654359</v>
      </c>
      <c r="H15" s="161">
        <f>100*G15/$G$21</f>
        <v>2.4205852337443363</v>
      </c>
    </row>
    <row r="16" spans="1:12" x14ac:dyDescent="0.3">
      <c r="A16" s="49" t="s">
        <v>137</v>
      </c>
      <c r="C16" s="61"/>
      <c r="D16" s="49">
        <v>29</v>
      </c>
      <c r="E16" s="158" t="s">
        <v>143</v>
      </c>
      <c r="F16" s="49">
        <v>1.4366244162775184</v>
      </c>
      <c r="G16" s="49">
        <f>F16*D16</f>
        <v>41.662108072048035</v>
      </c>
      <c r="H16" s="161">
        <f t="shared" si="0"/>
        <v>1.6657750919960468</v>
      </c>
    </row>
    <row r="17" spans="1:8" x14ac:dyDescent="0.3">
      <c r="A17" s="49" t="s">
        <v>138</v>
      </c>
      <c r="C17" s="61"/>
      <c r="D17" s="49">
        <v>13</v>
      </c>
      <c r="E17" s="158" t="s">
        <v>151</v>
      </c>
      <c r="F17" s="49">
        <v>1.4298150163220891</v>
      </c>
      <c r="G17" s="49">
        <f t="shared" ref="G17:G18" si="3">F17*D17</f>
        <v>18.587595212187157</v>
      </c>
      <c r="H17" s="161">
        <f t="shared" si="0"/>
        <v>0.74318738434985454</v>
      </c>
    </row>
    <row r="18" spans="1:8" x14ac:dyDescent="0.3">
      <c r="A18" s="49" t="s">
        <v>139</v>
      </c>
      <c r="C18" s="61"/>
      <c r="D18" s="49">
        <v>250</v>
      </c>
      <c r="E18" s="158" t="s">
        <v>150</v>
      </c>
      <c r="F18" s="49">
        <v>0.77834333476210893</v>
      </c>
      <c r="G18" s="49">
        <f t="shared" si="3"/>
        <v>194.58583369052724</v>
      </c>
      <c r="H18" s="161">
        <f t="shared" si="0"/>
        <v>7.7801208344144053</v>
      </c>
    </row>
    <row r="19" spans="1:8" x14ac:dyDescent="0.3">
      <c r="A19" s="49" t="s">
        <v>140</v>
      </c>
      <c r="B19" s="49">
        <v>28</v>
      </c>
      <c r="C19" s="61">
        <v>0.5</v>
      </c>
      <c r="E19" s="158"/>
      <c r="F19" s="49">
        <v>0.65384615384615374</v>
      </c>
      <c r="G19" s="49">
        <f>F19*B19</f>
        <v>18.307692307692307</v>
      </c>
      <c r="H19" s="160">
        <f>100*G19/$G$21</f>
        <v>0.73199603307020844</v>
      </c>
    </row>
    <row r="20" spans="1:8" x14ac:dyDescent="0.3">
      <c r="H20" s="157"/>
    </row>
    <row r="21" spans="1:8" x14ac:dyDescent="0.3">
      <c r="F21" s="49" t="s">
        <v>154</v>
      </c>
      <c r="G21" s="49">
        <f>SUM(G3:G19)</f>
        <v>2501.0644157324755</v>
      </c>
    </row>
  </sheetData>
  <mergeCells count="6">
    <mergeCell ref="D3:D4"/>
    <mergeCell ref="E3:E4"/>
    <mergeCell ref="G3:G4"/>
    <mergeCell ref="L11:L12"/>
    <mergeCell ref="D13:D15"/>
    <mergeCell ref="E13:E15"/>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workbookViewId="0">
      <selection activeCell="F33" sqref="F33"/>
    </sheetView>
  </sheetViews>
  <sheetFormatPr defaultRowHeight="14.4" x14ac:dyDescent="0.3"/>
  <sheetData>
    <row r="1" spans="1:6" x14ac:dyDescent="0.3">
      <c r="A1" s="151" t="s">
        <v>108</v>
      </c>
      <c r="B1" s="151" t="s">
        <v>109</v>
      </c>
      <c r="C1" s="151" t="s">
        <v>110</v>
      </c>
      <c r="D1" s="151">
        <v>2000</v>
      </c>
      <c r="E1" s="151">
        <v>59741.5010660794</v>
      </c>
    </row>
    <row r="2" spans="1:6" x14ac:dyDescent="0.3">
      <c r="A2" s="151" t="s">
        <v>108</v>
      </c>
      <c r="B2" s="151" t="s">
        <v>109</v>
      </c>
      <c r="C2" s="151" t="s">
        <v>110</v>
      </c>
      <c r="D2" s="151">
        <v>2010</v>
      </c>
      <c r="E2" s="151">
        <v>69138.670382745098</v>
      </c>
    </row>
    <row r="3" spans="1:6" x14ac:dyDescent="0.3">
      <c r="A3" s="151" t="s">
        <v>108</v>
      </c>
      <c r="B3" s="151" t="s">
        <v>109</v>
      </c>
      <c r="C3" s="151" t="s">
        <v>110</v>
      </c>
      <c r="D3" s="151">
        <v>2020</v>
      </c>
      <c r="E3" s="151">
        <v>80171.261562641506</v>
      </c>
    </row>
    <row r="4" spans="1:6" x14ac:dyDescent="0.3">
      <c r="A4" s="151" t="s">
        <v>108</v>
      </c>
      <c r="B4" s="151" t="s">
        <v>109</v>
      </c>
      <c r="C4" s="151" t="s">
        <v>110</v>
      </c>
      <c r="D4" s="151">
        <v>2030</v>
      </c>
      <c r="E4" s="151">
        <v>90432.492443495707</v>
      </c>
    </row>
    <row r="5" spans="1:6" x14ac:dyDescent="0.3">
      <c r="A5" s="151" t="s">
        <v>108</v>
      </c>
      <c r="B5" s="151" t="s">
        <v>109</v>
      </c>
      <c r="C5" s="151" t="s">
        <v>110</v>
      </c>
      <c r="D5" s="151">
        <v>2040</v>
      </c>
      <c r="E5" s="151">
        <v>99930.720481869299</v>
      </c>
    </row>
    <row r="6" spans="1:6" x14ac:dyDescent="0.3">
      <c r="A6" s="151" t="s">
        <v>108</v>
      </c>
      <c r="B6" s="151" t="s">
        <v>109</v>
      </c>
      <c r="C6" s="151" t="s">
        <v>110</v>
      </c>
      <c r="D6" s="151">
        <v>2050</v>
      </c>
      <c r="E6" s="151">
        <v>107983.575192006</v>
      </c>
    </row>
    <row r="7" spans="1:6" x14ac:dyDescent="0.3">
      <c r="A7" s="49" t="s">
        <v>108</v>
      </c>
      <c r="B7" s="49" t="s">
        <v>109</v>
      </c>
      <c r="C7" s="49" t="s">
        <v>111</v>
      </c>
      <c r="D7" s="49">
        <v>2000</v>
      </c>
      <c r="E7" s="49">
        <v>572605.58604292199</v>
      </c>
      <c r="F7">
        <f>E7/E1</f>
        <v>9.5847204342851953</v>
      </c>
    </row>
    <row r="8" spans="1:6" x14ac:dyDescent="0.3">
      <c r="A8" s="49" t="s">
        <v>108</v>
      </c>
      <c r="B8" s="49" t="s">
        <v>109</v>
      </c>
      <c r="C8" s="49" t="s">
        <v>111</v>
      </c>
      <c r="D8" s="49">
        <v>2010</v>
      </c>
      <c r="E8" s="49">
        <v>669668.12131071102</v>
      </c>
      <c r="F8" s="49">
        <f t="shared" ref="F8:F11" si="0">E8/E2</f>
        <v>9.6858692480415378</v>
      </c>
    </row>
    <row r="9" spans="1:6" x14ac:dyDescent="0.3">
      <c r="A9" s="49" t="s">
        <v>108</v>
      </c>
      <c r="B9" s="49" t="s">
        <v>109</v>
      </c>
      <c r="C9" s="49" t="s">
        <v>111</v>
      </c>
      <c r="D9" s="49">
        <v>2020</v>
      </c>
      <c r="E9" s="49">
        <v>782213.40411191399</v>
      </c>
      <c r="F9" s="49">
        <f t="shared" si="0"/>
        <v>9.7567805328937549</v>
      </c>
    </row>
    <row r="10" spans="1:6" x14ac:dyDescent="0.3">
      <c r="A10" s="49" t="s">
        <v>108</v>
      </c>
      <c r="B10" s="49" t="s">
        <v>109</v>
      </c>
      <c r="C10" s="49" t="s">
        <v>111</v>
      </c>
      <c r="D10" s="49">
        <v>2030</v>
      </c>
      <c r="E10" s="49">
        <v>887725.02131163399</v>
      </c>
      <c r="F10" s="49">
        <f t="shared" si="0"/>
        <v>9.8164387304298284</v>
      </c>
    </row>
    <row r="11" spans="1:6" x14ac:dyDescent="0.3">
      <c r="A11" s="49" t="s">
        <v>108</v>
      </c>
      <c r="B11" s="49" t="s">
        <v>109</v>
      </c>
      <c r="C11" s="49" t="s">
        <v>111</v>
      </c>
      <c r="D11" s="49">
        <v>2040</v>
      </c>
      <c r="E11" s="49">
        <v>996431.81741066405</v>
      </c>
      <c r="F11" s="49">
        <f t="shared" si="0"/>
        <v>9.9712261915638774</v>
      </c>
    </row>
    <row r="12" spans="1:6" x14ac:dyDescent="0.3">
      <c r="A12" s="49" t="s">
        <v>108</v>
      </c>
      <c r="B12" s="49" t="s">
        <v>109</v>
      </c>
      <c r="C12" s="49" t="s">
        <v>111</v>
      </c>
      <c r="D12" s="49">
        <v>2050</v>
      </c>
      <c r="E12" s="49">
        <v>1073915.7133756799</v>
      </c>
      <c r="F12" s="49">
        <f>E12/E6</f>
        <v>9.9451764906481976</v>
      </c>
    </row>
    <row r="13" spans="1:6" x14ac:dyDescent="0.3">
      <c r="A13" s="151" t="s">
        <v>108</v>
      </c>
      <c r="B13" s="151" t="s">
        <v>109</v>
      </c>
      <c r="C13" s="151" t="s">
        <v>112</v>
      </c>
      <c r="D13" s="151">
        <v>2000</v>
      </c>
      <c r="E13" s="151">
        <v>68984.546010035905</v>
      </c>
    </row>
    <row r="14" spans="1:6" x14ac:dyDescent="0.3">
      <c r="A14" s="151" t="s">
        <v>108</v>
      </c>
      <c r="B14" s="151" t="s">
        <v>109</v>
      </c>
      <c r="C14" s="151" t="s">
        <v>112</v>
      </c>
      <c r="D14" s="151">
        <v>2010</v>
      </c>
      <c r="E14" s="151">
        <v>82503.391937932494</v>
      </c>
    </row>
    <row r="15" spans="1:6" x14ac:dyDescent="0.3">
      <c r="A15" s="151" t="s">
        <v>108</v>
      </c>
      <c r="B15" s="151" t="s">
        <v>109</v>
      </c>
      <c r="C15" s="151" t="s">
        <v>112</v>
      </c>
      <c r="D15" s="151">
        <v>2020</v>
      </c>
      <c r="E15" s="151">
        <v>101358.072645382</v>
      </c>
    </row>
    <row r="16" spans="1:6" x14ac:dyDescent="0.3">
      <c r="A16" s="151" t="s">
        <v>108</v>
      </c>
      <c r="B16" s="151" t="s">
        <v>109</v>
      </c>
      <c r="C16" s="151" t="s">
        <v>112</v>
      </c>
      <c r="D16" s="151">
        <v>2030</v>
      </c>
      <c r="E16" s="151">
        <v>120942.68207155701</v>
      </c>
    </row>
    <row r="17" spans="1:8" x14ac:dyDescent="0.3">
      <c r="A17" s="151" t="s">
        <v>108</v>
      </c>
      <c r="B17" s="151" t="s">
        <v>109</v>
      </c>
      <c r="C17" s="151" t="s">
        <v>112</v>
      </c>
      <c r="D17" s="151">
        <v>2040</v>
      </c>
      <c r="E17" s="151">
        <v>141562.03003918901</v>
      </c>
    </row>
    <row r="18" spans="1:8" x14ac:dyDescent="0.3">
      <c r="A18" s="151" t="s">
        <v>108</v>
      </c>
      <c r="B18" s="151" t="s">
        <v>109</v>
      </c>
      <c r="C18" s="151" t="s">
        <v>112</v>
      </c>
      <c r="D18" s="151">
        <v>2050</v>
      </c>
      <c r="E18" s="151">
        <v>160171.573101469</v>
      </c>
    </row>
    <row r="19" spans="1:8" x14ac:dyDescent="0.3">
      <c r="A19" s="151" t="s">
        <v>108</v>
      </c>
      <c r="B19" s="151" t="s">
        <v>109</v>
      </c>
      <c r="C19" s="151" t="s">
        <v>113</v>
      </c>
      <c r="D19" s="151">
        <v>2000</v>
      </c>
      <c r="E19" s="151">
        <v>55985.817600253104</v>
      </c>
      <c r="F19">
        <f>E19/E13</f>
        <v>0.81157042900750931</v>
      </c>
    </row>
    <row r="20" spans="1:8" x14ac:dyDescent="0.3">
      <c r="A20" s="151" t="s">
        <v>108</v>
      </c>
      <c r="B20" s="151" t="s">
        <v>109</v>
      </c>
      <c r="C20" s="151" t="s">
        <v>113</v>
      </c>
      <c r="D20" s="151">
        <v>2010</v>
      </c>
      <c r="E20" s="151">
        <v>65102.627157909803</v>
      </c>
      <c r="F20" s="49">
        <f t="shared" ref="F20:F24" si="1">E20/E14</f>
        <v>0.78909031045519518</v>
      </c>
    </row>
    <row r="21" spans="1:8" x14ac:dyDescent="0.3">
      <c r="A21" s="151" t="s">
        <v>108</v>
      </c>
      <c r="B21" s="151" t="s">
        <v>109</v>
      </c>
      <c r="C21" s="151" t="s">
        <v>113</v>
      </c>
      <c r="D21" s="151">
        <v>2020</v>
      </c>
      <c r="E21" s="151">
        <v>77197.453689014597</v>
      </c>
      <c r="F21" s="49">
        <f t="shared" si="1"/>
        <v>0.76163103415652622</v>
      </c>
    </row>
    <row r="22" spans="1:8" x14ac:dyDescent="0.3">
      <c r="A22" s="151" t="s">
        <v>108</v>
      </c>
      <c r="B22" s="151" t="s">
        <v>109</v>
      </c>
      <c r="C22" s="151" t="s">
        <v>113</v>
      </c>
      <c r="D22" s="151">
        <v>2030</v>
      </c>
      <c r="E22" s="151">
        <v>89645.841969692498</v>
      </c>
      <c r="F22" s="49">
        <f t="shared" si="1"/>
        <v>0.7412258471054296</v>
      </c>
    </row>
    <row r="23" spans="1:8" x14ac:dyDescent="0.3">
      <c r="A23" s="151" t="s">
        <v>108</v>
      </c>
      <c r="B23" s="151" t="s">
        <v>109</v>
      </c>
      <c r="C23" s="151" t="s">
        <v>113</v>
      </c>
      <c r="D23" s="151">
        <v>2040</v>
      </c>
      <c r="E23" s="151">
        <v>103404.795982675</v>
      </c>
      <c r="F23" s="49">
        <f t="shared" si="1"/>
        <v>0.73045572993018792</v>
      </c>
    </row>
    <row r="24" spans="1:8" x14ac:dyDescent="0.3">
      <c r="A24" s="151" t="s">
        <v>108</v>
      </c>
      <c r="B24" s="151" t="s">
        <v>109</v>
      </c>
      <c r="C24" s="151" t="s">
        <v>113</v>
      </c>
      <c r="D24" s="151">
        <v>2050</v>
      </c>
      <c r="E24" s="151">
        <v>113443.837114266</v>
      </c>
      <c r="F24" s="49">
        <f t="shared" si="1"/>
        <v>0.70826448737192038</v>
      </c>
    </row>
    <row r="26" spans="1:8" x14ac:dyDescent="0.3">
      <c r="A26" s="49" t="s">
        <v>114</v>
      </c>
      <c r="B26" s="49" t="s">
        <v>115</v>
      </c>
      <c r="C26" s="49" t="s">
        <v>110</v>
      </c>
      <c r="D26" s="49">
        <v>2000</v>
      </c>
      <c r="E26" s="49">
        <v>5.7254886415853801E-2</v>
      </c>
    </row>
    <row r="27" spans="1:8" x14ac:dyDescent="0.3">
      <c r="A27" s="49" t="s">
        <v>114</v>
      </c>
      <c r="B27" s="49" t="s">
        <v>115</v>
      </c>
      <c r="C27" s="49" t="s">
        <v>110</v>
      </c>
      <c r="D27" s="49">
        <v>2010</v>
      </c>
      <c r="E27" s="49">
        <v>6.8778097933802795E-2</v>
      </c>
    </row>
    <row r="28" spans="1:8" x14ac:dyDescent="0.3">
      <c r="A28" s="49" t="s">
        <v>114</v>
      </c>
      <c r="B28" s="49" t="s">
        <v>115</v>
      </c>
      <c r="C28" s="49" t="s">
        <v>110</v>
      </c>
      <c r="D28" s="49">
        <v>2020</v>
      </c>
      <c r="E28" s="49">
        <v>7.9259287278305404E-2</v>
      </c>
    </row>
    <row r="29" spans="1:8" x14ac:dyDescent="0.3">
      <c r="A29" s="49" t="s">
        <v>114</v>
      </c>
      <c r="B29" s="49" t="s">
        <v>115</v>
      </c>
      <c r="C29" s="49" t="s">
        <v>110</v>
      </c>
      <c r="D29" s="49">
        <v>2030</v>
      </c>
      <c r="E29" s="49">
        <v>8.7911725763700405E-2</v>
      </c>
    </row>
    <row r="30" spans="1:8" x14ac:dyDescent="0.3">
      <c r="A30" s="49" t="s">
        <v>114</v>
      </c>
      <c r="B30" s="49" t="s">
        <v>115</v>
      </c>
      <c r="C30" s="49" t="s">
        <v>110</v>
      </c>
      <c r="D30" s="49">
        <v>2040</v>
      </c>
      <c r="E30" s="49">
        <v>9.6563852772143105E-2</v>
      </c>
    </row>
    <row r="31" spans="1:8" x14ac:dyDescent="0.3">
      <c r="A31" s="49" t="s">
        <v>114</v>
      </c>
      <c r="B31" s="49" t="s">
        <v>115</v>
      </c>
      <c r="C31" s="49" t="s">
        <v>110</v>
      </c>
      <c r="D31" s="49">
        <v>2050</v>
      </c>
      <c r="E31" s="49">
        <v>0.104223597161056</v>
      </c>
    </row>
    <row r="32" spans="1:8" x14ac:dyDescent="0.3">
      <c r="A32" s="49" t="s">
        <v>114</v>
      </c>
      <c r="B32" s="49" t="s">
        <v>115</v>
      </c>
      <c r="C32" s="49" t="s">
        <v>111</v>
      </c>
      <c r="D32" s="49">
        <v>2000</v>
      </c>
      <c r="E32" s="49">
        <v>1.7636097718649499</v>
      </c>
      <c r="F32">
        <f>E32/E26</f>
        <v>30.802781775785846</v>
      </c>
      <c r="H32">
        <f>E7/E45</f>
        <v>1.7646495534572713</v>
      </c>
    </row>
    <row r="33" spans="1:8" x14ac:dyDescent="0.3">
      <c r="A33" s="49" t="s">
        <v>114</v>
      </c>
      <c r="B33" s="49" t="s">
        <v>115</v>
      </c>
      <c r="C33" s="49" t="s">
        <v>111</v>
      </c>
      <c r="D33" s="49">
        <v>2010</v>
      </c>
      <c r="E33" s="49">
        <v>1.85999065966227</v>
      </c>
      <c r="F33" s="49">
        <f t="shared" ref="F33:F37" si="2">E33/E27</f>
        <v>27.043357050270053</v>
      </c>
      <c r="H33" s="49">
        <f t="shared" ref="H33:H37" si="3">E8/E46</f>
        <v>1.8609945248532584</v>
      </c>
    </row>
    <row r="34" spans="1:8" x14ac:dyDescent="0.3">
      <c r="A34" s="49" t="s">
        <v>114</v>
      </c>
      <c r="B34" s="49" t="s">
        <v>115</v>
      </c>
      <c r="C34" s="49" t="s">
        <v>111</v>
      </c>
      <c r="D34" s="49">
        <v>2020</v>
      </c>
      <c r="E34" s="49">
        <v>2.0333888788952299</v>
      </c>
      <c r="F34" s="49">
        <f t="shared" si="2"/>
        <v>25.654897346670975</v>
      </c>
      <c r="H34" s="49">
        <f t="shared" si="3"/>
        <v>2.0341931821972952</v>
      </c>
    </row>
    <row r="35" spans="1:8" x14ac:dyDescent="0.3">
      <c r="A35" s="49" t="s">
        <v>114</v>
      </c>
      <c r="B35" s="49" t="s">
        <v>115</v>
      </c>
      <c r="C35" s="49" t="s">
        <v>111</v>
      </c>
      <c r="D35" s="49">
        <v>2030</v>
      </c>
      <c r="E35" s="49">
        <v>2.1765378559957398</v>
      </c>
      <c r="F35" s="49">
        <f t="shared" si="2"/>
        <v>24.758220101901959</v>
      </c>
      <c r="H35" s="49">
        <f t="shared" si="3"/>
        <v>2.1772007513285412</v>
      </c>
    </row>
    <row r="36" spans="1:8" x14ac:dyDescent="0.3">
      <c r="A36" s="49" t="s">
        <v>114</v>
      </c>
      <c r="B36" s="49" t="s">
        <v>115</v>
      </c>
      <c r="C36" s="49" t="s">
        <v>111</v>
      </c>
      <c r="D36" s="49">
        <v>2040</v>
      </c>
      <c r="E36" s="49">
        <v>2.3083589438470402</v>
      </c>
      <c r="F36" s="49">
        <f t="shared" si="2"/>
        <v>23.905000448707856</v>
      </c>
      <c r="H36" s="49">
        <f t="shared" si="3"/>
        <v>2.3089181346852699</v>
      </c>
    </row>
    <row r="37" spans="1:8" x14ac:dyDescent="0.3">
      <c r="A37" s="49" t="s">
        <v>114</v>
      </c>
      <c r="B37" s="49" t="s">
        <v>115</v>
      </c>
      <c r="C37" s="49" t="s">
        <v>111</v>
      </c>
      <c r="D37" s="49">
        <v>2050</v>
      </c>
      <c r="E37" s="49">
        <v>2.38553414934387</v>
      </c>
      <c r="F37" s="49">
        <f t="shared" si="2"/>
        <v>22.888618454202081</v>
      </c>
      <c r="H37" s="49">
        <f t="shared" si="3"/>
        <v>2.3860580102167011</v>
      </c>
    </row>
    <row r="39" spans="1:8" x14ac:dyDescent="0.3">
      <c r="A39" s="49" t="s">
        <v>116</v>
      </c>
      <c r="B39" s="49" t="s">
        <v>117</v>
      </c>
      <c r="C39" s="49" t="s">
        <v>110</v>
      </c>
      <c r="D39" s="49">
        <v>2000</v>
      </c>
      <c r="E39" s="49">
        <v>1043086.78450025</v>
      </c>
    </row>
    <row r="40" spans="1:8" x14ac:dyDescent="0.3">
      <c r="A40" s="49" t="s">
        <v>116</v>
      </c>
      <c r="B40" s="49" t="s">
        <v>117</v>
      </c>
      <c r="C40" s="49" t="s">
        <v>110</v>
      </c>
      <c r="D40" s="49">
        <v>2010</v>
      </c>
      <c r="E40" s="49">
        <v>1004937.97850023</v>
      </c>
    </row>
    <row r="41" spans="1:8" x14ac:dyDescent="0.3">
      <c r="A41" s="49" t="s">
        <v>116</v>
      </c>
      <c r="B41" s="49" t="s">
        <v>117</v>
      </c>
      <c r="C41" s="49" t="s">
        <v>110</v>
      </c>
      <c r="D41" s="49">
        <v>2020</v>
      </c>
      <c r="E41" s="49">
        <v>1011233.32315164</v>
      </c>
    </row>
    <row r="42" spans="1:8" x14ac:dyDescent="0.3">
      <c r="A42" s="49" t="s">
        <v>116</v>
      </c>
      <c r="B42" s="49" t="s">
        <v>117</v>
      </c>
      <c r="C42" s="49" t="s">
        <v>110</v>
      </c>
      <c r="D42" s="49">
        <v>2030</v>
      </c>
      <c r="E42" s="49">
        <v>1028433.1229571101</v>
      </c>
    </row>
    <row r="43" spans="1:8" x14ac:dyDescent="0.3">
      <c r="A43" s="49" t="s">
        <v>116</v>
      </c>
      <c r="B43" s="49" t="s">
        <v>117</v>
      </c>
      <c r="C43" s="49" t="s">
        <v>110</v>
      </c>
      <c r="D43" s="49">
        <v>2040</v>
      </c>
      <c r="E43" s="49">
        <v>1034649.3648125801</v>
      </c>
    </row>
    <row r="44" spans="1:8" x14ac:dyDescent="0.3">
      <c r="A44" s="49" t="s">
        <v>116</v>
      </c>
      <c r="B44" s="49" t="s">
        <v>117</v>
      </c>
      <c r="C44" s="49" t="s">
        <v>110</v>
      </c>
      <c r="D44" s="49">
        <v>2050</v>
      </c>
      <c r="E44" s="49">
        <v>1035878.80248976</v>
      </c>
    </row>
    <row r="45" spans="1:8" x14ac:dyDescent="0.3">
      <c r="A45" s="49" t="s">
        <v>116</v>
      </c>
      <c r="B45" s="49" t="s">
        <v>117</v>
      </c>
      <c r="C45" s="49" t="s">
        <v>111</v>
      </c>
      <c r="D45" s="49">
        <v>2000</v>
      </c>
      <c r="E45" s="49">
        <v>324486.85628321097</v>
      </c>
      <c r="F45">
        <f>E45/E39</f>
        <v>0.31108327811733788</v>
      </c>
    </row>
    <row r="46" spans="1:8" x14ac:dyDescent="0.3">
      <c r="A46" s="49" t="s">
        <v>116</v>
      </c>
      <c r="B46" s="49" t="s">
        <v>117</v>
      </c>
      <c r="C46" s="49" t="s">
        <v>111</v>
      </c>
      <c r="D46" s="49">
        <v>2010</v>
      </c>
      <c r="E46" s="49">
        <v>359844.21897400002</v>
      </c>
      <c r="F46" s="49">
        <f t="shared" ref="F46:F50" si="4">E46/E40</f>
        <v>0.35807604715171748</v>
      </c>
    </row>
    <row r="47" spans="1:8" x14ac:dyDescent="0.3">
      <c r="A47" s="49" t="s">
        <v>116</v>
      </c>
      <c r="B47" s="49" t="s">
        <v>117</v>
      </c>
      <c r="C47" s="49" t="s">
        <v>111</v>
      </c>
      <c r="D47" s="49">
        <v>2020</v>
      </c>
      <c r="E47" s="49">
        <v>384532.50701931003</v>
      </c>
      <c r="F47" s="49">
        <f t="shared" si="4"/>
        <v>0.38026091329829254</v>
      </c>
    </row>
    <row r="48" spans="1:8" x14ac:dyDescent="0.3">
      <c r="A48" s="49" t="s">
        <v>116</v>
      </c>
      <c r="B48" s="49" t="s">
        <v>117</v>
      </c>
      <c r="C48" s="49" t="s">
        <v>111</v>
      </c>
      <c r="D48" s="49">
        <v>2030</v>
      </c>
      <c r="E48" s="49">
        <v>407736.87073639798</v>
      </c>
      <c r="F48" s="49">
        <f t="shared" si="4"/>
        <v>0.3964641566230479</v>
      </c>
    </row>
    <row r="49" spans="1:6" x14ac:dyDescent="0.3">
      <c r="A49" s="49" t="s">
        <v>116</v>
      </c>
      <c r="B49" s="49" t="s">
        <v>117</v>
      </c>
      <c r="C49" s="49" t="s">
        <v>111</v>
      </c>
      <c r="D49" s="49">
        <v>2040</v>
      </c>
      <c r="E49" s="49">
        <v>431557.88091485901</v>
      </c>
      <c r="F49" s="49">
        <f t="shared" si="4"/>
        <v>0.41710544227998719</v>
      </c>
    </row>
    <row r="50" spans="1:6" x14ac:dyDescent="0.3">
      <c r="A50" s="49" t="s">
        <v>116</v>
      </c>
      <c r="B50" s="49" t="s">
        <v>117</v>
      </c>
      <c r="C50" s="49" t="s">
        <v>111</v>
      </c>
      <c r="D50" s="49">
        <v>2050</v>
      </c>
      <c r="E50" s="49">
        <v>450079.46528431098</v>
      </c>
      <c r="F50" s="49">
        <f t="shared" si="4"/>
        <v>0.43449046761313581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
  <sheetViews>
    <sheetView workbookViewId="0">
      <selection activeCell="D32" sqref="D32"/>
    </sheetView>
  </sheetViews>
  <sheetFormatPr defaultRowHeight="14.4" x14ac:dyDescent="0.3"/>
  <cols>
    <col min="1" max="1" width="15.109375" bestFit="1" customWidth="1"/>
    <col min="4" max="4" width="11.5546875" bestFit="1" customWidth="1"/>
  </cols>
  <sheetData>
    <row r="1" spans="1:10" x14ac:dyDescent="0.3">
      <c r="A1" s="49"/>
      <c r="B1" s="103" t="s">
        <v>181</v>
      </c>
      <c r="C1" s="103" t="s">
        <v>180</v>
      </c>
      <c r="D1" s="103"/>
      <c r="E1" s="103"/>
      <c r="F1" s="49"/>
      <c r="G1" s="49"/>
      <c r="H1" s="49"/>
      <c r="I1" s="49"/>
      <c r="J1" s="49"/>
    </row>
    <row r="2" spans="1:10" x14ac:dyDescent="0.3">
      <c r="A2" s="49" t="s">
        <v>134</v>
      </c>
      <c r="B2" s="103">
        <v>80</v>
      </c>
      <c r="C2" s="164">
        <f>100*B2/$B$30</f>
        <v>2.7548209366391183</v>
      </c>
      <c r="D2" s="103"/>
      <c r="E2" s="103"/>
      <c r="F2" s="103"/>
      <c r="G2" s="103"/>
      <c r="H2" s="103"/>
      <c r="I2" s="49"/>
      <c r="J2" s="49"/>
    </row>
    <row r="3" spans="1:10" x14ac:dyDescent="0.3">
      <c r="A3" s="49" t="s">
        <v>160</v>
      </c>
      <c r="B3" s="49">
        <v>306</v>
      </c>
      <c r="C3" s="164">
        <f t="shared" ref="C3:C28" si="0">100*B3/$B$30</f>
        <v>10.537190082644628</v>
      </c>
      <c r="D3" s="184"/>
      <c r="E3" s="184"/>
      <c r="F3" s="49"/>
      <c r="G3" s="186"/>
      <c r="H3" s="162"/>
      <c r="I3" s="6"/>
      <c r="J3" s="49"/>
    </row>
    <row r="4" spans="1:10" x14ac:dyDescent="0.3">
      <c r="A4" s="49" t="s">
        <v>138</v>
      </c>
      <c r="B4" s="49">
        <v>60</v>
      </c>
      <c r="C4" s="164">
        <f t="shared" si="0"/>
        <v>2.0661157024793386</v>
      </c>
      <c r="D4" s="184"/>
      <c r="E4" s="184"/>
      <c r="F4" s="49"/>
      <c r="G4" s="186"/>
      <c r="H4" s="163"/>
      <c r="I4" s="6"/>
      <c r="J4" s="61"/>
    </row>
    <row r="5" spans="1:10" x14ac:dyDescent="0.3">
      <c r="A5" s="49" t="s">
        <v>140</v>
      </c>
      <c r="B5" s="49">
        <v>35</v>
      </c>
      <c r="C5" s="164">
        <f t="shared" si="0"/>
        <v>1.2052341597796143</v>
      </c>
      <c r="D5" s="49"/>
      <c r="E5" s="49" t="s">
        <v>82</v>
      </c>
      <c r="F5" s="49">
        <f>ROUND(C2+C8, 2)</f>
        <v>2.86</v>
      </c>
      <c r="G5" s="6"/>
      <c r="H5" s="163"/>
      <c r="I5" s="6"/>
      <c r="J5" s="61"/>
    </row>
    <row r="6" spans="1:10" x14ac:dyDescent="0.3">
      <c r="A6" s="49" t="s">
        <v>136</v>
      </c>
      <c r="B6" s="49">
        <v>129</v>
      </c>
      <c r="C6" s="164">
        <f t="shared" si="0"/>
        <v>4.4421487603305785</v>
      </c>
      <c r="D6" s="49"/>
      <c r="E6" s="49" t="s">
        <v>83</v>
      </c>
      <c r="F6" s="159"/>
      <c r="G6" s="6"/>
      <c r="H6" s="163"/>
      <c r="I6" s="6"/>
      <c r="J6" s="61"/>
    </row>
    <row r="7" spans="1:10" x14ac:dyDescent="0.3">
      <c r="A7" s="49" t="s">
        <v>137</v>
      </c>
      <c r="B7" s="49">
        <v>67</v>
      </c>
      <c r="C7" s="164">
        <f t="shared" si="0"/>
        <v>2.3071625344352618</v>
      </c>
      <c r="D7" s="49"/>
      <c r="E7" s="49" t="s">
        <v>6</v>
      </c>
      <c r="F7" s="49"/>
      <c r="G7" s="6"/>
      <c r="H7" s="163"/>
      <c r="I7" s="6"/>
      <c r="J7" s="61"/>
    </row>
    <row r="8" spans="1:10" x14ac:dyDescent="0.3">
      <c r="A8" s="49" t="s">
        <v>161</v>
      </c>
      <c r="B8" s="49">
        <v>3</v>
      </c>
      <c r="C8" s="164">
        <f t="shared" si="0"/>
        <v>0.10330578512396695</v>
      </c>
      <c r="D8" s="49"/>
      <c r="E8" s="49" t="s">
        <v>7</v>
      </c>
      <c r="F8" s="49"/>
      <c r="G8" s="6"/>
      <c r="H8" s="163"/>
      <c r="I8" s="6"/>
      <c r="J8" s="61"/>
    </row>
    <row r="9" spans="1:10" x14ac:dyDescent="0.3">
      <c r="A9" s="49" t="s">
        <v>162</v>
      </c>
      <c r="B9" s="49">
        <v>15</v>
      </c>
      <c r="C9" s="164">
        <f t="shared" si="0"/>
        <v>0.51652892561983466</v>
      </c>
      <c r="D9" s="49"/>
      <c r="E9" s="49" t="s">
        <v>12</v>
      </c>
      <c r="F9" s="49"/>
      <c r="G9" s="6"/>
      <c r="H9" s="163"/>
      <c r="I9" s="6"/>
      <c r="J9" s="61"/>
    </row>
    <row r="10" spans="1:10" x14ac:dyDescent="0.3">
      <c r="A10" s="49" t="s">
        <v>163</v>
      </c>
      <c r="B10" s="49">
        <v>275</v>
      </c>
      <c r="C10" s="164">
        <f t="shared" si="0"/>
        <v>9.4696969696969688</v>
      </c>
      <c r="D10" s="49"/>
      <c r="E10" s="49" t="s">
        <v>81</v>
      </c>
      <c r="F10" s="49">
        <f>C28+C9+C11+C21</f>
        <v>27.169421487603302</v>
      </c>
      <c r="G10" s="6"/>
      <c r="H10" s="163"/>
      <c r="I10" s="6"/>
      <c r="J10" s="61"/>
    </row>
    <row r="11" spans="1:10" x14ac:dyDescent="0.3">
      <c r="A11" s="49" t="s">
        <v>164</v>
      </c>
      <c r="B11" s="49">
        <v>10</v>
      </c>
      <c r="C11" s="164">
        <f t="shared" si="0"/>
        <v>0.34435261707988979</v>
      </c>
      <c r="D11" s="49"/>
      <c r="E11" s="49" t="s">
        <v>84</v>
      </c>
      <c r="F11" s="49"/>
      <c r="G11" s="6"/>
      <c r="H11" s="163"/>
      <c r="I11" s="6"/>
      <c r="J11" s="61"/>
    </row>
    <row r="12" spans="1:10" x14ac:dyDescent="0.3">
      <c r="A12" s="49" t="s">
        <v>165</v>
      </c>
      <c r="B12" s="49">
        <v>271</v>
      </c>
      <c r="C12" s="164">
        <f t="shared" si="0"/>
        <v>9.3319559228650135</v>
      </c>
      <c r="D12" s="49"/>
      <c r="E12" s="49" t="s">
        <v>85</v>
      </c>
      <c r="F12" s="49"/>
      <c r="G12" s="6"/>
      <c r="H12" s="163"/>
      <c r="I12" s="6"/>
      <c r="J12" s="49"/>
    </row>
    <row r="13" spans="1:10" x14ac:dyDescent="0.3">
      <c r="A13" s="49" t="s">
        <v>166</v>
      </c>
      <c r="B13" s="49">
        <v>63</v>
      </c>
      <c r="C13" s="164">
        <f t="shared" si="0"/>
        <v>2.169421487603306</v>
      </c>
      <c r="D13" s="184"/>
      <c r="E13" s="185"/>
      <c r="F13" s="49"/>
      <c r="G13" s="6"/>
      <c r="H13" s="163"/>
      <c r="I13" s="6"/>
      <c r="J13" s="49"/>
    </row>
    <row r="14" spans="1:10" x14ac:dyDescent="0.3">
      <c r="A14" s="49" t="s">
        <v>167</v>
      </c>
      <c r="B14" s="49">
        <v>27</v>
      </c>
      <c r="C14" s="164">
        <f t="shared" si="0"/>
        <v>0.92975206611570249</v>
      </c>
      <c r="D14" s="184"/>
      <c r="E14" s="185"/>
      <c r="F14" s="49"/>
      <c r="G14" s="6"/>
      <c r="H14" s="163"/>
      <c r="I14" s="6"/>
      <c r="J14" s="49"/>
    </row>
    <row r="15" spans="1:10" x14ac:dyDescent="0.3">
      <c r="A15" s="49" t="s">
        <v>168</v>
      </c>
      <c r="B15" s="49">
        <v>59</v>
      </c>
      <c r="C15" s="164">
        <f t="shared" si="0"/>
        <v>2.0316804407713498</v>
      </c>
      <c r="D15" s="184"/>
      <c r="E15" s="185"/>
      <c r="F15" s="49"/>
      <c r="G15" s="6"/>
      <c r="H15" s="163"/>
      <c r="I15" s="6"/>
      <c r="J15" s="49"/>
    </row>
    <row r="16" spans="1:10" x14ac:dyDescent="0.3">
      <c r="A16" s="49" t="s">
        <v>169</v>
      </c>
      <c r="B16" s="49">
        <v>48</v>
      </c>
      <c r="C16" s="164">
        <f t="shared" si="0"/>
        <v>1.6528925619834711</v>
      </c>
      <c r="D16" s="49"/>
      <c r="E16" s="158"/>
      <c r="F16" s="49"/>
      <c r="G16" s="6"/>
      <c r="H16" s="163"/>
      <c r="I16" s="6"/>
      <c r="J16" s="49"/>
    </row>
    <row r="17" spans="1:10" x14ac:dyDescent="0.3">
      <c r="A17" s="49" t="s">
        <v>170</v>
      </c>
      <c r="B17" s="49">
        <v>4</v>
      </c>
      <c r="C17" s="164">
        <f t="shared" si="0"/>
        <v>0.13774104683195593</v>
      </c>
      <c r="D17" s="49"/>
      <c r="E17" s="158"/>
      <c r="F17" s="49"/>
      <c r="G17" s="6"/>
      <c r="H17" s="163"/>
      <c r="I17" s="6"/>
      <c r="J17" s="49"/>
    </row>
    <row r="18" spans="1:10" x14ac:dyDescent="0.3">
      <c r="A18" s="49" t="s">
        <v>171</v>
      </c>
      <c r="B18" s="49">
        <v>64</v>
      </c>
      <c r="C18" s="164">
        <f t="shared" si="0"/>
        <v>2.2038567493112948</v>
      </c>
      <c r="D18" s="49"/>
      <c r="E18" s="158"/>
      <c r="F18" s="49"/>
      <c r="G18" s="6"/>
      <c r="H18" s="163"/>
      <c r="I18" s="6"/>
      <c r="J18" s="49"/>
    </row>
    <row r="19" spans="1:10" x14ac:dyDescent="0.3">
      <c r="A19" s="49" t="s">
        <v>172</v>
      </c>
      <c r="B19" s="49">
        <v>0</v>
      </c>
      <c r="C19" s="164">
        <f t="shared" si="0"/>
        <v>0</v>
      </c>
      <c r="D19" s="49"/>
      <c r="E19" s="158"/>
      <c r="F19" s="49"/>
      <c r="G19" s="6"/>
      <c r="H19" s="163"/>
      <c r="I19" s="6"/>
      <c r="J19" s="49"/>
    </row>
    <row r="20" spans="1:10" x14ac:dyDescent="0.3">
      <c r="A20" s="49" t="s">
        <v>173</v>
      </c>
      <c r="B20" s="49">
        <v>0</v>
      </c>
      <c r="C20" s="164">
        <f t="shared" si="0"/>
        <v>0</v>
      </c>
      <c r="D20" s="49"/>
      <c r="E20" s="49"/>
      <c r="F20" s="49"/>
      <c r="G20" s="49"/>
      <c r="H20" s="157"/>
      <c r="I20" s="49"/>
      <c r="J20" s="49"/>
    </row>
    <row r="21" spans="1:10" x14ac:dyDescent="0.3">
      <c r="A21" s="49" t="s">
        <v>174</v>
      </c>
      <c r="B21" s="49">
        <v>74</v>
      </c>
      <c r="C21" s="164">
        <f t="shared" si="0"/>
        <v>2.5482093663911844</v>
      </c>
      <c r="D21" s="49"/>
      <c r="E21" s="49"/>
      <c r="F21" s="49"/>
      <c r="G21" s="49"/>
      <c r="H21" s="49"/>
      <c r="I21" s="49"/>
      <c r="J21" s="49"/>
    </row>
    <row r="22" spans="1:10" x14ac:dyDescent="0.3">
      <c r="A22" t="s">
        <v>159</v>
      </c>
      <c r="B22">
        <v>155</v>
      </c>
      <c r="C22" s="164">
        <f t="shared" si="0"/>
        <v>5.3374655647382916</v>
      </c>
    </row>
    <row r="23" spans="1:10" x14ac:dyDescent="0.3">
      <c r="A23" t="s">
        <v>175</v>
      </c>
      <c r="B23">
        <v>69</v>
      </c>
      <c r="C23" s="164">
        <f t="shared" si="0"/>
        <v>2.3760330578512399</v>
      </c>
    </row>
    <row r="24" spans="1:10" x14ac:dyDescent="0.3">
      <c r="A24" t="s">
        <v>129</v>
      </c>
      <c r="B24">
        <v>0</v>
      </c>
      <c r="C24" s="164">
        <f t="shared" si="0"/>
        <v>0</v>
      </c>
    </row>
    <row r="25" spans="1:10" x14ac:dyDescent="0.3">
      <c r="A25" t="s">
        <v>26</v>
      </c>
      <c r="B25">
        <v>281</v>
      </c>
      <c r="C25" s="164">
        <f t="shared" si="0"/>
        <v>9.6763085399449036</v>
      </c>
    </row>
    <row r="26" spans="1:10" x14ac:dyDescent="0.3">
      <c r="A26" t="s">
        <v>176</v>
      </c>
      <c r="B26">
        <v>0</v>
      </c>
      <c r="C26" s="164">
        <f t="shared" si="0"/>
        <v>0</v>
      </c>
    </row>
    <row r="27" spans="1:10" x14ac:dyDescent="0.3">
      <c r="A27" t="s">
        <v>177</v>
      </c>
      <c r="B27">
        <v>117</v>
      </c>
      <c r="C27" s="164">
        <f t="shared" si="0"/>
        <v>4.0289256198347108</v>
      </c>
    </row>
    <row r="28" spans="1:10" x14ac:dyDescent="0.3">
      <c r="A28" t="s">
        <v>178</v>
      </c>
      <c r="B28">
        <v>690</v>
      </c>
      <c r="C28" s="164">
        <f t="shared" si="0"/>
        <v>23.760330578512395</v>
      </c>
    </row>
    <row r="30" spans="1:10" x14ac:dyDescent="0.3">
      <c r="A30" t="s">
        <v>179</v>
      </c>
      <c r="B30">
        <v>2904</v>
      </c>
    </row>
    <row r="31" spans="1:10" x14ac:dyDescent="0.3">
      <c r="D31">
        <f>5/32</f>
        <v>0.15625</v>
      </c>
    </row>
  </sheetData>
  <mergeCells count="5">
    <mergeCell ref="D3:D4"/>
    <mergeCell ref="E3:E4"/>
    <mergeCell ref="G3:G4"/>
    <mergeCell ref="D13:D15"/>
    <mergeCell ref="E13:E1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B3" sqref="B3:H10"/>
    </sheetView>
  </sheetViews>
  <sheetFormatPr defaultRowHeight="14.4" x14ac:dyDescent="0.3"/>
  <cols>
    <col min="2" max="2" width="9.5546875" bestFit="1" customWidth="1"/>
    <col min="3" max="3" width="10.77734375" bestFit="1" customWidth="1"/>
    <col min="4" max="4" width="15" customWidth="1"/>
    <col min="5" max="5" width="18.44140625" bestFit="1" customWidth="1"/>
    <col min="6" max="6" width="10.77734375" bestFit="1" customWidth="1"/>
    <col min="7" max="7" width="25.5546875" bestFit="1" customWidth="1"/>
    <col min="8" max="8" width="12.5546875" customWidth="1"/>
  </cols>
  <sheetData>
    <row r="1" spans="1:8" s="49" customFormat="1" x14ac:dyDescent="0.3"/>
    <row r="2" spans="1:8" x14ac:dyDescent="0.3">
      <c r="B2" t="s">
        <v>203</v>
      </c>
      <c r="C2" t="s">
        <v>204</v>
      </c>
      <c r="D2" t="s">
        <v>205</v>
      </c>
      <c r="E2" t="s">
        <v>206</v>
      </c>
      <c r="F2" t="s">
        <v>207</v>
      </c>
      <c r="G2" t="s">
        <v>208</v>
      </c>
      <c r="H2" t="s">
        <v>209</v>
      </c>
    </row>
    <row r="3" spans="1:8" x14ac:dyDescent="0.3">
      <c r="A3" s="49" t="s">
        <v>82</v>
      </c>
      <c r="B3">
        <v>2.2999999999999998</v>
      </c>
      <c r="C3">
        <v>0</v>
      </c>
      <c r="D3">
        <v>0.45</v>
      </c>
      <c r="E3">
        <v>1.34</v>
      </c>
      <c r="F3">
        <v>0</v>
      </c>
      <c r="G3">
        <v>1.8</v>
      </c>
      <c r="H3">
        <v>1.77</v>
      </c>
    </row>
    <row r="4" spans="1:8" x14ac:dyDescent="0.3">
      <c r="A4" s="49" t="s">
        <v>83</v>
      </c>
      <c r="B4">
        <v>7.2</v>
      </c>
      <c r="C4">
        <v>0</v>
      </c>
      <c r="D4">
        <v>2.5</v>
      </c>
      <c r="E4">
        <v>4.0999999999999996</v>
      </c>
      <c r="F4">
        <v>0</v>
      </c>
      <c r="G4">
        <v>6.7</v>
      </c>
      <c r="H4">
        <v>7.54</v>
      </c>
    </row>
    <row r="5" spans="1:8" x14ac:dyDescent="0.3">
      <c r="A5" s="49" t="s">
        <v>6</v>
      </c>
      <c r="B5">
        <v>6.7</v>
      </c>
      <c r="C5">
        <v>7</v>
      </c>
      <c r="D5">
        <v>8</v>
      </c>
      <c r="E5">
        <v>7.78</v>
      </c>
      <c r="F5">
        <v>0</v>
      </c>
      <c r="G5">
        <v>4</v>
      </c>
      <c r="H5">
        <v>6.92</v>
      </c>
    </row>
    <row r="6" spans="1:8" x14ac:dyDescent="0.3">
      <c r="A6" s="49" t="s">
        <v>7</v>
      </c>
      <c r="B6">
        <v>1</v>
      </c>
      <c r="C6">
        <v>2</v>
      </c>
      <c r="D6">
        <v>0.76</v>
      </c>
      <c r="E6">
        <v>0.74</v>
      </c>
      <c r="F6">
        <v>0</v>
      </c>
      <c r="G6">
        <v>1.2</v>
      </c>
      <c r="H6">
        <v>1.25</v>
      </c>
    </row>
    <row r="7" spans="1:8" x14ac:dyDescent="0.3">
      <c r="A7" s="49" t="s">
        <v>12</v>
      </c>
      <c r="B7">
        <v>2</v>
      </c>
      <c r="C7">
        <v>3.8</v>
      </c>
      <c r="D7">
        <v>7.06</v>
      </c>
      <c r="E7">
        <v>6.88</v>
      </c>
      <c r="F7">
        <v>10</v>
      </c>
      <c r="G7">
        <v>2.2999999999999998</v>
      </c>
      <c r="H7">
        <v>2.36</v>
      </c>
    </row>
    <row r="8" spans="1:8" x14ac:dyDescent="0.3">
      <c r="A8" s="49" t="s">
        <v>81</v>
      </c>
      <c r="B8">
        <v>46.8</v>
      </c>
      <c r="C8">
        <v>52</v>
      </c>
      <c r="D8">
        <v>30.6</v>
      </c>
      <c r="E8">
        <v>29.3</v>
      </c>
      <c r="F8">
        <v>30</v>
      </c>
      <c r="G8">
        <v>54</v>
      </c>
      <c r="H8">
        <v>46.11</v>
      </c>
    </row>
    <row r="9" spans="1:8" x14ac:dyDescent="0.3">
      <c r="A9" s="49" t="s">
        <v>84</v>
      </c>
      <c r="B9">
        <v>8</v>
      </c>
      <c r="C9">
        <v>9.1999999999999993</v>
      </c>
      <c r="D9">
        <v>12</v>
      </c>
      <c r="E9">
        <v>11.75</v>
      </c>
      <c r="F9">
        <v>20</v>
      </c>
      <c r="G9">
        <v>10</v>
      </c>
      <c r="H9">
        <v>12.77</v>
      </c>
    </row>
    <row r="10" spans="1:8" x14ac:dyDescent="0.3">
      <c r="A10" s="49" t="s">
        <v>85</v>
      </c>
      <c r="B10">
        <v>26</v>
      </c>
      <c r="C10">
        <v>26</v>
      </c>
      <c r="D10">
        <v>38.6</v>
      </c>
      <c r="E10">
        <v>37.450000000000003</v>
      </c>
      <c r="F10">
        <v>40</v>
      </c>
      <c r="G10">
        <v>20</v>
      </c>
      <c r="H10">
        <v>20.399999999999999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BackgroundData</vt:lpstr>
      <vt:lpstr>MeatLandDemand</vt:lpstr>
      <vt:lpstr>Model Input</vt:lpstr>
      <vt:lpstr>Diet-Population</vt:lpstr>
      <vt:lpstr>Flexitarian diet</vt:lpstr>
      <vt:lpstr>Healthy diet</vt:lpstr>
      <vt:lpstr>Sheet1</vt:lpstr>
      <vt:lpstr>WRI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REITER Claudia</cp:lastModifiedBy>
  <dcterms:created xsi:type="dcterms:W3CDTF">2018-07-12T10:48:48Z</dcterms:created>
  <dcterms:modified xsi:type="dcterms:W3CDTF">2023-05-25T15:02:32Z</dcterms:modified>
</cp:coreProperties>
</file>