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andretroost/Library/CloudStorage/GoogleDrive-andre.troost@tfe.energy/Shared drives/TFE Africa Team Drive/01 Projects/22. LEAP-RE RE4AFAGRI/6. Deliverables/"/>
    </mc:Choice>
  </mc:AlternateContent>
  <xr:revisionPtr revIDLastSave="0" documentId="13_ncr:1_{8027EC48-96A7-4447-B937-657F12CB13C2}" xr6:coauthVersionLast="47" xr6:coauthVersionMax="47" xr10:uidLastSave="{00000000-0000-0000-0000-000000000000}"/>
  <bookViews>
    <workbookView xWindow="28800" yWindow="-1160" windowWidth="38400" windowHeight="21600" xr2:uid="{00000000-000D-0000-FFFF-FFFF00000000}"/>
  </bookViews>
  <sheets>
    <sheet name="Introduction" sheetId="10" r:id="rId1"/>
    <sheet name="Main inputs" sheetId="1" r:id="rId2"/>
    <sheet name="Price margin inputs" sheetId="2" r:id="rId3"/>
    <sheet name="Payback period results" sheetId="3" r:id="rId4"/>
    <sheet name="IRR results" sheetId="4" r:id="rId5"/>
    <sheet name="Irrigation inputs&amp;calcs_NIG" sheetId="5" r:id="rId6"/>
    <sheet name="Irrigation inputs&amp;calcs_RWA" sheetId="6" r:id="rId7"/>
    <sheet name="Irrigation inputs&amp;calcs_ZAM" sheetId="7" r:id="rId8"/>
    <sheet name="Irrigation inputs&amp;calcs_ZIM" sheetId="8"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6" i="2" l="1"/>
  <c r="B115" i="1"/>
  <c r="B45" i="5" l="1"/>
  <c r="BD25" i="3" a="1"/>
  <c r="BD25" i="3" s="1"/>
  <c r="BC4" i="4" s="1"/>
  <c r="BC25" i="3" a="1"/>
  <c r="BC25" i="3" s="1"/>
  <c r="BB4" i="4" s="1"/>
  <c r="BB25" i="3" a="1"/>
  <c r="BB25" i="3" s="1"/>
  <c r="BA4" i="4" s="1"/>
  <c r="AZ25" i="3" a="1"/>
  <c r="AZ25" i="3" s="1"/>
  <c r="AY4" i="4" s="1"/>
  <c r="AY25" i="3" a="1"/>
  <c r="AY25" i="3" s="1"/>
  <c r="AX4" i="4" s="1"/>
  <c r="AX25" i="3" a="1"/>
  <c r="AX25" i="3" s="1"/>
  <c r="AW4" i="4" s="1"/>
  <c r="AW25" i="3"/>
  <c r="AW25" i="3" a="1"/>
  <c r="AV25" i="3"/>
  <c r="AU4" i="4"/>
  <c r="AU25" i="3" a="1"/>
  <c r="AU25" i="3" s="1"/>
  <c r="AT4" i="4" s="1"/>
  <c r="AT25" i="3" a="1"/>
  <c r="AT25" i="3" s="1"/>
  <c r="AS4" i="4" s="1"/>
  <c r="AS25" i="3" a="1"/>
  <c r="AS25" i="3" s="1"/>
  <c r="AP25" i="3" a="1"/>
  <c r="AP25" i="3" s="1"/>
  <c r="AO4" i="4" s="1"/>
  <c r="AO25" i="3" a="1"/>
  <c r="AO25" i="3" s="1"/>
  <c r="AN25" i="3" a="1"/>
  <c r="AN25" i="3" s="1"/>
  <c r="AM4" i="4" s="1"/>
  <c r="AM25" i="3" a="1"/>
  <c r="AM25" i="3" s="1"/>
  <c r="AL4" i="4" s="1"/>
  <c r="AK25" i="3" a="1"/>
  <c r="AK25" i="3" s="1"/>
  <c r="AJ25" i="3" a="1"/>
  <c r="AJ25" i="3" s="1"/>
  <c r="AI4" i="4" s="1"/>
  <c r="AI25" i="3" a="1"/>
  <c r="AI25" i="3" s="1"/>
  <c r="AH4" i="4" s="1"/>
  <c r="AH25" i="3" a="1"/>
  <c r="AH25" i="3" s="1"/>
  <c r="AG4" i="4" s="1"/>
  <c r="AF25" i="3" a="1"/>
  <c r="AF25" i="3" s="1"/>
  <c r="AE4" i="4" s="1"/>
  <c r="AE25" i="3" a="1"/>
  <c r="AE25" i="3" s="1"/>
  <c r="AD4" i="4" s="1"/>
  <c r="AD25" i="3" a="1"/>
  <c r="AD25" i="3" s="1"/>
  <c r="AC4" i="4" s="1"/>
  <c r="AA25" i="3" a="1"/>
  <c r="AA25" i="3" s="1"/>
  <c r="Z4" i="4" s="1"/>
  <c r="Z25" i="3" a="1"/>
  <c r="Z25" i="3" s="1"/>
  <c r="Y4" i="4" s="1"/>
  <c r="Y25" i="3" a="1"/>
  <c r="Y25" i="3" s="1"/>
  <c r="X4" i="4" s="1"/>
  <c r="W25" i="3"/>
  <c r="W25" i="3" a="1"/>
  <c r="U25" i="3"/>
  <c r="U25" i="3" a="1"/>
  <c r="T25" i="3" a="1"/>
  <c r="T25" i="3" s="1"/>
  <c r="S25" i="3" a="1"/>
  <c r="S25" i="3" s="1"/>
  <c r="R4" i="4" s="1"/>
  <c r="R25" i="3" a="1"/>
  <c r="R25" i="3" s="1"/>
  <c r="Q4" i="4" s="1"/>
  <c r="O25" i="3" a="1"/>
  <c r="O25" i="3" s="1"/>
  <c r="N4" i="4" s="1"/>
  <c r="N25" i="3" a="1"/>
  <c r="N25" i="3" s="1"/>
  <c r="M4" i="4" s="1"/>
  <c r="M25" i="3"/>
  <c r="M25" i="3" a="1"/>
  <c r="K25" i="3" a="1"/>
  <c r="K25" i="3" s="1"/>
  <c r="J4" i="4" s="1"/>
  <c r="J25" i="3"/>
  <c r="J25" i="3" a="1"/>
  <c r="I25" i="3" a="1"/>
  <c r="I25" i="3" s="1"/>
  <c r="H4" i="4" s="1"/>
  <c r="H25" i="3" a="1"/>
  <c r="H25" i="3" s="1"/>
  <c r="F25" i="3" a="1"/>
  <c r="F25" i="3" s="1"/>
  <c r="E4" i="4" s="1"/>
  <c r="E25" i="3" a="1"/>
  <c r="E25" i="3"/>
  <c r="D4" i="4" s="1"/>
  <c r="D25" i="3" a="1"/>
  <c r="D25" i="3" s="1"/>
  <c r="C6" i="3"/>
  <c r="C9" i="3" s="1"/>
  <c r="B13" i="1"/>
  <c r="D40" i="1"/>
  <c r="D12" i="1"/>
  <c r="B46" i="8"/>
  <c r="B47" i="7"/>
  <c r="B49" i="7" s="1"/>
  <c r="B48" i="6"/>
  <c r="H13" i="2"/>
  <c r="K14" i="2"/>
  <c r="D50" i="1"/>
  <c r="AA16" i="3"/>
  <c r="AA17" i="3"/>
  <c r="AA15" i="3" s="1"/>
  <c r="AA12" i="3"/>
  <c r="AA14" i="3"/>
  <c r="AA6" i="3"/>
  <c r="AA9" i="3" s="1"/>
  <c r="G24" i="1"/>
  <c r="C40" i="5"/>
  <c r="BE15" i="3"/>
  <c r="BA15" i="3"/>
  <c r="AV15" i="3"/>
  <c r="AR15" i="3"/>
  <c r="AQ15" i="3"/>
  <c r="AL15" i="3"/>
  <c r="AG15" i="3"/>
  <c r="AC15" i="3"/>
  <c r="AB15" i="3"/>
  <c r="X15" i="3"/>
  <c r="V15" i="3"/>
  <c r="Q15" i="3"/>
  <c r="L15" i="3"/>
  <c r="AG6" i="3"/>
  <c r="AB6" i="3"/>
  <c r="X6" i="3"/>
  <c r="V6" i="3"/>
  <c r="V9" i="3" s="1"/>
  <c r="Q6" i="3"/>
  <c r="Q9" i="3" s="1"/>
  <c r="P6" i="3"/>
  <c r="P9" i="3" s="1"/>
  <c r="G6" i="3"/>
  <c r="G15" i="3"/>
  <c r="C15" i="3"/>
  <c r="B48" i="8"/>
  <c r="B49" i="8" s="1"/>
  <c r="BE6" i="3" s="1"/>
  <c r="BE9" i="3" s="1"/>
  <c r="B45" i="8"/>
  <c r="E40" i="8"/>
  <c r="E39" i="8"/>
  <c r="E38" i="8"/>
  <c r="B32" i="8"/>
  <c r="D30" i="8"/>
  <c r="D32" i="8" s="1"/>
  <c r="C30" i="8"/>
  <c r="C32" i="8" s="1"/>
  <c r="B30" i="8"/>
  <c r="B26" i="8"/>
  <c r="C23" i="8"/>
  <c r="C26" i="8" s="1"/>
  <c r="B23" i="8"/>
  <c r="D22" i="8"/>
  <c r="D23" i="8" s="1"/>
  <c r="D26" i="8" s="1"/>
  <c r="D13" i="8"/>
  <c r="C13" i="8"/>
  <c r="B13" i="8"/>
  <c r="D12" i="8"/>
  <c r="D38" i="8" s="1"/>
  <c r="C12" i="8"/>
  <c r="C38" i="8" s="1"/>
  <c r="B12" i="8"/>
  <c r="B29" i="8" s="1"/>
  <c r="C7" i="8"/>
  <c r="B46" i="7"/>
  <c r="E41" i="7"/>
  <c r="E39" i="7"/>
  <c r="C39" i="7"/>
  <c r="D33" i="7"/>
  <c r="D31" i="7"/>
  <c r="B31" i="7"/>
  <c r="B33" i="7" s="1"/>
  <c r="C26" i="7"/>
  <c r="D23" i="7"/>
  <c r="D26" i="7" s="1"/>
  <c r="C23" i="7"/>
  <c r="B23" i="7"/>
  <c r="B26" i="7" s="1"/>
  <c r="D13" i="7"/>
  <c r="C13" i="7"/>
  <c r="B13" i="7"/>
  <c r="D12" i="7"/>
  <c r="D39" i="7" s="1"/>
  <c r="C12" i="7"/>
  <c r="C30" i="7" s="1"/>
  <c r="B12" i="7"/>
  <c r="B39" i="7" s="1"/>
  <c r="C7" i="7"/>
  <c r="E41" i="6"/>
  <c r="B47" i="6"/>
  <c r="B46" i="6"/>
  <c r="E40" i="6"/>
  <c r="E39" i="6"/>
  <c r="D39" i="6"/>
  <c r="B39" i="6"/>
  <c r="D33" i="6"/>
  <c r="D31" i="6"/>
  <c r="D26" i="6"/>
  <c r="B26" i="6"/>
  <c r="D23" i="6"/>
  <c r="C23" i="6"/>
  <c r="C26" i="6" s="1"/>
  <c r="B23" i="6"/>
  <c r="D13" i="6"/>
  <c r="C13" i="6"/>
  <c r="B13" i="6"/>
  <c r="D12" i="6"/>
  <c r="D30" i="6" s="1"/>
  <c r="C12" i="6"/>
  <c r="C39" i="6" s="1"/>
  <c r="B12" i="6"/>
  <c r="B30" i="6" s="1"/>
  <c r="C7" i="6"/>
  <c r="B47" i="5"/>
  <c r="B48" i="5" s="1"/>
  <c r="B44" i="5"/>
  <c r="E39" i="5"/>
  <c r="E38" i="5"/>
  <c r="E37" i="5"/>
  <c r="B31" i="5"/>
  <c r="B29" i="5"/>
  <c r="C28" i="5"/>
  <c r="D25" i="5"/>
  <c r="B25" i="5"/>
  <c r="D23" i="5"/>
  <c r="C23" i="5"/>
  <c r="C25" i="5" s="1"/>
  <c r="B23" i="5"/>
  <c r="D19" i="5"/>
  <c r="D13" i="5"/>
  <c r="C13" i="5"/>
  <c r="B13" i="5"/>
  <c r="D12" i="5"/>
  <c r="D37" i="5" s="1"/>
  <c r="C12" i="5"/>
  <c r="C37" i="5" s="1"/>
  <c r="B12" i="5"/>
  <c r="B28" i="5" s="1"/>
  <c r="C7" i="5"/>
  <c r="BD3" i="4"/>
  <c r="BC3" i="4"/>
  <c r="BB3" i="4"/>
  <c r="BA3" i="4"/>
  <c r="AZ3" i="4"/>
  <c r="AY3" i="4"/>
  <c r="AX3" i="4"/>
  <c r="AW3" i="4"/>
  <c r="AV3" i="4"/>
  <c r="AU3" i="4"/>
  <c r="AT3" i="4"/>
  <c r="AS3" i="4"/>
  <c r="AR3" i="4"/>
  <c r="AQ3" i="4"/>
  <c r="AP3" i="4"/>
  <c r="AO3" i="4"/>
  <c r="AN3" i="4"/>
  <c r="AM3" i="4"/>
  <c r="AL3" i="4"/>
  <c r="AK3" i="4"/>
  <c r="AJ3" i="4"/>
  <c r="AI3" i="4"/>
  <c r="AH3" i="4"/>
  <c r="AG3" i="4"/>
  <c r="AF3" i="4"/>
  <c r="AE3" i="4"/>
  <c r="AD3" i="4"/>
  <c r="AC3" i="4"/>
  <c r="AB3" i="4"/>
  <c r="AA3" i="4"/>
  <c r="Z3" i="4"/>
  <c r="Y3" i="4"/>
  <c r="X3" i="4"/>
  <c r="W3" i="4"/>
  <c r="V3" i="4"/>
  <c r="U3" i="4"/>
  <c r="T3" i="4"/>
  <c r="S3" i="4"/>
  <c r="R3" i="4"/>
  <c r="Q3" i="4"/>
  <c r="P3" i="4"/>
  <c r="O3" i="4"/>
  <c r="N3" i="4"/>
  <c r="M3" i="4"/>
  <c r="L3" i="4"/>
  <c r="K3" i="4"/>
  <c r="J3" i="4"/>
  <c r="I3" i="4"/>
  <c r="H3" i="4"/>
  <c r="G3" i="4"/>
  <c r="F3" i="4"/>
  <c r="E3" i="4"/>
  <c r="D3" i="4"/>
  <c r="C3" i="4"/>
  <c r="B3" i="4"/>
  <c r="BD2" i="4"/>
  <c r="AZ2" i="4"/>
  <c r="AU2" i="4"/>
  <c r="AQ2" i="4"/>
  <c r="AP2" i="4"/>
  <c r="AK2" i="4"/>
  <c r="AF2" i="4"/>
  <c r="AB2" i="4"/>
  <c r="AA2" i="4"/>
  <c r="W2" i="4"/>
  <c r="U2" i="4"/>
  <c r="P2" i="4"/>
  <c r="O2" i="4"/>
  <c r="K2" i="4"/>
  <c r="F2" i="4"/>
  <c r="B2" i="4"/>
  <c r="AQ1" i="4"/>
  <c r="AB1" i="4"/>
  <c r="P1" i="4"/>
  <c r="B1" i="4"/>
  <c r="BE25" i="3"/>
  <c r="BA25" i="3"/>
  <c r="AR25" i="3"/>
  <c r="AQ4" i="4" s="1"/>
  <c r="AQ25" i="3"/>
  <c r="AP4" i="4" s="1"/>
  <c r="AL25" i="3"/>
  <c r="AK4" i="4" s="1"/>
  <c r="AG25" i="3"/>
  <c r="AC25" i="3"/>
  <c r="AB25" i="3"/>
  <c r="AA4" i="4" s="1"/>
  <c r="X25" i="3"/>
  <c r="V4" i="4"/>
  <c r="V25" i="3"/>
  <c r="U4" i="4" s="1"/>
  <c r="T4" i="4"/>
  <c r="Q25" i="3"/>
  <c r="P4" i="4" s="1"/>
  <c r="P25" i="3"/>
  <c r="L4" i="4"/>
  <c r="L25" i="3"/>
  <c r="I4" i="4"/>
  <c r="G25" i="3"/>
  <c r="F4" i="4" s="1"/>
  <c r="C25" i="3"/>
  <c r="B4" i="4" s="1"/>
  <c r="BE14" i="3"/>
  <c r="BA14" i="3"/>
  <c r="AZ14" i="3"/>
  <c r="AY14" i="3"/>
  <c r="AX14" i="3"/>
  <c r="AW14" i="3"/>
  <c r="AV14" i="3"/>
  <c r="AR14" i="3"/>
  <c r="AQ14" i="3"/>
  <c r="AP14" i="3"/>
  <c r="AN14" i="3"/>
  <c r="AM14" i="3"/>
  <c r="AL14" i="3"/>
  <c r="AG14" i="3"/>
  <c r="AC14" i="3"/>
  <c r="AB14" i="3"/>
  <c r="X14" i="3"/>
  <c r="V14" i="3"/>
  <c r="Q14" i="3"/>
  <c r="P14" i="3"/>
  <c r="O14" i="3"/>
  <c r="L14" i="3"/>
  <c r="I14" i="3"/>
  <c r="G14" i="3"/>
  <c r="F14" i="3"/>
  <c r="E14" i="3"/>
  <c r="C14" i="3"/>
  <c r="AG9" i="3"/>
  <c r="AB9" i="3"/>
  <c r="X9" i="3"/>
  <c r="H6" i="3"/>
  <c r="H9" i="3" s="1"/>
  <c r="G9" i="3"/>
  <c r="BE3" i="3"/>
  <c r="BD3" i="3"/>
  <c r="BC3" i="3"/>
  <c r="BB3" i="3"/>
  <c r="BA3" i="3"/>
  <c r="AZ3" i="3"/>
  <c r="AY3" i="3"/>
  <c r="AX3" i="3"/>
  <c r="AW3" i="3"/>
  <c r="AV3" i="3"/>
  <c r="AU3" i="3"/>
  <c r="AT3" i="3"/>
  <c r="AS3" i="3"/>
  <c r="AR3" i="3"/>
  <c r="AQ3" i="3"/>
  <c r="AP3" i="3"/>
  <c r="AO3" i="3"/>
  <c r="AN3" i="3"/>
  <c r="AM3" i="3"/>
  <c r="AL3" i="3"/>
  <c r="AK3" i="3"/>
  <c r="AJ3" i="3"/>
  <c r="AI3" i="3"/>
  <c r="AH3" i="3"/>
  <c r="AG3" i="3"/>
  <c r="AF3" i="3"/>
  <c r="AE3" i="3"/>
  <c r="AD3" i="3"/>
  <c r="AC3" i="3"/>
  <c r="AB3" i="3"/>
  <c r="AA3" i="3"/>
  <c r="Z3" i="3"/>
  <c r="Y3" i="3"/>
  <c r="X3" i="3"/>
  <c r="W3" i="3"/>
  <c r="V3" i="3"/>
  <c r="U3" i="3"/>
  <c r="T3" i="3"/>
  <c r="S3" i="3"/>
  <c r="R3" i="3"/>
  <c r="Q3" i="3"/>
  <c r="P3" i="3"/>
  <c r="O3" i="3"/>
  <c r="N3" i="3"/>
  <c r="M3" i="3"/>
  <c r="L3" i="3"/>
  <c r="K3" i="3"/>
  <c r="J3" i="3"/>
  <c r="I3" i="3"/>
  <c r="H3" i="3"/>
  <c r="G3" i="3"/>
  <c r="F3" i="3"/>
  <c r="E3" i="3"/>
  <c r="D3" i="3"/>
  <c r="C3" i="3"/>
  <c r="BE2" i="3"/>
  <c r="BA2" i="3"/>
  <c r="AV2" i="3"/>
  <c r="AR2" i="3"/>
  <c r="AQ2" i="3"/>
  <c r="AL2" i="3"/>
  <c r="AG2" i="3"/>
  <c r="AC2" i="3"/>
  <c r="AB2" i="3"/>
  <c r="X2" i="3"/>
  <c r="V2" i="3"/>
  <c r="Q2" i="3"/>
  <c r="P2" i="3"/>
  <c r="L2" i="3"/>
  <c r="G2" i="3"/>
  <c r="C2" i="3"/>
  <c r="AR1" i="3"/>
  <c r="AC1" i="3"/>
  <c r="Q1" i="3"/>
  <c r="C1" i="3"/>
  <c r="K31" i="2"/>
  <c r="K32" i="2" s="1"/>
  <c r="K33" i="2" s="1"/>
  <c r="K25" i="2" s="1"/>
  <c r="K26" i="2" s="1"/>
  <c r="O26" i="2"/>
  <c r="N26" i="2"/>
  <c r="M26" i="2"/>
  <c r="J26" i="2"/>
  <c r="I26" i="2"/>
  <c r="H26" i="2"/>
  <c r="G26" i="2"/>
  <c r="D26" i="2"/>
  <c r="C26" i="2"/>
  <c r="L25" i="2"/>
  <c r="G25" i="2"/>
  <c r="C31" i="8" s="1"/>
  <c r="F25" i="2"/>
  <c r="F26" i="2" s="1"/>
  <c r="E25" i="2"/>
  <c r="E26" i="2" s="1"/>
  <c r="D25" i="2"/>
  <c r="C25" i="2"/>
  <c r="B31" i="8" s="1"/>
  <c r="O23" i="2"/>
  <c r="N23" i="2"/>
  <c r="M23" i="2"/>
  <c r="L23" i="2"/>
  <c r="K23" i="2"/>
  <c r="J23" i="2"/>
  <c r="I23" i="2"/>
  <c r="H23" i="2"/>
  <c r="G23" i="2"/>
  <c r="F23" i="2"/>
  <c r="E23" i="2"/>
  <c r="D23" i="2"/>
  <c r="C23" i="2"/>
  <c r="L22" i="2"/>
  <c r="G22" i="2"/>
  <c r="C22" i="2"/>
  <c r="A22" i="2"/>
  <c r="P20" i="2"/>
  <c r="AP6" i="3" s="1"/>
  <c r="AP9" i="3" s="1"/>
  <c r="N20" i="2"/>
  <c r="L20" i="2"/>
  <c r="C20" i="2"/>
  <c r="P19" i="2"/>
  <c r="L19" i="2"/>
  <c r="D32" i="7" s="1"/>
  <c r="H19" i="2"/>
  <c r="I18" i="2" s="1"/>
  <c r="I19" i="2" s="1"/>
  <c r="G19" i="2"/>
  <c r="C32" i="7" s="1"/>
  <c r="D19" i="2"/>
  <c r="D20" i="2" s="1"/>
  <c r="C19" i="2"/>
  <c r="B32" i="7" s="1"/>
  <c r="J18" i="2"/>
  <c r="G18" i="2"/>
  <c r="C31" i="7" s="1"/>
  <c r="C33" i="7" s="1"/>
  <c r="E18" i="2"/>
  <c r="E19" i="2" s="1"/>
  <c r="E20" i="2" s="1"/>
  <c r="P17" i="2"/>
  <c r="O17" i="2"/>
  <c r="N17" i="2"/>
  <c r="M17" i="2"/>
  <c r="L17" i="2"/>
  <c r="K17" i="2"/>
  <c r="J17" i="2"/>
  <c r="I17" i="2"/>
  <c r="H17" i="2"/>
  <c r="G17" i="2"/>
  <c r="F17" i="2"/>
  <c r="E17" i="2"/>
  <c r="D17" i="2"/>
  <c r="C17" i="2"/>
  <c r="L16" i="2"/>
  <c r="G16" i="2"/>
  <c r="C16" i="2"/>
  <c r="A16" i="2"/>
  <c r="M14" i="2"/>
  <c r="L14" i="2"/>
  <c r="J14" i="2"/>
  <c r="I14" i="2"/>
  <c r="D14" i="2"/>
  <c r="M13" i="2"/>
  <c r="L13" i="2"/>
  <c r="K13" i="2"/>
  <c r="J13" i="2"/>
  <c r="D32" i="6" s="1"/>
  <c r="I13" i="2"/>
  <c r="G13" i="2"/>
  <c r="C13" i="2"/>
  <c r="H12" i="2"/>
  <c r="C31" i="6" s="1"/>
  <c r="C33" i="6" s="1"/>
  <c r="E12" i="2"/>
  <c r="D12" i="2"/>
  <c r="C12" i="2" s="1"/>
  <c r="B31" i="6" s="1"/>
  <c r="B33" i="6" s="1"/>
  <c r="M11" i="2"/>
  <c r="L11" i="2"/>
  <c r="K11" i="2"/>
  <c r="J11" i="2"/>
  <c r="I11" i="2"/>
  <c r="H11" i="2"/>
  <c r="G11" i="2"/>
  <c r="F11" i="2"/>
  <c r="E11" i="2"/>
  <c r="D11" i="2"/>
  <c r="C11" i="2"/>
  <c r="J10" i="2"/>
  <c r="H10" i="2"/>
  <c r="C10" i="2"/>
  <c r="A10" i="2"/>
  <c r="C8" i="2"/>
  <c r="O7" i="2"/>
  <c r="N7" i="2"/>
  <c r="N8" i="2" s="1"/>
  <c r="L7" i="2"/>
  <c r="G7" i="2"/>
  <c r="C30" i="5" s="1"/>
  <c r="E7" i="2"/>
  <c r="D7" i="2" s="1"/>
  <c r="C7" i="2"/>
  <c r="B30" i="5" s="1"/>
  <c r="N6" i="2"/>
  <c r="L6" i="2"/>
  <c r="K6" i="2"/>
  <c r="J6" i="2"/>
  <c r="I6" i="2"/>
  <c r="G6" i="2"/>
  <c r="C29" i="5" s="1"/>
  <c r="C31" i="5" s="1"/>
  <c r="O5" i="2"/>
  <c r="N5" i="2"/>
  <c r="M5" i="2"/>
  <c r="L5" i="2"/>
  <c r="K5" i="2"/>
  <c r="J5" i="2"/>
  <c r="I5" i="2"/>
  <c r="H5" i="2"/>
  <c r="G5" i="2"/>
  <c r="F5" i="2"/>
  <c r="E5" i="2"/>
  <c r="D5" i="2"/>
  <c r="C5" i="2"/>
  <c r="L4" i="2"/>
  <c r="G4" i="2"/>
  <c r="C4" i="2"/>
  <c r="A4" i="2"/>
  <c r="C115" i="1"/>
  <c r="M106" i="1" s="1"/>
  <c r="M107" i="1" s="1"/>
  <c r="M110" i="1" s="1"/>
  <c r="N110" i="1"/>
  <c r="G110" i="1"/>
  <c r="C110" i="1"/>
  <c r="O109" i="1"/>
  <c r="N109" i="1"/>
  <c r="M109" i="1"/>
  <c r="K109" i="1"/>
  <c r="AZ6" i="3" s="1"/>
  <c r="AZ9" i="3" s="1"/>
  <c r="J109" i="1"/>
  <c r="I109" i="1"/>
  <c r="H109" i="1"/>
  <c r="F109" i="1"/>
  <c r="E109" i="1"/>
  <c r="D109" i="1"/>
  <c r="O108" i="1"/>
  <c r="BD13" i="3" s="1"/>
  <c r="N108" i="1"/>
  <c r="BC13" i="3" s="1"/>
  <c r="J108" i="1"/>
  <c r="AY13" i="3" s="1"/>
  <c r="H108" i="1"/>
  <c r="AW13" i="3" s="1"/>
  <c r="D108" i="1"/>
  <c r="AS13" i="3" s="1"/>
  <c r="C108" i="1"/>
  <c r="AR13" i="3" s="1"/>
  <c r="N107" i="1"/>
  <c r="L107" i="1"/>
  <c r="L110" i="1" s="1"/>
  <c r="H107" i="1"/>
  <c r="H110" i="1" s="1"/>
  <c r="F107" i="1"/>
  <c r="F110" i="1" s="1"/>
  <c r="P106" i="1"/>
  <c r="P107" i="1" s="1"/>
  <c r="P110" i="1" s="1"/>
  <c r="O106" i="1"/>
  <c r="O107" i="1" s="1"/>
  <c r="O110" i="1" s="1"/>
  <c r="N106" i="1"/>
  <c r="L106" i="1"/>
  <c r="K106" i="1"/>
  <c r="K107" i="1" s="1"/>
  <c r="K110" i="1" s="1"/>
  <c r="J106" i="1"/>
  <c r="J107" i="1" s="1"/>
  <c r="J110" i="1" s="1"/>
  <c r="H106" i="1"/>
  <c r="G106" i="1"/>
  <c r="G107" i="1" s="1"/>
  <c r="F106" i="1"/>
  <c r="D106" i="1"/>
  <c r="D107" i="1" s="1"/>
  <c r="D110" i="1" s="1"/>
  <c r="C106" i="1"/>
  <c r="C107" i="1" s="1"/>
  <c r="B97" i="1"/>
  <c r="N96" i="1"/>
  <c r="BC14" i="3" s="1"/>
  <c r="F96" i="1"/>
  <c r="E96" i="1"/>
  <c r="AT14" i="3" s="1"/>
  <c r="P82" i="1"/>
  <c r="AP16" i="3" s="1"/>
  <c r="K82" i="1"/>
  <c r="E82" i="1"/>
  <c r="AE16" i="3" s="1"/>
  <c r="P81" i="1"/>
  <c r="O81" i="1"/>
  <c r="AO6" i="3" s="1"/>
  <c r="AO9" i="3" s="1"/>
  <c r="N81" i="1"/>
  <c r="M81" i="1"/>
  <c r="K81" i="1"/>
  <c r="J81" i="1"/>
  <c r="I81" i="1"/>
  <c r="H81" i="1"/>
  <c r="F81" i="1"/>
  <c r="E81" i="1"/>
  <c r="AE6" i="3" s="1"/>
  <c r="AE9" i="3" s="1"/>
  <c r="D81" i="1"/>
  <c r="Q80" i="1"/>
  <c r="AQ13" i="3" s="1"/>
  <c r="O80" i="1"/>
  <c r="AO13" i="3" s="1"/>
  <c r="N80" i="1"/>
  <c r="AN13" i="3" s="1"/>
  <c r="M80" i="1"/>
  <c r="AM13" i="3" s="1"/>
  <c r="K80" i="1"/>
  <c r="AK13" i="3" s="1"/>
  <c r="J80" i="1"/>
  <c r="AJ13" i="3" s="1"/>
  <c r="I80" i="1"/>
  <c r="AI13" i="3" s="1"/>
  <c r="G80" i="1"/>
  <c r="AG13" i="3" s="1"/>
  <c r="F80" i="1"/>
  <c r="AF13" i="3" s="1"/>
  <c r="E80" i="1"/>
  <c r="AE13" i="3" s="1"/>
  <c r="C80" i="1"/>
  <c r="AC13" i="3" s="1"/>
  <c r="P79" i="1"/>
  <c r="M79" i="1"/>
  <c r="M82" i="1" s="1"/>
  <c r="I79" i="1"/>
  <c r="I82" i="1" s="1"/>
  <c r="H79" i="1"/>
  <c r="H82" i="1" s="1"/>
  <c r="E79" i="1"/>
  <c r="D79" i="1"/>
  <c r="D82" i="1" s="1"/>
  <c r="Q78" i="1"/>
  <c r="Q79" i="1" s="1"/>
  <c r="Q82" i="1" s="1"/>
  <c r="P78" i="1"/>
  <c r="O78" i="1"/>
  <c r="O79" i="1" s="1"/>
  <c r="O82" i="1" s="1"/>
  <c r="M78" i="1"/>
  <c r="L78" i="1"/>
  <c r="L79" i="1" s="1"/>
  <c r="L82" i="1" s="1"/>
  <c r="K78" i="1"/>
  <c r="K79" i="1" s="1"/>
  <c r="AK6" i="3" s="1"/>
  <c r="AK9" i="3" s="1"/>
  <c r="I78" i="1"/>
  <c r="H78" i="1"/>
  <c r="G78" i="1"/>
  <c r="G79" i="1" s="1"/>
  <c r="G82" i="1" s="1"/>
  <c r="E78" i="1"/>
  <c r="D78" i="1"/>
  <c r="C78" i="1"/>
  <c r="C79" i="1" s="1"/>
  <c r="C82" i="1" s="1"/>
  <c r="B69" i="1"/>
  <c r="P80" i="1" s="1"/>
  <c r="AP13" i="3" s="1"/>
  <c r="O68" i="1"/>
  <c r="AO14" i="3" s="1"/>
  <c r="I68" i="1"/>
  <c r="AI14" i="3" s="1"/>
  <c r="F68" i="1"/>
  <c r="AF14" i="3" s="1"/>
  <c r="E68" i="1"/>
  <c r="AE14" i="3" s="1"/>
  <c r="Q64" i="1"/>
  <c r="P64" i="1"/>
  <c r="O64" i="1"/>
  <c r="N64" i="1"/>
  <c r="M64" i="1"/>
  <c r="L64" i="1"/>
  <c r="K64" i="1"/>
  <c r="J64" i="1"/>
  <c r="I64" i="1"/>
  <c r="H64" i="1"/>
  <c r="G64" i="1"/>
  <c r="F64" i="1"/>
  <c r="E64" i="1"/>
  <c r="AE17" i="3" s="1"/>
  <c r="AE15" i="3" s="1"/>
  <c r="D64" i="1"/>
  <c r="C64" i="1"/>
  <c r="M53" i="1"/>
  <c r="L53" i="1"/>
  <c r="K53" i="1"/>
  <c r="I53" i="1"/>
  <c r="W6" i="3" s="1"/>
  <c r="W9" i="3" s="1"/>
  <c r="G53" i="1"/>
  <c r="F53" i="1"/>
  <c r="E53" i="1"/>
  <c r="D53" i="1"/>
  <c r="M52" i="1"/>
  <c r="AA13" i="3" s="1"/>
  <c r="L52" i="1"/>
  <c r="Z13" i="3" s="1"/>
  <c r="K52" i="1"/>
  <c r="Y13" i="3" s="1"/>
  <c r="I52" i="1"/>
  <c r="W13" i="3" s="1"/>
  <c r="H52" i="1"/>
  <c r="V13" i="3" s="1"/>
  <c r="G52" i="1"/>
  <c r="U13" i="3" s="1"/>
  <c r="E52" i="1"/>
  <c r="S13" i="3" s="1"/>
  <c r="D52" i="1"/>
  <c r="R13" i="3" s="1"/>
  <c r="C52" i="1"/>
  <c r="Q13" i="3" s="1"/>
  <c r="K51" i="1"/>
  <c r="K54" i="1" s="1"/>
  <c r="E51" i="1"/>
  <c r="E54" i="1" s="1"/>
  <c r="M50" i="1"/>
  <c r="M51" i="1" s="1"/>
  <c r="M54" i="1" s="1"/>
  <c r="M55" i="1" s="1"/>
  <c r="L50" i="1"/>
  <c r="L51" i="1" s="1"/>
  <c r="L54" i="1" s="1"/>
  <c r="K50" i="1"/>
  <c r="I50" i="1"/>
  <c r="I51" i="1" s="1"/>
  <c r="I54" i="1" s="1"/>
  <c r="H50" i="1"/>
  <c r="H51" i="1" s="1"/>
  <c r="H54" i="1" s="1"/>
  <c r="G50" i="1"/>
  <c r="G51" i="1" s="1"/>
  <c r="E50" i="1"/>
  <c r="D51" i="1"/>
  <c r="D54" i="1" s="1"/>
  <c r="C50" i="1"/>
  <c r="C51" i="1" s="1"/>
  <c r="C54" i="1" s="1"/>
  <c r="B41" i="1"/>
  <c r="N52" i="1" s="1"/>
  <c r="AB13" i="3" s="1"/>
  <c r="K40" i="1"/>
  <c r="Y14" i="3" s="1"/>
  <c r="G40" i="1"/>
  <c r="U14" i="3" s="1"/>
  <c r="F40" i="1"/>
  <c r="T14" i="3" s="1"/>
  <c r="E40" i="1"/>
  <c r="M26" i="1"/>
  <c r="H26" i="1"/>
  <c r="O25" i="1"/>
  <c r="N25" i="1"/>
  <c r="M25" i="1"/>
  <c r="M6" i="3" s="1"/>
  <c r="M9" i="3" s="1"/>
  <c r="K25" i="1"/>
  <c r="J25" i="1"/>
  <c r="I25" i="1"/>
  <c r="H25" i="1"/>
  <c r="F25" i="1"/>
  <c r="E25" i="1"/>
  <c r="E6" i="3" s="1"/>
  <c r="E9" i="3" s="1"/>
  <c r="D25" i="1"/>
  <c r="P24" i="1"/>
  <c r="P13" i="3" s="1"/>
  <c r="N24" i="1"/>
  <c r="N13" i="3" s="1"/>
  <c r="M24" i="1"/>
  <c r="M13" i="3" s="1"/>
  <c r="J24" i="1"/>
  <c r="J13" i="3" s="1"/>
  <c r="I24" i="1"/>
  <c r="I13" i="3" s="1"/>
  <c r="H24" i="1"/>
  <c r="H13" i="3" s="1"/>
  <c r="E24" i="1"/>
  <c r="E13" i="3" s="1"/>
  <c r="D24" i="1"/>
  <c r="D13" i="3" s="1"/>
  <c r="P23" i="1"/>
  <c r="P26" i="1" s="1"/>
  <c r="L23" i="1"/>
  <c r="L26" i="1" s="1"/>
  <c r="H23" i="1"/>
  <c r="F23" i="1"/>
  <c r="F26" i="1" s="1"/>
  <c r="P22" i="1"/>
  <c r="N22" i="1"/>
  <c r="N23" i="1" s="1"/>
  <c r="N26" i="1" s="1"/>
  <c r="M22" i="1"/>
  <c r="M23" i="1" s="1"/>
  <c r="L22" i="1"/>
  <c r="J22" i="1"/>
  <c r="J23" i="1" s="1"/>
  <c r="J26" i="1" s="1"/>
  <c r="I22" i="1"/>
  <c r="I23" i="1" s="1"/>
  <c r="I26" i="1" s="1"/>
  <c r="H22" i="1"/>
  <c r="F22" i="1"/>
  <c r="E22" i="1"/>
  <c r="E23" i="1" s="1"/>
  <c r="E26" i="1" s="1"/>
  <c r="D22" i="1"/>
  <c r="D23" i="1" s="1"/>
  <c r="N12" i="1"/>
  <c r="N14" i="3" s="1"/>
  <c r="M12" i="1"/>
  <c r="M14" i="3" s="1"/>
  <c r="J12" i="1"/>
  <c r="H12" i="1"/>
  <c r="H14" i="3" s="1"/>
  <c r="P9" i="1"/>
  <c r="O9" i="1"/>
  <c r="N9" i="1"/>
  <c r="M9" i="1"/>
  <c r="L9" i="1"/>
  <c r="K9" i="1"/>
  <c r="J9" i="1"/>
  <c r="I9" i="1"/>
  <c r="H9" i="1"/>
  <c r="G9" i="1"/>
  <c r="F9" i="1"/>
  <c r="E9" i="1"/>
  <c r="D9" i="1"/>
  <c r="C9" i="1"/>
  <c r="P7" i="1"/>
  <c r="O7" i="1"/>
  <c r="N7" i="1"/>
  <c r="M7" i="1"/>
  <c r="L7" i="1"/>
  <c r="K7" i="1"/>
  <c r="J7" i="1"/>
  <c r="I7" i="1"/>
  <c r="H7" i="1"/>
  <c r="G7" i="1"/>
  <c r="F7" i="1"/>
  <c r="E7" i="1"/>
  <c r="D7" i="1"/>
  <c r="C7" i="1"/>
  <c r="D8" i="2" l="1"/>
  <c r="O6" i="2"/>
  <c r="AA20" i="3"/>
  <c r="AA22" i="3" s="1"/>
  <c r="B37" i="5"/>
  <c r="E17" i="3"/>
  <c r="E15" i="3" s="1"/>
  <c r="E16" i="3"/>
  <c r="E27" i="1"/>
  <c r="J16" i="3"/>
  <c r="J17" i="3"/>
  <c r="J15" i="3" s="1"/>
  <c r="J27" i="1"/>
  <c r="P17" i="3"/>
  <c r="P16" i="3"/>
  <c r="P27" i="1"/>
  <c r="Y17" i="3"/>
  <c r="Y15" i="3" s="1"/>
  <c r="Y16" i="3"/>
  <c r="K55" i="1"/>
  <c r="AH16" i="3"/>
  <c r="H83" i="1"/>
  <c r="AU16" i="3"/>
  <c r="AU17" i="3"/>
  <c r="AU15" i="3" s="1"/>
  <c r="F111" i="1"/>
  <c r="BB17" i="3"/>
  <c r="BB15" i="3" s="1"/>
  <c r="BB16" i="3"/>
  <c r="M111" i="1"/>
  <c r="F16" i="3"/>
  <c r="F17" i="3"/>
  <c r="F15" i="3" s="1"/>
  <c r="F27" i="1"/>
  <c r="G54" i="1"/>
  <c r="Z16" i="3"/>
  <c r="Z17" i="3"/>
  <c r="Z15" i="3" s="1"/>
  <c r="L55" i="1"/>
  <c r="AG16" i="3"/>
  <c r="G83" i="1"/>
  <c r="AL16" i="3"/>
  <c r="L83" i="1"/>
  <c r="AQ16" i="3"/>
  <c r="Q83" i="1"/>
  <c r="AI16" i="3"/>
  <c r="I83" i="1"/>
  <c r="AW17" i="3"/>
  <c r="AW15" i="3" s="1"/>
  <c r="AW16" i="3"/>
  <c r="H111" i="1"/>
  <c r="Q17" i="3"/>
  <c r="Q16" i="3"/>
  <c r="C55" i="1"/>
  <c r="V16" i="3"/>
  <c r="V17" i="3"/>
  <c r="H55" i="1"/>
  <c r="AC16" i="3"/>
  <c r="C83" i="1"/>
  <c r="AD16" i="3"/>
  <c r="D83" i="1"/>
  <c r="AM16" i="3"/>
  <c r="M83" i="1"/>
  <c r="AS17" i="3"/>
  <c r="AS15" i="3" s="1"/>
  <c r="AS16" i="3"/>
  <c r="D111" i="1"/>
  <c r="AY16" i="3"/>
  <c r="AY17" i="3"/>
  <c r="AY15" i="3" s="1"/>
  <c r="J111" i="1"/>
  <c r="BD16" i="3"/>
  <c r="BD17" i="3"/>
  <c r="BD15" i="3" s="1"/>
  <c r="O111" i="1"/>
  <c r="BA17" i="3"/>
  <c r="BA16" i="3"/>
  <c r="L111" i="1"/>
  <c r="D6" i="3"/>
  <c r="D9" i="3" s="1"/>
  <c r="D26" i="1"/>
  <c r="I17" i="3"/>
  <c r="I15" i="3" s="1"/>
  <c r="I16" i="3"/>
  <c r="I27" i="1"/>
  <c r="N16" i="3"/>
  <c r="N17" i="3"/>
  <c r="N15" i="3" s="1"/>
  <c r="N27" i="1"/>
  <c r="L17" i="3"/>
  <c r="L16" i="3"/>
  <c r="L27" i="1"/>
  <c r="R16" i="3"/>
  <c r="R17" i="3"/>
  <c r="R15" i="3" s="1"/>
  <c r="D55" i="1"/>
  <c r="W16" i="3"/>
  <c r="W17" i="3"/>
  <c r="W15" i="3" s="1"/>
  <c r="I55" i="1"/>
  <c r="S16" i="3"/>
  <c r="S17" i="3"/>
  <c r="S15" i="3" s="1"/>
  <c r="E55" i="1"/>
  <c r="AO16" i="3"/>
  <c r="O83" i="1"/>
  <c r="AZ16" i="3"/>
  <c r="AZ17" i="3"/>
  <c r="AZ15" i="3" s="1"/>
  <c r="K111" i="1"/>
  <c r="BE17" i="3"/>
  <c r="BE16" i="3"/>
  <c r="P111" i="1"/>
  <c r="BC12" i="3"/>
  <c r="AY12" i="3"/>
  <c r="AY20" i="3" s="1"/>
  <c r="AU12" i="3"/>
  <c r="AQ12" i="3"/>
  <c r="AQ20" i="3" s="1"/>
  <c r="AM12" i="3"/>
  <c r="AI12" i="3"/>
  <c r="AE12" i="3"/>
  <c r="AE20" i="3" s="1"/>
  <c r="AE22" i="3" s="1"/>
  <c r="AE26" i="3" s="1"/>
  <c r="AE27" i="3" s="1"/>
  <c r="Z12" i="3"/>
  <c r="V12" i="3"/>
  <c r="V20" i="3" s="1"/>
  <c r="V22" i="3" s="1"/>
  <c r="R12" i="3"/>
  <c r="N12" i="3"/>
  <c r="N20" i="3" s="1"/>
  <c r="J12" i="3"/>
  <c r="F12" i="3"/>
  <c r="BA12" i="3"/>
  <c r="AV12" i="3"/>
  <c r="AP12" i="3"/>
  <c r="AK12" i="3"/>
  <c r="AF12" i="3"/>
  <c r="Y12" i="3"/>
  <c r="T12" i="3"/>
  <c r="O12" i="3"/>
  <c r="I12" i="3"/>
  <c r="D12" i="3"/>
  <c r="BE12" i="3"/>
  <c r="AZ12" i="3"/>
  <c r="AT12" i="3"/>
  <c r="AO12" i="3"/>
  <c r="AJ12" i="3"/>
  <c r="AD12" i="3"/>
  <c r="X12" i="3"/>
  <c r="S12" i="3"/>
  <c r="M12" i="3"/>
  <c r="H12" i="3"/>
  <c r="C12" i="3"/>
  <c r="BD12" i="3"/>
  <c r="AX12" i="3"/>
  <c r="AS12" i="3"/>
  <c r="AN12" i="3"/>
  <c r="AH12" i="3"/>
  <c r="AC12" i="3"/>
  <c r="AC20" i="3" s="1"/>
  <c r="W12" i="3"/>
  <c r="Q12" i="3"/>
  <c r="Q20" i="3" s="1"/>
  <c r="Q22" i="3" s="1"/>
  <c r="L12" i="3"/>
  <c r="G12" i="3"/>
  <c r="BB12" i="3"/>
  <c r="AW12" i="3"/>
  <c r="AW20" i="3" s="1"/>
  <c r="AR12" i="3"/>
  <c r="AR20" i="3" s="1"/>
  <c r="AL12" i="3"/>
  <c r="AG12" i="3"/>
  <c r="AG20" i="3" s="1"/>
  <c r="AG22" i="3" s="1"/>
  <c r="AB12" i="3"/>
  <c r="AB20" i="3" s="1"/>
  <c r="AB22" i="3" s="1"/>
  <c r="AB26" i="3" s="1"/>
  <c r="AB27" i="3" s="1"/>
  <c r="U12" i="3"/>
  <c r="P12" i="3"/>
  <c r="P20" i="3" s="1"/>
  <c r="P22" i="3" s="1"/>
  <c r="P26" i="3" s="1"/>
  <c r="P27" i="3" s="1"/>
  <c r="K12" i="3"/>
  <c r="E12" i="3"/>
  <c r="E20" i="3" s="1"/>
  <c r="E22" i="3" s="1"/>
  <c r="J14" i="3"/>
  <c r="I40" i="1"/>
  <c r="W14" i="3" s="1"/>
  <c r="K12" i="1"/>
  <c r="J6" i="3"/>
  <c r="J9" i="3" s="1"/>
  <c r="H17" i="3"/>
  <c r="H15" i="3" s="1"/>
  <c r="H16" i="3"/>
  <c r="M17" i="3"/>
  <c r="M15" i="3" s="1"/>
  <c r="M16" i="3"/>
  <c r="M27" i="1"/>
  <c r="R6" i="3"/>
  <c r="R9" i="3" s="1"/>
  <c r="AI17" i="3"/>
  <c r="AI15" i="3" s="1"/>
  <c r="AM17" i="3"/>
  <c r="AM15" i="3" s="1"/>
  <c r="AQ17" i="3"/>
  <c r="AK16" i="3"/>
  <c r="K83" i="1"/>
  <c r="AY6" i="3"/>
  <c r="AY9" i="3" s="1"/>
  <c r="BD6" i="3"/>
  <c r="BD9" i="3" s="1"/>
  <c r="AV16" i="3"/>
  <c r="AV17" i="3"/>
  <c r="G111" i="1"/>
  <c r="D31" i="8"/>
  <c r="L26" i="2"/>
  <c r="F6" i="3"/>
  <c r="F9" i="3" s="1"/>
  <c r="Y6" i="3"/>
  <c r="Y9" i="3" s="1"/>
  <c r="J68" i="1"/>
  <c r="AJ14" i="3" s="1"/>
  <c r="AU6" i="3"/>
  <c r="AU9" i="3" s="1"/>
  <c r="AR16" i="3"/>
  <c r="AR17" i="3"/>
  <c r="C111" i="1"/>
  <c r="BC16" i="3"/>
  <c r="BC17" i="3"/>
  <c r="BC15" i="3" s="1"/>
  <c r="N111" i="1"/>
  <c r="B32" i="6"/>
  <c r="C14" i="2"/>
  <c r="D14" i="3"/>
  <c r="R14" i="3"/>
  <c r="S14" i="3"/>
  <c r="D68" i="1"/>
  <c r="L40" i="1"/>
  <c r="Z14" i="3" s="1"/>
  <c r="Z6" i="3"/>
  <c r="Z9" i="3" s="1"/>
  <c r="AC17" i="3"/>
  <c r="AG17" i="3"/>
  <c r="AK17" i="3"/>
  <c r="AK15" i="3" s="1"/>
  <c r="AO17" i="3"/>
  <c r="AO15" i="3" s="1"/>
  <c r="AH6" i="3"/>
  <c r="AH9" i="3" s="1"/>
  <c r="AM6" i="3"/>
  <c r="AM9" i="3" s="1"/>
  <c r="M108" i="1"/>
  <c r="BB13" i="3" s="1"/>
  <c r="I108" i="1"/>
  <c r="AX13" i="3" s="1"/>
  <c r="E108" i="1"/>
  <c r="AT13" i="3" s="1"/>
  <c r="F108" i="1"/>
  <c r="AU13" i="3" s="1"/>
  <c r="K108" i="1"/>
  <c r="AZ13" i="3" s="1"/>
  <c r="P108" i="1"/>
  <c r="BE13" i="3" s="1"/>
  <c r="AW6" i="3"/>
  <c r="AW9" i="3" s="1"/>
  <c r="BB6" i="3"/>
  <c r="BB9" i="3" s="1"/>
  <c r="D30" i="5"/>
  <c r="L8" i="2"/>
  <c r="G20" i="2"/>
  <c r="O24" i="1"/>
  <c r="O13" i="3" s="1"/>
  <c r="K24" i="1"/>
  <c r="K13" i="3" s="1"/>
  <c r="G13" i="3"/>
  <c r="C24" i="1"/>
  <c r="C13" i="3" s="1"/>
  <c r="F24" i="1"/>
  <c r="F13" i="3" s="1"/>
  <c r="L24" i="1"/>
  <c r="L13" i="3" s="1"/>
  <c r="I6" i="3"/>
  <c r="I9" i="3" s="1"/>
  <c r="N6" i="3"/>
  <c r="N9" i="3" s="1"/>
  <c r="N22" i="3" s="1"/>
  <c r="N26" i="3" s="1"/>
  <c r="N27" i="3" s="1"/>
  <c r="H27" i="1"/>
  <c r="M40" i="1"/>
  <c r="AD17" i="3"/>
  <c r="AD15" i="3" s="1"/>
  <c r="AH17" i="3"/>
  <c r="AH15" i="3" s="1"/>
  <c r="AL17" i="3"/>
  <c r="AP17" i="3"/>
  <c r="AP15" i="3" s="1"/>
  <c r="H68" i="1"/>
  <c r="AH14" i="3" s="1"/>
  <c r="AD6" i="3"/>
  <c r="AD9" i="3" s="1"/>
  <c r="AI6" i="3"/>
  <c r="AI9" i="3" s="1"/>
  <c r="E83" i="1"/>
  <c r="P83" i="1"/>
  <c r="AU14" i="3"/>
  <c r="O96" i="1"/>
  <c r="BD14" i="3" s="1"/>
  <c r="G108" i="1"/>
  <c r="AV13" i="3" s="1"/>
  <c r="L108" i="1"/>
  <c r="BA13" i="3" s="1"/>
  <c r="AS6" i="3"/>
  <c r="AS9" i="3" s="1"/>
  <c r="N50" i="1"/>
  <c r="N51" i="1" s="1"/>
  <c r="N54" i="1" s="1"/>
  <c r="J50" i="1"/>
  <c r="J51" i="1" s="1"/>
  <c r="J54" i="1" s="1"/>
  <c r="G22" i="1"/>
  <c r="G23" i="1" s="1"/>
  <c r="G26" i="1" s="1"/>
  <c r="C22" i="1"/>
  <c r="C23" i="1" s="1"/>
  <c r="C26" i="1" s="1"/>
  <c r="D29" i="5"/>
  <c r="D31" i="5" s="1"/>
  <c r="M6" i="2"/>
  <c r="E13" i="2"/>
  <c r="F18" i="2"/>
  <c r="F20" i="2" s="1"/>
  <c r="K22" i="1"/>
  <c r="K23" i="1" s="1"/>
  <c r="O22" i="1"/>
  <c r="O23" i="1" s="1"/>
  <c r="O26" i="1" s="1"/>
  <c r="F50" i="1"/>
  <c r="F51" i="1" s="1"/>
  <c r="F54" i="1" s="1"/>
  <c r="F52" i="1"/>
  <c r="T13" i="3" s="1"/>
  <c r="J52" i="1"/>
  <c r="X13" i="3" s="1"/>
  <c r="AN17" i="3"/>
  <c r="AN15" i="3" s="1"/>
  <c r="F78" i="1"/>
  <c r="F79" i="1" s="1"/>
  <c r="J78" i="1"/>
  <c r="J79" i="1" s="1"/>
  <c r="J82" i="1" s="1"/>
  <c r="AJ17" i="3" s="1"/>
  <c r="AJ15" i="3" s="1"/>
  <c r="N78" i="1"/>
  <c r="N79" i="1" s="1"/>
  <c r="N82" i="1" s="1"/>
  <c r="D80" i="1"/>
  <c r="AD13" i="3" s="1"/>
  <c r="H80" i="1"/>
  <c r="AH13" i="3" s="1"/>
  <c r="L80" i="1"/>
  <c r="AL13" i="3" s="1"/>
  <c r="E106" i="1"/>
  <c r="E107" i="1" s="1"/>
  <c r="E110" i="1" s="1"/>
  <c r="I106" i="1"/>
  <c r="I107" i="1" s="1"/>
  <c r="I110" i="1" s="1"/>
  <c r="BC6" i="3"/>
  <c r="BC9" i="3" s="1"/>
  <c r="C4" i="4"/>
  <c r="K4" i="4"/>
  <c r="S4" i="4"/>
  <c r="AB4" i="4"/>
  <c r="AJ4" i="4"/>
  <c r="AR4" i="4"/>
  <c r="AZ4" i="4"/>
  <c r="G4" i="4"/>
  <c r="O4" i="4"/>
  <c r="W4" i="4"/>
  <c r="AF4" i="4"/>
  <c r="AN4" i="4"/>
  <c r="AV4" i="4"/>
  <c r="BD4" i="4"/>
  <c r="B32" i="5"/>
  <c r="B42" i="6"/>
  <c r="B43" i="6" s="1"/>
  <c r="B34" i="7"/>
  <c r="C41" i="8"/>
  <c r="C42" i="8" s="1"/>
  <c r="AV6" i="3" s="1"/>
  <c r="AV9" i="3" s="1"/>
  <c r="D32" i="5"/>
  <c r="D42" i="6"/>
  <c r="D43" i="6" s="1"/>
  <c r="C33" i="8"/>
  <c r="C32" i="5"/>
  <c r="B34" i="6"/>
  <c r="D34" i="7"/>
  <c r="B33" i="8"/>
  <c r="B40" i="5"/>
  <c r="B41" i="5" s="1"/>
  <c r="D34" i="6"/>
  <c r="C34" i="7"/>
  <c r="B50" i="7"/>
  <c r="AQ6" i="3" s="1"/>
  <c r="AQ9" i="3" s="1"/>
  <c r="D33" i="8"/>
  <c r="D40" i="5"/>
  <c r="B30" i="7"/>
  <c r="C29" i="8"/>
  <c r="B38" i="8"/>
  <c r="D41" i="8"/>
  <c r="D42" i="8" s="1"/>
  <c r="BA6" i="3" s="1"/>
  <c r="BA9" i="3" s="1"/>
  <c r="D28" i="5"/>
  <c r="B49" i="6"/>
  <c r="B50" i="6" s="1"/>
  <c r="E40" i="7"/>
  <c r="D29" i="8"/>
  <c r="C30" i="6"/>
  <c r="D30" i="7"/>
  <c r="B41" i="8"/>
  <c r="B42" i="8" s="1"/>
  <c r="AR6" i="3" s="1"/>
  <c r="AR9" i="3" s="1"/>
  <c r="AR22" i="3" l="1"/>
  <c r="AR26" i="3" s="1"/>
  <c r="AR27" i="3" s="1"/>
  <c r="AQ22" i="3"/>
  <c r="AQ26" i="3" s="1"/>
  <c r="AQ27" i="3" s="1"/>
  <c r="Y20" i="3"/>
  <c r="Y22" i="3" s="1"/>
  <c r="I20" i="3"/>
  <c r="H20" i="3"/>
  <c r="H22" i="3" s="1"/>
  <c r="H26" i="3" s="1"/>
  <c r="H27" i="3" s="1"/>
  <c r="AN20" i="3"/>
  <c r="AI20" i="3"/>
  <c r="AI22" i="3" s="1"/>
  <c r="W20" i="3"/>
  <c r="W22" i="3" s="1"/>
  <c r="AZ20" i="3"/>
  <c r="AZ22" i="3" s="1"/>
  <c r="AY10" i="4" s="1"/>
  <c r="F20" i="3"/>
  <c r="F22" i="3" s="1"/>
  <c r="AM20" i="3"/>
  <c r="AM22" i="3" s="1"/>
  <c r="BC20" i="3"/>
  <c r="Z7" i="4"/>
  <c r="Z11" i="4"/>
  <c r="Z5" i="4"/>
  <c r="AA28" i="3"/>
  <c r="Z8" i="4"/>
  <c r="Z12" i="4"/>
  <c r="Z9" i="4"/>
  <c r="Z13" i="4"/>
  <c r="AA26" i="3"/>
  <c r="AA27" i="3" s="1"/>
  <c r="Z6" i="4"/>
  <c r="Z10" i="4"/>
  <c r="Z14" i="4"/>
  <c r="M20" i="3"/>
  <c r="M22" i="3" s="1"/>
  <c r="L9" i="4" s="1"/>
  <c r="AP20" i="3"/>
  <c r="AP22" i="3" s="1"/>
  <c r="AO14" i="4" s="1"/>
  <c r="AO20" i="3"/>
  <c r="AO22" i="3" s="1"/>
  <c r="AO26" i="3" s="1"/>
  <c r="AO27" i="3" s="1"/>
  <c r="AY22" i="3"/>
  <c r="AX14" i="4" s="1"/>
  <c r="I22" i="3"/>
  <c r="I26" i="3" s="1"/>
  <c r="I27" i="3" s="1"/>
  <c r="AW22" i="3"/>
  <c r="AW26" i="3" s="1"/>
  <c r="AW27" i="3" s="1"/>
  <c r="AY12" i="4"/>
  <c r="AY11" i="4"/>
  <c r="AY7" i="4"/>
  <c r="U14" i="4"/>
  <c r="U12" i="4"/>
  <c r="U10" i="4"/>
  <c r="U11" i="4"/>
  <c r="U8" i="4"/>
  <c r="U6" i="4"/>
  <c r="U13" i="4"/>
  <c r="U9" i="4"/>
  <c r="U7" i="4"/>
  <c r="U5" i="4"/>
  <c r="V28" i="3"/>
  <c r="V26" i="3"/>
  <c r="V27" i="3" s="1"/>
  <c r="AF13" i="4"/>
  <c r="AF11" i="4"/>
  <c r="AF9" i="4"/>
  <c r="AF12" i="4"/>
  <c r="AG28" i="3"/>
  <c r="AF7" i="4"/>
  <c r="AF5" i="4"/>
  <c r="AF14" i="4"/>
  <c r="AF8" i="4"/>
  <c r="AF6" i="4"/>
  <c r="AF10" i="4"/>
  <c r="AG26" i="3"/>
  <c r="AG27" i="3" s="1"/>
  <c r="V14" i="4"/>
  <c r="V12" i="4"/>
  <c r="V10" i="4"/>
  <c r="V8" i="4"/>
  <c r="V6" i="4"/>
  <c r="V13" i="4"/>
  <c r="V11" i="4"/>
  <c r="V7" i="4"/>
  <c r="V9" i="4"/>
  <c r="V5" i="4"/>
  <c r="W28" i="3"/>
  <c r="W26" i="3"/>
  <c r="W27" i="3" s="1"/>
  <c r="AO13" i="4"/>
  <c r="D35" i="7"/>
  <c r="D36" i="7"/>
  <c r="B42" i="7"/>
  <c r="B43" i="7" s="1"/>
  <c r="AC6" i="3" s="1"/>
  <c r="AC9" i="3" s="1"/>
  <c r="AC22" i="3" s="1"/>
  <c r="D42" i="7"/>
  <c r="D43" i="7" s="1"/>
  <c r="AL6" i="3" s="1"/>
  <c r="AL9" i="3" s="1"/>
  <c r="D35" i="8"/>
  <c r="D34" i="8"/>
  <c r="AX17" i="3"/>
  <c r="AX15" i="3" s="1"/>
  <c r="AX16" i="3"/>
  <c r="I111" i="1"/>
  <c r="AB16" i="3"/>
  <c r="AB17" i="3"/>
  <c r="N55" i="1"/>
  <c r="L5" i="4"/>
  <c r="G11" i="4"/>
  <c r="G9" i="4"/>
  <c r="G6" i="4"/>
  <c r="AD14" i="4"/>
  <c r="AD12" i="4"/>
  <c r="AD10" i="4"/>
  <c r="AD11" i="4"/>
  <c r="AD8" i="4"/>
  <c r="AD6" i="4"/>
  <c r="AD13" i="4"/>
  <c r="AD7" i="4"/>
  <c r="AD9" i="4"/>
  <c r="AE28" i="3"/>
  <c r="AD5" i="4"/>
  <c r="K14" i="3"/>
  <c r="K68" i="1"/>
  <c r="AK14" i="3" s="1"/>
  <c r="AK20" i="3" s="1"/>
  <c r="AK22" i="3" s="1"/>
  <c r="U17" i="3"/>
  <c r="U15" i="3" s="1"/>
  <c r="U20" i="3" s="1"/>
  <c r="U16" i="3"/>
  <c r="G55" i="1"/>
  <c r="C41" i="5"/>
  <c r="C33" i="5"/>
  <c r="C34" i="5"/>
  <c r="B33" i="5"/>
  <c r="B34" i="5"/>
  <c r="B34" i="8"/>
  <c r="B35" i="8"/>
  <c r="C34" i="8"/>
  <c r="C35" i="8"/>
  <c r="B35" i="7"/>
  <c r="B36" i="7"/>
  <c r="AT17" i="3"/>
  <c r="AT15" i="3" s="1"/>
  <c r="AT16" i="3"/>
  <c r="E111" i="1"/>
  <c r="AN16" i="3"/>
  <c r="N83" i="1"/>
  <c r="T17" i="3"/>
  <c r="T15" i="3" s="1"/>
  <c r="T16" i="3"/>
  <c r="F55" i="1"/>
  <c r="AQ14" i="4"/>
  <c r="AQ12" i="4"/>
  <c r="AQ10" i="4"/>
  <c r="AQ13" i="4"/>
  <c r="AQ8" i="4"/>
  <c r="AQ6" i="4"/>
  <c r="AQ11" i="4"/>
  <c r="AQ9" i="4"/>
  <c r="AQ7" i="4"/>
  <c r="AQ5" i="4"/>
  <c r="AR28" i="3"/>
  <c r="C32" i="6"/>
  <c r="C34" i="6" s="1"/>
  <c r="H14" i="2"/>
  <c r="C16" i="3"/>
  <c r="C17" i="3"/>
  <c r="C27" i="1"/>
  <c r="AX6" i="3"/>
  <c r="AX9" i="3" s="1"/>
  <c r="AN6" i="3"/>
  <c r="AN9" i="3" s="1"/>
  <c r="P13" i="4"/>
  <c r="P11" i="4"/>
  <c r="P14" i="4"/>
  <c r="P9" i="4"/>
  <c r="P7" i="4"/>
  <c r="P5" i="4"/>
  <c r="P10" i="4"/>
  <c r="P12" i="4"/>
  <c r="P8" i="4"/>
  <c r="Q26" i="3"/>
  <c r="Q27" i="3" s="1"/>
  <c r="P6" i="4"/>
  <c r="Q28" i="3"/>
  <c r="AL20" i="3"/>
  <c r="G20" i="3"/>
  <c r="G22" i="3" s="1"/>
  <c r="AX20" i="3"/>
  <c r="AJ20" i="3"/>
  <c r="BE20" i="3"/>
  <c r="BE22" i="3" s="1"/>
  <c r="T20" i="3"/>
  <c r="J20" i="3"/>
  <c r="J22" i="3" s="1"/>
  <c r="Z20" i="3"/>
  <c r="Z22" i="3" s="1"/>
  <c r="O6" i="3"/>
  <c r="O9" i="3" s="1"/>
  <c r="AJ16" i="3"/>
  <c r="J83" i="1"/>
  <c r="O16" i="3"/>
  <c r="O17" i="3"/>
  <c r="O15" i="3" s="1"/>
  <c r="O20" i="3" s="1"/>
  <c r="O27" i="1"/>
  <c r="AA14" i="4"/>
  <c r="AA12" i="4"/>
  <c r="AA10" i="4"/>
  <c r="AA8" i="4"/>
  <c r="AA6" i="4"/>
  <c r="AA11" i="4"/>
  <c r="AA13" i="4"/>
  <c r="AA9" i="4"/>
  <c r="AA7" i="4"/>
  <c r="AA5" i="4"/>
  <c r="AB28" i="3"/>
  <c r="F12" i="2"/>
  <c r="F13" i="2" s="1"/>
  <c r="E14" i="2"/>
  <c r="S6" i="3" s="1"/>
  <c r="S9" i="3" s="1"/>
  <c r="G16" i="3"/>
  <c r="G17" i="3"/>
  <c r="G27" i="1"/>
  <c r="AD14" i="3"/>
  <c r="AD20" i="3" s="1"/>
  <c r="AD22" i="3" s="1"/>
  <c r="D96" i="1"/>
  <c r="AN9" i="4"/>
  <c r="AN7" i="4"/>
  <c r="AN10" i="4"/>
  <c r="L20" i="3"/>
  <c r="AH20" i="3"/>
  <c r="AH22" i="3" s="1"/>
  <c r="BD20" i="3"/>
  <c r="BD22" i="3" s="1"/>
  <c r="S20" i="3"/>
  <c r="AV20" i="3"/>
  <c r="AV22" i="3" s="1"/>
  <c r="AU20" i="3"/>
  <c r="AU22" i="3" s="1"/>
  <c r="AT6" i="3"/>
  <c r="AT9" i="3" s="1"/>
  <c r="D17" i="3"/>
  <c r="D15" i="3" s="1"/>
  <c r="D20" i="3" s="1"/>
  <c r="D22" i="3" s="1"/>
  <c r="D16" i="3"/>
  <c r="D27" i="1"/>
  <c r="C36" i="7"/>
  <c r="C42" i="7"/>
  <c r="C43" i="7" s="1"/>
  <c r="C35" i="7"/>
  <c r="D41" i="5"/>
  <c r="L6" i="3" s="1"/>
  <c r="L9" i="3" s="1"/>
  <c r="D35" i="6"/>
  <c r="D36" i="6"/>
  <c r="B36" i="6"/>
  <c r="B35" i="6"/>
  <c r="D34" i="5"/>
  <c r="D33" i="5"/>
  <c r="BC22" i="3"/>
  <c r="F82" i="1"/>
  <c r="AF6" i="3"/>
  <c r="AF9" i="3" s="1"/>
  <c r="K26" i="1"/>
  <c r="K6" i="3"/>
  <c r="K9" i="3" s="1"/>
  <c r="X17" i="3"/>
  <c r="X16" i="3"/>
  <c r="J55" i="1"/>
  <c r="M14" i="4"/>
  <c r="M12" i="4"/>
  <c r="M10" i="4"/>
  <c r="M11" i="4"/>
  <c r="M8" i="4"/>
  <c r="M6" i="4"/>
  <c r="M13" i="4"/>
  <c r="M9" i="4"/>
  <c r="M7" i="4"/>
  <c r="N28" i="3"/>
  <c r="M5" i="4"/>
  <c r="AP14" i="4"/>
  <c r="AP12" i="4"/>
  <c r="AP10" i="4"/>
  <c r="AP13" i="4"/>
  <c r="AP8" i="4"/>
  <c r="AP6" i="4"/>
  <c r="AP7" i="4"/>
  <c r="AP5" i="4"/>
  <c r="AQ28" i="3"/>
  <c r="O13" i="4"/>
  <c r="O11" i="4"/>
  <c r="O14" i="4"/>
  <c r="O12" i="4"/>
  <c r="P28" i="3"/>
  <c r="O9" i="4"/>
  <c r="O7" i="4"/>
  <c r="O5" i="4"/>
  <c r="O8" i="4"/>
  <c r="O6" i="4"/>
  <c r="O10" i="4"/>
  <c r="AJ6" i="3"/>
  <c r="AJ9" i="3" s="1"/>
  <c r="D13" i="4"/>
  <c r="D11" i="4"/>
  <c r="D14" i="4"/>
  <c r="D9" i="4"/>
  <c r="D7" i="4"/>
  <c r="D5" i="4"/>
  <c r="D12" i="4"/>
  <c r="D10" i="4"/>
  <c r="E28" i="3"/>
  <c r="E26" i="3"/>
  <c r="E27" i="3" s="1"/>
  <c r="D6" i="4"/>
  <c r="D8" i="4"/>
  <c r="C20" i="3"/>
  <c r="C22" i="3" s="1"/>
  <c r="X20" i="3"/>
  <c r="X22" i="3" s="1"/>
  <c r="AT20" i="3"/>
  <c r="BA20" i="3"/>
  <c r="BA22" i="3" s="1"/>
  <c r="R20" i="3"/>
  <c r="R22" i="3" s="1"/>
  <c r="AO6" i="4" l="1"/>
  <c r="AO5" i="4"/>
  <c r="AH12" i="4"/>
  <c r="AH14" i="4"/>
  <c r="AN6" i="4"/>
  <c r="AN11" i="4"/>
  <c r="AN5" i="4"/>
  <c r="AN12" i="4"/>
  <c r="AP28" i="3"/>
  <c r="AO11" i="4"/>
  <c r="AN14" i="4"/>
  <c r="AN8" i="4"/>
  <c r="AN17" i="4" s="1"/>
  <c r="AO28" i="3"/>
  <c r="AN13" i="4"/>
  <c r="AN22" i="3"/>
  <c r="AO7" i="4"/>
  <c r="L22" i="3"/>
  <c r="AC26" i="3"/>
  <c r="AC27" i="3" s="1"/>
  <c r="AB9" i="4"/>
  <c r="AB5" i="4"/>
  <c r="AB14" i="4"/>
  <c r="AB10" i="4"/>
  <c r="AB12" i="4"/>
  <c r="AC28" i="3"/>
  <c r="AB8" i="4"/>
  <c r="AB11" i="4"/>
  <c r="AB6" i="4"/>
  <c r="AB13" i="4"/>
  <c r="AB7" i="4"/>
  <c r="AB17" i="4" s="1"/>
  <c r="AP11" i="4"/>
  <c r="AP9" i="4"/>
  <c r="AL22" i="3"/>
  <c r="AK14" i="4" s="1"/>
  <c r="Y26" i="3"/>
  <c r="Y27" i="3" s="1"/>
  <c r="X14" i="4"/>
  <c r="X9" i="4"/>
  <c r="X8" i="4"/>
  <c r="X7" i="4"/>
  <c r="X12" i="4"/>
  <c r="Y28" i="3"/>
  <c r="X13" i="4"/>
  <c r="X5" i="4"/>
  <c r="X6" i="4"/>
  <c r="X11" i="4"/>
  <c r="X10" i="4"/>
  <c r="G8" i="4"/>
  <c r="G14" i="4"/>
  <c r="G13" i="4"/>
  <c r="L7" i="4"/>
  <c r="AY5" i="4"/>
  <c r="AY6" i="4"/>
  <c r="AY14" i="4"/>
  <c r="G5" i="4"/>
  <c r="H28" i="3"/>
  <c r="L8" i="4"/>
  <c r="L13" i="4"/>
  <c r="AZ26" i="3"/>
  <c r="AZ27" i="3" s="1"/>
  <c r="AY9" i="4"/>
  <c r="AY8" i="4"/>
  <c r="G10" i="4"/>
  <c r="G17" i="4" s="1"/>
  <c r="G7" i="4"/>
  <c r="G12" i="4"/>
  <c r="L6" i="4"/>
  <c r="L14" i="4"/>
  <c r="AZ28" i="3"/>
  <c r="AY13" i="4"/>
  <c r="O22" i="3"/>
  <c r="N10" i="4" s="1"/>
  <c r="M28" i="3"/>
  <c r="L12" i="4"/>
  <c r="L11" i="4"/>
  <c r="AO8" i="4"/>
  <c r="AO10" i="4"/>
  <c r="AO16" i="4" s="1"/>
  <c r="AO18" i="4" s="1"/>
  <c r="AO9" i="4"/>
  <c r="Z17" i="4"/>
  <c r="Z16" i="4"/>
  <c r="Z18" i="4" s="1"/>
  <c r="M26" i="3"/>
  <c r="M27" i="3" s="1"/>
  <c r="L10" i="4"/>
  <c r="AP26" i="3"/>
  <c r="AP27" i="3" s="1"/>
  <c r="AO12" i="4"/>
  <c r="AI26" i="3"/>
  <c r="AI27" i="3" s="1"/>
  <c r="AF16" i="4"/>
  <c r="AF18" i="4" s="1"/>
  <c r="AH11" i="4"/>
  <c r="AH6" i="4"/>
  <c r="AH10" i="4"/>
  <c r="AI28" i="3"/>
  <c r="AH9" i="4"/>
  <c r="AX8" i="4"/>
  <c r="AH7" i="4"/>
  <c r="AH13" i="4"/>
  <c r="AY28" i="3"/>
  <c r="AY26" i="3"/>
  <c r="AY27" i="3" s="1"/>
  <c r="AX11" i="4"/>
  <c r="AX12" i="4"/>
  <c r="AX6" i="4"/>
  <c r="AX13" i="4"/>
  <c r="AX5" i="4"/>
  <c r="AX10" i="4"/>
  <c r="AV11" i="4"/>
  <c r="AH5" i="4"/>
  <c r="AH8" i="4"/>
  <c r="AV5" i="4"/>
  <c r="AW28" i="3"/>
  <c r="AV7" i="4"/>
  <c r="AV10" i="4"/>
  <c r="AX7" i="4"/>
  <c r="AX9" i="4"/>
  <c r="AV6" i="4"/>
  <c r="AV9" i="4"/>
  <c r="O16" i="4"/>
  <c r="O18" i="4" s="1"/>
  <c r="H12" i="4"/>
  <c r="AF17" i="4"/>
  <c r="H10" i="4"/>
  <c r="AV8" i="4"/>
  <c r="AV12" i="4"/>
  <c r="AV13" i="4"/>
  <c r="AV14" i="4"/>
  <c r="H9" i="4"/>
  <c r="H8" i="4"/>
  <c r="H14" i="4"/>
  <c r="I28" i="3"/>
  <c r="H5" i="4"/>
  <c r="H11" i="4"/>
  <c r="H6" i="4"/>
  <c r="H7" i="4"/>
  <c r="H13" i="4"/>
  <c r="S22" i="3"/>
  <c r="R10" i="4" s="1"/>
  <c r="AG13" i="4"/>
  <c r="AG11" i="4"/>
  <c r="AG9" i="4"/>
  <c r="AG14" i="4"/>
  <c r="AG7" i="4"/>
  <c r="AG5" i="4"/>
  <c r="AG10" i="4"/>
  <c r="AG12" i="4"/>
  <c r="AG8" i="4"/>
  <c r="AH26" i="3"/>
  <c r="AH27" i="3" s="1"/>
  <c r="AG6" i="4"/>
  <c r="AH28" i="3"/>
  <c r="I14" i="4"/>
  <c r="I12" i="4"/>
  <c r="I10" i="4"/>
  <c r="I13" i="4"/>
  <c r="I8" i="4"/>
  <c r="I6" i="4"/>
  <c r="I9" i="4"/>
  <c r="I7" i="4"/>
  <c r="I5" i="4"/>
  <c r="J28" i="3"/>
  <c r="I11" i="4"/>
  <c r="J26" i="3"/>
  <c r="J27" i="3" s="1"/>
  <c r="Q14" i="4"/>
  <c r="Q12" i="4"/>
  <c r="Q10" i="4"/>
  <c r="Q13" i="4"/>
  <c r="Q8" i="4"/>
  <c r="Q6" i="4"/>
  <c r="Q9" i="4"/>
  <c r="Q7" i="4"/>
  <c r="Q11" i="4"/>
  <c r="Q5" i="4"/>
  <c r="R28" i="3"/>
  <c r="R26" i="3"/>
  <c r="R27" i="3" s="1"/>
  <c r="AJ14" i="4"/>
  <c r="AJ13" i="4"/>
  <c r="AJ11" i="4"/>
  <c r="AJ9" i="4"/>
  <c r="AJ10" i="4"/>
  <c r="AK28" i="3"/>
  <c r="AJ7" i="4"/>
  <c r="AJ5" i="4"/>
  <c r="AJ12" i="4"/>
  <c r="AJ8" i="4"/>
  <c r="AJ6" i="4"/>
  <c r="AK26" i="3"/>
  <c r="AK27" i="3" s="1"/>
  <c r="AT14" i="4"/>
  <c r="AT12" i="4"/>
  <c r="AT10" i="4"/>
  <c r="AT13" i="4"/>
  <c r="AT11" i="4"/>
  <c r="AT8" i="4"/>
  <c r="AT6" i="4"/>
  <c r="AT7" i="4"/>
  <c r="AU28" i="3"/>
  <c r="AT9" i="4"/>
  <c r="AT5" i="4"/>
  <c r="AU26" i="3"/>
  <c r="AU27" i="3" s="1"/>
  <c r="BC14" i="4"/>
  <c r="BC13" i="4"/>
  <c r="BC12" i="4"/>
  <c r="BC10" i="4"/>
  <c r="BC8" i="4"/>
  <c r="BC6" i="4"/>
  <c r="BC9" i="4"/>
  <c r="BC11" i="4"/>
  <c r="BC7" i="4"/>
  <c r="BD28" i="3"/>
  <c r="BC5" i="4"/>
  <c r="BD26" i="3"/>
  <c r="BD27" i="3" s="1"/>
  <c r="AC14" i="4"/>
  <c r="AC13" i="4"/>
  <c r="AC11" i="4"/>
  <c r="AC9" i="4"/>
  <c r="AC7" i="4"/>
  <c r="AC5" i="4"/>
  <c r="AC12" i="4"/>
  <c r="AC10" i="4"/>
  <c r="AC6" i="4"/>
  <c r="AC8" i="4"/>
  <c r="AD28" i="3"/>
  <c r="AD26" i="3"/>
  <c r="AD27" i="3" s="1"/>
  <c r="Y14" i="4"/>
  <c r="Y12" i="4"/>
  <c r="Y10" i="4"/>
  <c r="Y13" i="4"/>
  <c r="Y9" i="4"/>
  <c r="Y8" i="4"/>
  <c r="Y6" i="4"/>
  <c r="Y7" i="4"/>
  <c r="Y5" i="4"/>
  <c r="Z28" i="3"/>
  <c r="Y11" i="4"/>
  <c r="Z26" i="3"/>
  <c r="Z27" i="3" s="1"/>
  <c r="W13" i="4"/>
  <c r="W11" i="4"/>
  <c r="W9" i="4"/>
  <c r="W12" i="4"/>
  <c r="X28" i="3"/>
  <c r="W7" i="4"/>
  <c r="W5" i="4"/>
  <c r="W14" i="4"/>
  <c r="W8" i="4"/>
  <c r="W6" i="4"/>
  <c r="W10" i="4"/>
  <c r="X26" i="3"/>
  <c r="X27" i="3" s="1"/>
  <c r="AF16" i="3"/>
  <c r="F83" i="1"/>
  <c r="AF17" i="3"/>
  <c r="AF15" i="3" s="1"/>
  <c r="AF20" i="3" s="1"/>
  <c r="AF22" i="3" s="1"/>
  <c r="E14" i="4"/>
  <c r="E12" i="4"/>
  <c r="E10" i="4"/>
  <c r="E11" i="4"/>
  <c r="E8" i="4"/>
  <c r="E6" i="4"/>
  <c r="E13" i="4"/>
  <c r="E9" i="4"/>
  <c r="E7" i="4"/>
  <c r="E5" i="4"/>
  <c r="F28" i="3"/>
  <c r="F26" i="3"/>
  <c r="F27" i="3" s="1"/>
  <c r="P16" i="4"/>
  <c r="P18" i="4" s="1"/>
  <c r="P17" i="4"/>
  <c r="BB14" i="4"/>
  <c r="BB13" i="4"/>
  <c r="BB12" i="4"/>
  <c r="BB10" i="4"/>
  <c r="BB11" i="4"/>
  <c r="BB8" i="4"/>
  <c r="BB6" i="4"/>
  <c r="BB7" i="4"/>
  <c r="BB5" i="4"/>
  <c r="BC26" i="3"/>
  <c r="BC27" i="3" s="1"/>
  <c r="BB9" i="4"/>
  <c r="BC28" i="3"/>
  <c r="AU14" i="4"/>
  <c r="AU12" i="4"/>
  <c r="AU10" i="4"/>
  <c r="AU13" i="4"/>
  <c r="AU8" i="4"/>
  <c r="AU6" i="4"/>
  <c r="AU9" i="4"/>
  <c r="AU11" i="4"/>
  <c r="AV28" i="3"/>
  <c r="AU5" i="4"/>
  <c r="AV26" i="3"/>
  <c r="AV27" i="3" s="1"/>
  <c r="AU7" i="4"/>
  <c r="AS14" i="3"/>
  <c r="AS20" i="3" s="1"/>
  <c r="AS22" i="3" s="1"/>
  <c r="M96" i="1"/>
  <c r="BB14" i="3" s="1"/>
  <c r="BB20" i="3" s="1"/>
  <c r="BB22" i="3" s="1"/>
  <c r="C13" i="4"/>
  <c r="C11" i="4"/>
  <c r="C14" i="4"/>
  <c r="C10" i="4"/>
  <c r="D28" i="3"/>
  <c r="C9" i="4"/>
  <c r="C7" i="4"/>
  <c r="C5" i="4"/>
  <c r="C12" i="4"/>
  <c r="C8" i="4"/>
  <c r="C6" i="4"/>
  <c r="D26" i="3"/>
  <c r="D27" i="3" s="1"/>
  <c r="D16" i="4"/>
  <c r="D18" i="4" s="1"/>
  <c r="D17" i="4"/>
  <c r="AA17" i="4"/>
  <c r="AA16" i="4"/>
  <c r="AA18" i="4" s="1"/>
  <c r="C42" i="6"/>
  <c r="C43" i="6" s="1"/>
  <c r="C35" i="6"/>
  <c r="C36" i="6"/>
  <c r="B12" i="4"/>
  <c r="B10" i="4"/>
  <c r="B8" i="4"/>
  <c r="B6" i="4"/>
  <c r="B11" i="4"/>
  <c r="B14" i="4"/>
  <c r="B13" i="4"/>
  <c r="B7" i="4"/>
  <c r="C28" i="3"/>
  <c r="B9" i="4"/>
  <c r="B5" i="4"/>
  <c r="C26" i="3"/>
  <c r="C27" i="3" s="1"/>
  <c r="AZ13" i="4"/>
  <c r="AZ14" i="4"/>
  <c r="AZ11" i="4"/>
  <c r="AZ9" i="4"/>
  <c r="AZ10" i="4"/>
  <c r="BA28" i="3"/>
  <c r="AZ7" i="4"/>
  <c r="AZ5" i="4"/>
  <c r="AZ12" i="4"/>
  <c r="AZ8" i="4"/>
  <c r="AZ6" i="4"/>
  <c r="BA26" i="3"/>
  <c r="BA27" i="3" s="1"/>
  <c r="AJ22" i="3"/>
  <c r="M17" i="4"/>
  <c r="M16" i="4"/>
  <c r="M18" i="4" s="1"/>
  <c r="K16" i="3"/>
  <c r="K17" i="3"/>
  <c r="K15" i="3" s="1"/>
  <c r="K20" i="3" s="1"/>
  <c r="K22" i="3" s="1"/>
  <c r="K27" i="1"/>
  <c r="O17" i="4"/>
  <c r="K14" i="4"/>
  <c r="K13" i="4"/>
  <c r="K11" i="4"/>
  <c r="K10" i="4"/>
  <c r="L28" i="3"/>
  <c r="K9" i="4"/>
  <c r="K7" i="4"/>
  <c r="K5" i="4"/>
  <c r="K12" i="4"/>
  <c r="K8" i="4"/>
  <c r="K6" i="4"/>
  <c r="L26" i="3"/>
  <c r="L27" i="3" s="1"/>
  <c r="G12" i="2"/>
  <c r="G14" i="2" s="1"/>
  <c r="U6" i="3" s="1"/>
  <c r="U9" i="3" s="1"/>
  <c r="U22" i="3" s="1"/>
  <c r="F14" i="2"/>
  <c r="T6" i="3" s="1"/>
  <c r="T9" i="3" s="1"/>
  <c r="T22" i="3" s="1"/>
  <c r="F14" i="4"/>
  <c r="F12" i="4"/>
  <c r="F10" i="4"/>
  <c r="F8" i="4"/>
  <c r="F6" i="4"/>
  <c r="F13" i="4"/>
  <c r="F11" i="4"/>
  <c r="F7" i="4"/>
  <c r="F9" i="4"/>
  <c r="F5" i="4"/>
  <c r="G28" i="3"/>
  <c r="G26" i="3"/>
  <c r="G27" i="3" s="1"/>
  <c r="AM14" i="4"/>
  <c r="AM12" i="4"/>
  <c r="AM10" i="4"/>
  <c r="AM13" i="4"/>
  <c r="AM8" i="4"/>
  <c r="AM6" i="4"/>
  <c r="AM9" i="4"/>
  <c r="AM11" i="4"/>
  <c r="AM7" i="4"/>
  <c r="AM5" i="4"/>
  <c r="AN28" i="3"/>
  <c r="AN26" i="3"/>
  <c r="AN27" i="3" s="1"/>
  <c r="AQ17" i="4"/>
  <c r="AQ16" i="4"/>
  <c r="AQ18" i="4" s="1"/>
  <c r="AD17" i="4"/>
  <c r="AD16" i="4"/>
  <c r="AD18" i="4" s="1"/>
  <c r="L16" i="4"/>
  <c r="L18" i="4" s="1"/>
  <c r="AN16" i="4"/>
  <c r="AN18" i="4" s="1"/>
  <c r="AO17" i="4"/>
  <c r="V16" i="4"/>
  <c r="V18" i="4" s="1"/>
  <c r="V17" i="4"/>
  <c r="U17" i="4"/>
  <c r="U16" i="4"/>
  <c r="U18" i="4" s="1"/>
  <c r="AP17" i="4"/>
  <c r="AP16" i="4"/>
  <c r="AP18" i="4" s="1"/>
  <c r="AT22" i="3"/>
  <c r="AL14" i="4"/>
  <c r="AL12" i="4"/>
  <c r="AL10" i="4"/>
  <c r="AL11" i="4"/>
  <c r="AL8" i="4"/>
  <c r="AL6" i="4"/>
  <c r="AL13" i="4"/>
  <c r="AL7" i="4"/>
  <c r="AL5" i="4"/>
  <c r="AL9" i="4"/>
  <c r="AM28" i="3"/>
  <c r="AM26" i="3"/>
  <c r="AM27" i="3" s="1"/>
  <c r="N8" i="4"/>
  <c r="O28" i="3"/>
  <c r="BD13" i="4"/>
  <c r="BD11" i="4"/>
  <c r="BD9" i="4"/>
  <c r="BD12" i="4"/>
  <c r="BE28" i="3"/>
  <c r="BD7" i="4"/>
  <c r="BD5" i="4"/>
  <c r="BD14" i="4"/>
  <c r="BD8" i="4"/>
  <c r="BD6" i="4"/>
  <c r="BD10" i="4"/>
  <c r="BE26" i="3"/>
  <c r="BE27" i="3" s="1"/>
  <c r="AK11" i="4"/>
  <c r="AK9" i="4"/>
  <c r="AK12" i="4"/>
  <c r="AK10" i="4"/>
  <c r="AK6" i="4"/>
  <c r="AK8" i="4"/>
  <c r="AX22" i="3"/>
  <c r="AY16" i="4"/>
  <c r="AY18" i="4" s="1"/>
  <c r="AY17" i="4"/>
  <c r="G16" i="4" l="1"/>
  <c r="G18" i="4" s="1"/>
  <c r="L17" i="4"/>
  <c r="X16" i="4"/>
  <c r="X18" i="4" s="1"/>
  <c r="O26" i="3"/>
  <c r="O27" i="3" s="1"/>
  <c r="N11" i="4"/>
  <c r="N7" i="4"/>
  <c r="N13" i="4"/>
  <c r="N12" i="4"/>
  <c r="N9" i="4"/>
  <c r="N5" i="4"/>
  <c r="N6" i="4"/>
  <c r="N14" i="4"/>
  <c r="AB16" i="4"/>
  <c r="AB18" i="4" s="1"/>
  <c r="AL26" i="3"/>
  <c r="AL27" i="3" s="1"/>
  <c r="AK5" i="4"/>
  <c r="AK13" i="4"/>
  <c r="AL28" i="3"/>
  <c r="AK7" i="4"/>
  <c r="AK17" i="4" s="1"/>
  <c r="X17" i="4"/>
  <c r="AX17" i="4"/>
  <c r="AE14" i="4"/>
  <c r="AE6" i="4"/>
  <c r="AF28" i="3"/>
  <c r="AE8" i="4"/>
  <c r="AE11" i="4"/>
  <c r="AF26" i="3"/>
  <c r="AF27" i="3" s="1"/>
  <c r="AE12" i="4"/>
  <c r="AE13" i="4"/>
  <c r="AE5" i="4"/>
  <c r="AE10" i="4"/>
  <c r="AE9" i="4"/>
  <c r="AE7" i="4"/>
  <c r="AV16" i="4"/>
  <c r="AV18" i="4" s="1"/>
  <c r="AX16" i="4"/>
  <c r="AX18" i="4" s="1"/>
  <c r="AH16" i="4"/>
  <c r="AH18" i="4" s="1"/>
  <c r="H16" i="4"/>
  <c r="H18" i="4" s="1"/>
  <c r="AH17" i="4"/>
  <c r="R11" i="4"/>
  <c r="AV17" i="4"/>
  <c r="H17" i="4"/>
  <c r="S26" i="3"/>
  <c r="S27" i="3" s="1"/>
  <c r="R9" i="4"/>
  <c r="R6" i="4"/>
  <c r="S28" i="3"/>
  <c r="R8" i="4"/>
  <c r="R7" i="4"/>
  <c r="R14" i="4"/>
  <c r="R12" i="4"/>
  <c r="R5" i="4"/>
  <c r="R13" i="4"/>
  <c r="AL17" i="4"/>
  <c r="AL16" i="4"/>
  <c r="AL18" i="4" s="1"/>
  <c r="BD17" i="4"/>
  <c r="BD16" i="4"/>
  <c r="BD18" i="4" s="1"/>
  <c r="AJ16" i="4"/>
  <c r="AJ18" i="4" s="1"/>
  <c r="AJ17" i="4"/>
  <c r="AS14" i="4"/>
  <c r="AS13" i="4"/>
  <c r="AS11" i="4"/>
  <c r="AS9" i="4"/>
  <c r="AS7" i="4"/>
  <c r="AS5" i="4"/>
  <c r="AS12" i="4"/>
  <c r="AS10" i="4"/>
  <c r="AS6" i="4"/>
  <c r="AS8" i="4"/>
  <c r="AT28" i="3"/>
  <c r="AT26" i="3"/>
  <c r="AT27" i="3" s="1"/>
  <c r="S14" i="4"/>
  <c r="S13" i="4"/>
  <c r="S11" i="4"/>
  <c r="S10" i="4"/>
  <c r="T28" i="3"/>
  <c r="S9" i="4"/>
  <c r="S7" i="4"/>
  <c r="S5" i="4"/>
  <c r="S12" i="4"/>
  <c r="S8" i="4"/>
  <c r="S6" i="4"/>
  <c r="T26" i="3"/>
  <c r="T27" i="3" s="1"/>
  <c r="AI14" i="4"/>
  <c r="AI12" i="4"/>
  <c r="AI10" i="4"/>
  <c r="AI8" i="4"/>
  <c r="AI6" i="4"/>
  <c r="AI11" i="4"/>
  <c r="AI13" i="4"/>
  <c r="AI9" i="4"/>
  <c r="AI7" i="4"/>
  <c r="AJ28" i="3"/>
  <c r="AI5" i="4"/>
  <c r="AJ26" i="3"/>
  <c r="AJ27" i="3" s="1"/>
  <c r="B17" i="4"/>
  <c r="B16" i="4"/>
  <c r="B18" i="4" s="1"/>
  <c r="BA14" i="4"/>
  <c r="BA11" i="4"/>
  <c r="BA9" i="4"/>
  <c r="BA13" i="4"/>
  <c r="BA7" i="4"/>
  <c r="BA5" i="4"/>
  <c r="BA12" i="4"/>
  <c r="BA10" i="4"/>
  <c r="BB28" i="3"/>
  <c r="BB26" i="3"/>
  <c r="BB27" i="3" s="1"/>
  <c r="BA6" i="4"/>
  <c r="BA8" i="4"/>
  <c r="AU16" i="4"/>
  <c r="AU18" i="4" s="1"/>
  <c r="AU17" i="4"/>
  <c r="W16" i="4"/>
  <c r="W18" i="4" s="1"/>
  <c r="W17" i="4"/>
  <c r="BC16" i="4"/>
  <c r="BC18" i="4" s="1"/>
  <c r="BC17" i="4"/>
  <c r="AT17" i="4"/>
  <c r="AT16" i="4"/>
  <c r="AT18" i="4" s="1"/>
  <c r="AW11" i="4"/>
  <c r="AW9" i="4"/>
  <c r="AW13" i="4"/>
  <c r="AW14" i="4"/>
  <c r="AW7" i="4"/>
  <c r="AW5" i="4"/>
  <c r="AW10" i="4"/>
  <c r="AW12" i="4"/>
  <c r="AW8" i="4"/>
  <c r="AX26" i="3"/>
  <c r="AX27" i="3" s="1"/>
  <c r="AW6" i="4"/>
  <c r="AX28" i="3"/>
  <c r="J14" i="4"/>
  <c r="J12" i="4"/>
  <c r="J10" i="4"/>
  <c r="J8" i="4"/>
  <c r="J6" i="4"/>
  <c r="J11" i="4"/>
  <c r="J13" i="4"/>
  <c r="J9" i="4"/>
  <c r="J7" i="4"/>
  <c r="J5" i="4"/>
  <c r="K28" i="3"/>
  <c r="K26" i="3"/>
  <c r="K27" i="3" s="1"/>
  <c r="T14" i="4"/>
  <c r="T13" i="4"/>
  <c r="T11" i="4"/>
  <c r="T9" i="4"/>
  <c r="T7" i="4"/>
  <c r="T5" i="4"/>
  <c r="T12" i="4"/>
  <c r="T10" i="4"/>
  <c r="U28" i="3"/>
  <c r="U26" i="3"/>
  <c r="U27" i="3" s="1"/>
  <c r="T6" i="4"/>
  <c r="T8" i="4"/>
  <c r="AZ16" i="4"/>
  <c r="AZ18" i="4" s="1"/>
  <c r="AZ17" i="4"/>
  <c r="AR14" i="4"/>
  <c r="AR13" i="4"/>
  <c r="AR11" i="4"/>
  <c r="AR9" i="4"/>
  <c r="AR10" i="4"/>
  <c r="AS28" i="3"/>
  <c r="AR7" i="4"/>
  <c r="AR5" i="4"/>
  <c r="AR12" i="4"/>
  <c r="AR8" i="4"/>
  <c r="AR6" i="4"/>
  <c r="AS26" i="3"/>
  <c r="AS27" i="3" s="1"/>
  <c r="BB17" i="4"/>
  <c r="BB16" i="4"/>
  <c r="BB18" i="4" s="1"/>
  <c r="AC16" i="4"/>
  <c r="AC18" i="4" s="1"/>
  <c r="AC17" i="4"/>
  <c r="Q17" i="4"/>
  <c r="Q16" i="4"/>
  <c r="Q18" i="4" s="1"/>
  <c r="AG16" i="4"/>
  <c r="AG18" i="4" s="1"/>
  <c r="AG17" i="4"/>
  <c r="AM16" i="4"/>
  <c r="AM18" i="4" s="1"/>
  <c r="AM17" i="4"/>
  <c r="F16" i="4"/>
  <c r="F18" i="4" s="1"/>
  <c r="F17" i="4"/>
  <c r="K16" i="4"/>
  <c r="K18" i="4" s="1"/>
  <c r="K17" i="4"/>
  <c r="C16" i="4"/>
  <c r="C18" i="4" s="1"/>
  <c r="C17" i="4"/>
  <c r="E17" i="4"/>
  <c r="E16" i="4"/>
  <c r="E18" i="4" s="1"/>
  <c r="Y17" i="4"/>
  <c r="Y16" i="4"/>
  <c r="Y18" i="4" s="1"/>
  <c r="I17" i="4"/>
  <c r="I16" i="4"/>
  <c r="I18" i="4" s="1"/>
  <c r="N17" i="4" l="1"/>
  <c r="N16" i="4"/>
  <c r="N18" i="4" s="1"/>
  <c r="AK16" i="4"/>
  <c r="AK18" i="4" s="1"/>
  <c r="AE17" i="4"/>
  <c r="AE16" i="4"/>
  <c r="AE18" i="4" s="1"/>
  <c r="R17" i="4"/>
  <c r="R16" i="4"/>
  <c r="R18" i="4" s="1"/>
  <c r="T16" i="4"/>
  <c r="T18" i="4" s="1"/>
  <c r="T17" i="4"/>
  <c r="J16" i="4"/>
  <c r="J18" i="4" s="1"/>
  <c r="J17" i="4"/>
  <c r="AS16" i="4"/>
  <c r="AS18" i="4" s="1"/>
  <c r="AS17" i="4"/>
  <c r="AR16" i="4"/>
  <c r="AR18" i="4" s="1"/>
  <c r="AR17" i="4"/>
  <c r="AW16" i="4"/>
  <c r="AW18" i="4" s="1"/>
  <c r="AW17" i="4"/>
  <c r="BA17" i="4"/>
  <c r="BA16" i="4"/>
  <c r="BA18" i="4" s="1"/>
  <c r="S16" i="4"/>
  <c r="S18" i="4" s="1"/>
  <c r="S17" i="4"/>
  <c r="AI16" i="4"/>
  <c r="AI18" i="4" s="1"/>
  <c r="AI17"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7" authorId="0" shapeId="0" xr:uid="{00000000-0006-0000-0000-00003C000000}">
      <text>
        <r>
          <rPr>
            <sz val="10"/>
            <color rgb="FF000000"/>
            <rFont val="Arial"/>
            <family val="2"/>
          </rPr>
          <t xml:space="preserve">35.6 is Average of all national DSOs tariffs for 2022 for category D2 - D3. Category D represents agriculture sector and agro-allied industries
</t>
        </r>
        <r>
          <rPr>
            <sz val="10"/>
            <color rgb="FF000000"/>
            <rFont val="Arial"/>
            <family val="2"/>
          </rPr>
          <t xml:space="preserve">
</t>
        </r>
        <r>
          <rPr>
            <sz val="10"/>
            <color rgb="FF000000"/>
            <rFont val="Arial"/>
            <family val="2"/>
          </rPr>
          <t xml:space="preserve">Source: https://nerc.gov.ng/index.php/home/consumers/how-much-do-i-pay-for-electricity
</t>
        </r>
        <r>
          <rPr>
            <sz val="10"/>
            <color rgb="FF000000"/>
            <rFont val="Arial"/>
            <family val="2"/>
          </rPr>
          <t xml:space="preserve">	-André Troost
</t>
        </r>
        <r>
          <rPr>
            <sz val="10"/>
            <color rgb="FF000000"/>
            <rFont val="Arial"/>
            <family val="2"/>
          </rPr>
          <t xml:space="preserve">415 is currency exchange
</t>
        </r>
        <r>
          <rPr>
            <sz val="10"/>
            <color rgb="FF000000"/>
            <rFont val="Arial"/>
            <family val="2"/>
          </rPr>
          <t xml:space="preserve">	-André Troost</t>
        </r>
      </text>
    </comment>
    <comment ref="C8" authorId="0" shapeId="0" xr:uid="{00000000-0006-0000-0000-00003B000000}">
      <text>
        <r>
          <rPr>
            <sz val="10"/>
            <color rgb="FF000000"/>
            <rFont val="Arial"/>
            <family val="2"/>
          </rPr>
          <t xml:space="preserve">Source: RMI report 2018 (p15) - https://rmi.org/wp-content/uploads/2018/08/RMI_Nigeria_Minigrid_Investment_Report_2018.pdf
</t>
        </r>
        <r>
          <rPr>
            <sz val="10"/>
            <color rgb="FF000000"/>
            <rFont val="Arial"/>
            <family val="2"/>
          </rPr>
          <t xml:space="preserve">	-André Troost</t>
        </r>
      </text>
    </comment>
    <comment ref="C9" authorId="0" shapeId="0" xr:uid="{00000000-0006-0000-0000-00003A000000}">
      <text>
        <r>
          <rPr>
            <sz val="10"/>
            <color rgb="FF000000"/>
            <rFont val="Arial"/>
            <family val="2"/>
          </rPr>
          <t xml:space="preserve">Assuming 850 Naira per litre and 415 Naira for 1 USD
</t>
        </r>
        <r>
          <rPr>
            <sz val="10"/>
            <color rgb="FF000000"/>
            <rFont val="Arial"/>
            <family val="2"/>
          </rPr>
          <t xml:space="preserve">	-André Troost</t>
        </r>
      </text>
    </comment>
    <comment ref="B13" authorId="0" shapeId="0" xr:uid="{00000000-0006-0000-0000-000039000000}">
      <text>
        <r>
          <rPr>
            <sz val="10"/>
            <color rgb="FF000000"/>
            <rFont val="Arial"/>
            <family val="2"/>
          </rPr>
          <t xml:space="preserve">assumes N65000 per month, at exchange rate of 415N for 1 USD
</t>
        </r>
        <r>
          <rPr>
            <sz val="10"/>
            <color rgb="FF000000"/>
            <rFont val="Arial"/>
            <family val="2"/>
          </rPr>
          <t xml:space="preserve">	-André Troost</t>
        </r>
      </text>
    </comment>
    <comment ref="E18" authorId="0" shapeId="0" xr:uid="{00000000-0006-0000-0000-000025000000}">
      <text>
        <r>
          <rPr>
            <sz val="10"/>
            <color rgb="FF000000"/>
            <rFont val="Arial"/>
            <family val="2"/>
          </rPr>
          <t xml:space="preserve">https://www.alibaba.com/product-detail/multifunctional-industrial-sunflower-seed-corn-maize_1600619986224.html
</t>
        </r>
        <r>
          <rPr>
            <sz val="10"/>
            <color rgb="FF000000"/>
            <rFont val="Arial"/>
            <family val="2"/>
          </rPr>
          <t xml:space="preserve">	-André Troost
</t>
        </r>
        <r>
          <rPr>
            <sz val="10"/>
            <color rgb="FF000000"/>
            <rFont val="Arial"/>
            <family val="2"/>
          </rPr>
          <t xml:space="preserve">All NG capex follows USD = 415 ngn
</t>
        </r>
        <r>
          <rPr>
            <sz val="10"/>
            <color rgb="FF000000"/>
            <rFont val="Arial"/>
            <family val="2"/>
          </rPr>
          <t xml:space="preserve">	-André Troost</t>
        </r>
      </text>
    </comment>
    <comment ref="F18" authorId="0" shapeId="0" xr:uid="{00000000-0006-0000-0000-000024000000}">
      <text>
        <r>
          <rPr>
            <sz val="10"/>
            <color rgb="FF000000"/>
            <rFont val="Arial"/>
            <family val="2"/>
          </rPr>
          <t xml:space="preserve">https://www.alibaba.com/product-detail/Maize-Hammer-Mill-YUDA-Industrial-Grain_60196449465.html?s=p
</t>
        </r>
        <r>
          <rPr>
            <sz val="10"/>
            <color rgb="FF000000"/>
            <rFont val="Arial"/>
            <family val="2"/>
          </rPr>
          <t xml:space="preserve">	-André Troost</t>
        </r>
      </text>
    </comment>
    <comment ref="H18" authorId="0" shapeId="0" xr:uid="{00000000-0006-0000-0000-000023000000}">
      <text>
        <r>
          <rPr>
            <sz val="10"/>
            <color rgb="FF000000"/>
            <rFont val="Arial"/>
            <family val="2"/>
          </rPr>
          <t xml:space="preserve">Model GD-CP-1500: https://www.alibaba.com/product-detail/GOODWAY-Transformation-Du-Manioc-Cassava-Peeling_1600609711971.html
</t>
        </r>
        <r>
          <rPr>
            <sz val="10"/>
            <color rgb="FF000000"/>
            <rFont val="Arial"/>
            <family val="2"/>
          </rPr>
          <t xml:space="preserve">	-André Troost</t>
        </r>
      </text>
    </comment>
    <comment ref="I18" authorId="0" shapeId="0" xr:uid="{00000000-0006-0000-0000-000022000000}">
      <text>
        <r>
          <rPr>
            <sz val="10"/>
            <color rgb="FF000000"/>
            <rFont val="Arial"/>
            <family val="2"/>
          </rPr>
          <t xml:space="preserve">https://www.alibaba.com/product-detail/Cassava-Machine-Cassava-Crusher-Grating-Machine_1600550064674.html?spm=a2700.galleryofferlist.normal_offer.d_title.21f9becfs8h8XM
</t>
        </r>
        <r>
          <rPr>
            <sz val="10"/>
            <color rgb="FF000000"/>
            <rFont val="Arial"/>
            <family val="2"/>
          </rPr>
          <t xml:space="preserve">	-André Troost</t>
        </r>
      </text>
    </comment>
    <comment ref="J18" authorId="0" shapeId="0" xr:uid="{00000000-0006-0000-0000-000021000000}">
      <text>
        <r>
          <rPr>
            <sz val="10"/>
            <color rgb="FF000000"/>
            <rFont val="Arial"/>
            <family val="2"/>
          </rPr>
          <t xml:space="preserve">https://www.alibaba.com/product-detail/The-best-price-of-cassava-milling_62021297262.html
</t>
        </r>
        <r>
          <rPr>
            <sz val="10"/>
            <color rgb="FF000000"/>
            <rFont val="Arial"/>
            <family val="2"/>
          </rPr>
          <t xml:space="preserve">	-André Troost</t>
        </r>
      </text>
    </comment>
    <comment ref="K18" authorId="0" shapeId="0" xr:uid="{00000000-0006-0000-0000-000020000000}">
      <text>
        <r>
          <rPr>
            <sz val="10"/>
            <color rgb="FF000000"/>
            <rFont val="Arial"/>
            <family val="2"/>
          </rPr>
          <t xml:space="preserve">https://www.alibaba.com/product-detail/Cassava-Chip-Cutting-Machine-Multifunctional-Cassava_60716183208.html?spm=a2700.7735675.0.0.54e9753dK7jJJi&amp;s=p
</t>
        </r>
        <r>
          <rPr>
            <sz val="10"/>
            <color rgb="FF000000"/>
            <rFont val="Arial"/>
            <family val="2"/>
          </rPr>
          <t xml:space="preserve">	-André Troost</t>
        </r>
      </text>
    </comment>
    <comment ref="M18" authorId="0" shapeId="0" xr:uid="{00000000-0006-0000-0000-00001F000000}">
      <text>
        <r>
          <rPr>
            <sz val="10"/>
            <color rgb="FF000000"/>
            <rFont val="Arial"/>
            <family val="2"/>
            <scheme val="minor"/>
          </rPr>
          <t>This is not a mobile thresher - the only electric mobile thresher is in development stage (developed by Soybean Innovation Lab - cost USD 2000 - source USAID)
Source: https://jiji.ng/kaduna-north/farm-machinery-equipment/rice-sorghum-millet-thresher-11975516.html?page=1&amp;pos=6&amp;cur_pos=6&amp;ads_per_page=7&amp;ads_count=6&amp;lid=LVPVDI115YytF_XD
	-André Troost</t>
        </r>
      </text>
    </comment>
    <comment ref="N18" authorId="0" shapeId="0" xr:uid="{00000000-0006-0000-0000-00001E000000}">
      <text>
        <r>
          <rPr>
            <sz val="10"/>
            <color rgb="FF000000"/>
            <rFont val="Arial"/>
            <family val="2"/>
          </rPr>
          <t xml:space="preserve">Electric motor for blower
</t>
        </r>
        <r>
          <rPr>
            <sz val="10"/>
            <color rgb="FF000000"/>
            <rFont val="Arial"/>
            <family val="2"/>
          </rPr>
          <t xml:space="preserve">Kerosene / diesel burner as heat source (others with wood as source)
</t>
        </r>
        <r>
          <rPr>
            <sz val="10"/>
            <color rgb="FF000000"/>
            <rFont val="Arial"/>
            <family val="2"/>
          </rPr>
          <t xml:space="preserve">
</t>
        </r>
        <r>
          <rPr>
            <sz val="10"/>
            <color rgb="FF000000"/>
            <rFont val="Arial"/>
            <family val="2"/>
          </rPr>
          <t xml:space="preserve">Source: https://jiji.ng/ibadan/farm-machinery-equipment/mechanical-batch-rice-paddy-dryer-azbVRbhrmXzNnnLfcpf2dT5U.html?page=1&amp;pos=2&amp;cur_pos=2&amp;ads_per_page=20&amp;ads_count=102&amp;lid=8qzzo7ZBnTfimEql
</t>
        </r>
        <r>
          <rPr>
            <sz val="10"/>
            <color rgb="FF000000"/>
            <rFont val="Arial"/>
            <family val="2"/>
          </rPr>
          <t xml:space="preserve">	-André Troost</t>
        </r>
      </text>
    </comment>
    <comment ref="O18" authorId="0" shapeId="0" xr:uid="{00000000-0006-0000-0000-00001D000000}">
      <text>
        <r>
          <rPr>
            <sz val="10"/>
            <color rgb="FF000000"/>
            <rFont val="Arial"/>
            <family val="2"/>
          </rPr>
          <t xml:space="preserve">Source: https://jiji.ng/kaduna-north/farm-machinery-equipment/n110-rice-mill-polisher-with-1115-diesel-engine-uOaouvPMH9o59ZKQYwqOx9or.html?page=1&amp;pos=2&amp;cur_pos=2&amp;ads_per_page=20&amp;ads_count=342&amp;lid=W0G80cF4RpcZ7vFV
</t>
        </r>
        <r>
          <rPr>
            <sz val="10"/>
            <color rgb="FF000000"/>
            <rFont val="Arial"/>
            <family val="2"/>
          </rPr>
          <t xml:space="preserve">	-André Troost</t>
        </r>
      </text>
    </comment>
    <comment ref="D19" authorId="0" shapeId="0" xr:uid="{00000000-0006-0000-0000-000027000000}">
      <text>
        <r>
          <rPr>
            <sz val="10"/>
            <color rgb="FF000000"/>
            <rFont val="Arial"/>
            <family val="2"/>
          </rPr>
          <t xml:space="preserve">500kg per batch (no time specification in source)
</t>
        </r>
        <r>
          <rPr>
            <sz val="10"/>
            <color rgb="FF000000"/>
            <rFont val="Arial"/>
            <family val="2"/>
          </rPr>
          <t xml:space="preserve">
</t>
        </r>
        <r>
          <rPr>
            <sz val="10"/>
            <color rgb="FF000000"/>
            <rFont val="Arial"/>
            <family val="2"/>
          </rPr>
          <t xml:space="preserve">It is assumed that it takes 6 hours to complete a batch
</t>
        </r>
        <r>
          <rPr>
            <sz val="10"/>
            <color rgb="FF000000"/>
            <rFont val="Arial"/>
            <family val="2"/>
          </rPr>
          <t xml:space="preserve">	-André Troost</t>
        </r>
      </text>
    </comment>
    <comment ref="D20" authorId="0" shapeId="0" xr:uid="{00000000-0006-0000-0000-000026000000}">
      <text>
        <r>
          <rPr>
            <sz val="10"/>
            <color rgb="FF000000"/>
            <rFont val="Arial"/>
            <family val="2"/>
          </rPr>
          <t xml:space="preserve">Source: https://jiji.ng/ibadan/farm-machinery-equipment/500kg-bed-dryer-lkeZBJM4YqBMhEWnEGVlCm7R.html?page=2&amp;pos=2&amp;cur_pos=2&amp;ads_per_page=17&amp;ads_count=90&amp;lid=8qzzo7ZBnTfimEql
</t>
        </r>
        <r>
          <rPr>
            <sz val="10"/>
            <color rgb="FF000000"/>
            <rFont val="Arial"/>
            <family val="2"/>
          </rPr>
          <t xml:space="preserve">	-André Troost</t>
        </r>
      </text>
    </comment>
    <comment ref="C35" authorId="0" shapeId="0" xr:uid="{00000000-0006-0000-0000-000036000000}">
      <text>
        <r>
          <rPr>
            <sz val="10"/>
            <color rgb="FF000000"/>
            <rFont val="Arial"/>
            <family val="2"/>
          </rPr>
          <t xml:space="preserve">Assumes USD = 1017 rwf
</t>
        </r>
        <r>
          <rPr>
            <sz val="10"/>
            <color rgb="FF000000"/>
            <rFont val="Arial"/>
            <family val="2"/>
          </rPr>
          <t xml:space="preserve">	-André Troost</t>
        </r>
      </text>
    </comment>
    <comment ref="C36" authorId="0" shapeId="0" xr:uid="{00000000-0006-0000-0000-000037000000}">
      <text>
        <r>
          <rPr>
            <sz val="10"/>
            <color rgb="FF000000"/>
            <rFont val="Arial"/>
            <family val="2"/>
          </rPr>
          <t xml:space="preserve">Assumes USD = 1017 rwf
</t>
        </r>
        <r>
          <rPr>
            <sz val="10"/>
            <color rgb="FF000000"/>
            <rFont val="Arial"/>
            <family val="2"/>
          </rPr>
          <t xml:space="preserve">	-André Troost</t>
        </r>
      </text>
    </comment>
    <comment ref="C37" authorId="0" shapeId="0" xr:uid="{00000000-0006-0000-0000-000035000000}">
      <text>
        <r>
          <rPr>
            <sz val="10"/>
            <color rgb="FF000000"/>
            <rFont val="Arial"/>
            <family val="2"/>
          </rPr>
          <t xml:space="preserve">Assumes USD = 1017 rwf
</t>
        </r>
        <r>
          <rPr>
            <sz val="10"/>
            <color rgb="FF000000"/>
            <rFont val="Arial"/>
            <family val="2"/>
          </rPr>
          <t xml:space="preserve">	-André Troost</t>
        </r>
      </text>
    </comment>
    <comment ref="B41" authorId="0" shapeId="0" xr:uid="{00000000-0006-0000-0000-000038000000}">
      <text>
        <r>
          <rPr>
            <sz val="10"/>
            <color rgb="FF000000"/>
            <rFont val="Arial"/>
            <family val="2"/>
          </rPr>
          <t xml:space="preserve">Assumes RWF202000 per month at exchange of 1017 RWF per USD
</t>
        </r>
        <r>
          <rPr>
            <sz val="10"/>
            <color rgb="FF000000"/>
            <rFont val="Arial"/>
            <family val="2"/>
          </rPr>
          <t xml:space="preserve">	-André Troost</t>
        </r>
      </text>
    </comment>
    <comment ref="C43" authorId="0" shapeId="0" xr:uid="{00000000-0006-0000-0000-00002A000000}">
      <text>
        <r>
          <rPr>
            <sz val="10"/>
            <color rgb="FF000000"/>
            <rFont val="Arial"/>
            <family val="2"/>
          </rPr>
          <t xml:space="preserve">assuming the pump costs the same in Rwanda as in Zambia
</t>
        </r>
        <r>
          <rPr>
            <sz val="10"/>
            <color rgb="FF000000"/>
            <rFont val="Arial"/>
            <family val="2"/>
          </rPr>
          <t xml:space="preserve">	-André Troost</t>
        </r>
      </text>
    </comment>
    <comment ref="H43" authorId="0" shapeId="0" xr:uid="{00000000-0006-0000-0000-000029000000}">
      <text>
        <r>
          <rPr>
            <sz val="10"/>
            <color rgb="FF000000"/>
            <rFont val="Arial"/>
            <family val="2"/>
          </rPr>
          <t xml:space="preserve">assuming the pump costs the same in Rwanda as in Zambia
</t>
        </r>
        <r>
          <rPr>
            <sz val="10"/>
            <color rgb="FF000000"/>
            <rFont val="Arial"/>
            <family val="2"/>
          </rPr>
          <t xml:space="preserve">	-André Troost</t>
        </r>
      </text>
    </comment>
    <comment ref="N43" authorId="0" shapeId="0" xr:uid="{00000000-0006-0000-0000-000028000000}">
      <text>
        <r>
          <rPr>
            <sz val="10"/>
            <color rgb="FF000000"/>
            <rFont val="Arial"/>
            <family val="2"/>
          </rPr>
          <t xml:space="preserve">assuming the pump costs the same in Rwanda as in Zambia
</t>
        </r>
        <r>
          <rPr>
            <sz val="10"/>
            <color rgb="FF000000"/>
            <rFont val="Arial"/>
            <family val="2"/>
          </rPr>
          <t xml:space="preserve">	-André Troost</t>
        </r>
      </text>
    </comment>
    <comment ref="D46" authorId="0" shapeId="0" xr:uid="{00000000-0006-0000-0000-00001C000000}">
      <text>
        <r>
          <rPr>
            <sz val="10"/>
            <color rgb="FF000000"/>
            <rFont val="Arial"/>
            <family val="2"/>
          </rPr>
          <t xml:space="preserve">Source Easy Dry 500 maize dryer: https://www.acdivoca.org/easydry-m500-maize-dryer-overview-and-information-hub/
</t>
        </r>
        <r>
          <rPr>
            <sz val="10"/>
            <color rgb="FF000000"/>
            <rFont val="Arial"/>
            <family val="2"/>
          </rPr>
          <t xml:space="preserve">
</t>
        </r>
        <r>
          <rPr>
            <sz val="10"/>
            <color rgb="FF000000"/>
            <rFont val="Arial"/>
            <family val="2"/>
          </rPr>
          <t xml:space="preserve">Another option could be from source: https://www.mecmargroup.com/en/catalogo/mobile_dryers-2
</t>
        </r>
        <r>
          <rPr>
            <sz val="10"/>
            <color rgb="FF000000"/>
            <rFont val="Arial"/>
            <family val="2"/>
          </rPr>
          <t xml:space="preserve">
</t>
        </r>
        <r>
          <rPr>
            <sz val="10"/>
            <color rgb="FF000000"/>
            <rFont val="Arial"/>
            <family val="2"/>
          </rPr>
          <t xml:space="preserve">A higher power rating than other dryers is assumed considering the modernization of this equipment.
</t>
        </r>
        <r>
          <rPr>
            <sz val="10"/>
            <color rgb="FF000000"/>
            <rFont val="Arial"/>
            <family val="2"/>
          </rPr>
          <t xml:space="preserve">	-André Troost
</t>
        </r>
        <r>
          <rPr>
            <sz val="10"/>
            <color rgb="FF000000"/>
            <rFont val="Arial"/>
            <family val="2"/>
          </rPr>
          <t xml:space="preserve">see rows at bottom for exchange rate
</t>
        </r>
        <r>
          <rPr>
            <sz val="10"/>
            <color rgb="FF000000"/>
            <rFont val="Arial"/>
            <family val="2"/>
          </rPr>
          <t xml:space="preserve">	-André Troost</t>
        </r>
      </text>
    </comment>
    <comment ref="E46" authorId="0" shapeId="0" xr:uid="{00000000-0006-0000-0000-00001B000000}">
      <text>
        <r>
          <rPr>
            <sz val="10"/>
            <color rgb="FF000000"/>
            <rFont val="Arial"/>
            <family val="2"/>
          </rPr>
          <t xml:space="preserve">https://www.alibaba.com/product-detail/High-performance-maize-shelling-machine-in_1600582480867.html
</t>
        </r>
        <r>
          <rPr>
            <sz val="10"/>
            <color rgb="FF000000"/>
            <rFont val="Arial"/>
            <family val="2"/>
          </rPr>
          <t xml:space="preserve">	-André Troost</t>
        </r>
      </text>
    </comment>
    <comment ref="F46" authorId="0" shapeId="0" xr:uid="{00000000-0006-0000-0000-00001A000000}">
      <text>
        <r>
          <rPr>
            <sz val="10"/>
            <color rgb="FF000000"/>
            <rFont val="Arial"/>
            <family val="2"/>
            <scheme val="minor"/>
          </rPr>
          <t>Source: https://jiji.ug/central-division/farm-machinery-equipment/maize-hullir-with-engine-xwx4d0cUTP4YwRETc2UrEmAu.html?page=1&amp;pos=1&amp;cur_pos=1&amp;ads_per_page=5&amp;ads_count=5&amp;lid=82FqVZCUrsdsLFKb
	-André Troost</t>
        </r>
      </text>
    </comment>
    <comment ref="G46" authorId="0" shapeId="0" xr:uid="{00000000-0006-0000-0000-000019000000}">
      <text>
        <r>
          <rPr>
            <sz val="10"/>
            <color rgb="FF000000"/>
            <rFont val="Arial"/>
            <family val="2"/>
            <scheme val="minor"/>
          </rPr>
          <t>Source: https://jiji.ug/central-division/farm-machinery-equipment/maize-milling-machine-for-sale-iATxNTearr4J3vNpObxuq8Bb.html?page=2&amp;pos=3&amp;cur_pos=3&amp;ads_per_page=12&amp;ads_count=29&amp;lid=H2BM5JBFrR2Uhzpp
From Uganda
Also suitable for beans
	-André Troost</t>
        </r>
      </text>
    </comment>
    <comment ref="I46" authorId="0" shapeId="0" xr:uid="{00000000-0006-0000-0000-000018000000}">
      <text>
        <r>
          <rPr>
            <sz val="10"/>
            <color rgb="FF000000"/>
            <rFont val="Arial"/>
            <family val="2"/>
          </rPr>
          <t xml:space="preserve">Source: AgSol
</t>
        </r>
        <r>
          <rPr>
            <sz val="10"/>
            <color rgb="FF000000"/>
            <rFont val="Arial"/>
            <family val="2"/>
          </rPr>
          <t xml:space="preserve">https://agsol.com/wp-content/uploads/2020/07/Agsol-Catalogue.pdf
</t>
        </r>
        <r>
          <rPr>
            <sz val="10"/>
            <color rgb="FF000000"/>
            <rFont val="Arial"/>
            <family val="2"/>
          </rPr>
          <t xml:space="preserve">
</t>
        </r>
        <r>
          <rPr>
            <sz val="10"/>
            <color rgb="FF000000"/>
            <rFont val="Arial"/>
            <family val="2"/>
          </rPr>
          <t xml:space="preserve">Price: https://e4sv.org/wp-content/uploads/2020/12/2.2kW-Solar-Powered-3-phase-Agsol-Hammer-Milling-Machine-%E2%80%93-Pilot-Study-Results.docx.pdf
</t>
        </r>
        <r>
          <rPr>
            <sz val="10"/>
            <color rgb="FF000000"/>
            <rFont val="Arial"/>
            <family val="2"/>
          </rPr>
          <t xml:space="preserve">	-André Troost</t>
        </r>
      </text>
    </comment>
    <comment ref="K46" authorId="0" shapeId="0" xr:uid="{00000000-0006-0000-0000-000017000000}">
      <text>
        <r>
          <rPr>
            <sz val="10"/>
            <color rgb="FF000000"/>
            <rFont val="Arial"/>
            <family val="2"/>
          </rPr>
          <t xml:space="preserve">Source: https://www.adaptive.ag/shop/solar-bubble-dryer
</t>
        </r>
        <r>
          <rPr>
            <sz val="10"/>
            <color rgb="FF000000"/>
            <rFont val="Arial"/>
            <family val="2"/>
          </rPr>
          <t xml:space="preserve">
</t>
        </r>
        <r>
          <rPr>
            <sz val="10"/>
            <color rgb="FF000000"/>
            <rFont val="Arial"/>
            <family val="2"/>
          </rPr>
          <t xml:space="preserve">Can work also for other grains (I guess for maize also, cassava Im not sure)
</t>
        </r>
        <r>
          <rPr>
            <sz val="10"/>
            <color rgb="FF000000"/>
            <rFont val="Arial"/>
            <family val="2"/>
          </rPr>
          <t xml:space="preserve">
</t>
        </r>
        <r>
          <rPr>
            <sz val="10"/>
            <color rgb="FF000000"/>
            <rFont val="Arial"/>
            <family val="2"/>
          </rPr>
          <t xml:space="preserve">https://www.grainpro.com/grainpro-bubble-dryer
</t>
        </r>
        <r>
          <rPr>
            <sz val="10"/>
            <color rgb="FF000000"/>
            <rFont val="Arial"/>
            <family val="2"/>
          </rPr>
          <t xml:space="preserve">	-André Troost</t>
        </r>
      </text>
    </comment>
    <comment ref="L46" authorId="0" shapeId="0" xr:uid="{00000000-0006-0000-0000-000016000000}">
      <text>
        <r>
          <rPr>
            <sz val="10"/>
            <color rgb="FF000000"/>
            <rFont val="Arial"/>
            <family val="2"/>
          </rPr>
          <t xml:space="preserve">Source: https://jiji.ug/central-division/farm-machinery-equipment/beans-thresher-37WqGkaR6NozwbJM6wg77T2b.html?page=1&amp;pos=1&amp;cur_pos=1&amp;ads_per_page=4&amp;ads_count=3&amp;lid=7AS99EDHcP1-0HlX
</t>
        </r>
        <r>
          <rPr>
            <sz val="10"/>
            <color rgb="FF000000"/>
            <rFont val="Arial"/>
            <family val="2"/>
          </rPr>
          <t xml:space="preserve">	-André Troost</t>
        </r>
      </text>
    </comment>
    <comment ref="M46" authorId="0" shapeId="0" xr:uid="{00000000-0006-0000-0000-000015000000}">
      <text>
        <r>
          <rPr>
            <sz val="10"/>
            <color rgb="FF000000"/>
            <rFont val="Arial"/>
            <family val="2"/>
          </rPr>
          <t xml:space="preserve">Source: https://jiji.ug/central-division/farm-machinery-equipment/disc-mill-for-animal-feeds-dUgV8auyVzhfrcX1ZFDm4NAK.html?page=1&amp;pos=1&amp;cur_pos=1&amp;ads_per_page=1&amp;ads_count=1&amp;lid=o1iWlFCNn6F8QRI6
</t>
        </r>
        <r>
          <rPr>
            <sz val="10"/>
            <color rgb="FF000000"/>
            <rFont val="Arial"/>
            <family val="2"/>
          </rPr>
          <t xml:space="preserve">
</t>
        </r>
        <r>
          <rPr>
            <sz val="10"/>
            <color rgb="FF000000"/>
            <rFont val="Arial"/>
            <family val="2"/>
          </rPr>
          <t xml:space="preserve">From Uganda - disc mill
</t>
        </r>
        <r>
          <rPr>
            <sz val="10"/>
            <color rgb="FF000000"/>
            <rFont val="Arial"/>
            <family val="2"/>
          </rPr>
          <t xml:space="preserve">	-André Troost</t>
        </r>
      </text>
    </comment>
    <comment ref="C63" authorId="0" shapeId="0" xr:uid="{00000000-0006-0000-0000-000034000000}">
      <text>
        <r>
          <rPr>
            <sz val="10"/>
            <color rgb="FF000000"/>
            <rFont val="Arial"/>
            <family val="2"/>
            <scheme val="minor"/>
          </rPr>
          <t>https://www.zipar.org.zm/a-cost-reflective-tariff-damned-if-we-dont/
	-André Troost</t>
        </r>
      </text>
    </comment>
    <comment ref="C64" authorId="0" shapeId="0" xr:uid="{00000000-0006-0000-0000-000033000000}">
      <text>
        <r>
          <rPr>
            <sz val="10"/>
            <color rgb="FF000000"/>
            <rFont val="Arial"/>
            <family val="2"/>
          </rPr>
          <t xml:space="preserve">From Engie data in focus group. Assumes usd = 17 kwacha
</t>
        </r>
        <r>
          <rPr>
            <sz val="10"/>
            <color rgb="FF000000"/>
            <rFont val="Arial"/>
            <family val="2"/>
          </rPr>
          <t xml:space="preserve">	-André Troost</t>
        </r>
      </text>
    </comment>
    <comment ref="C65" authorId="0" shapeId="0" xr:uid="{00000000-0006-0000-0000-000032000000}">
      <text>
        <r>
          <rPr>
            <sz val="10"/>
            <color rgb="FF000000"/>
            <rFont val="Arial"/>
            <family val="2"/>
          </rPr>
          <t xml:space="preserve">https://www.erb.org.zm/wp-content/uploads/monthlyRetailPumpPrices2022.pdf. Assumes USD= 17 KWACHA
</t>
        </r>
        <r>
          <rPr>
            <sz val="10"/>
            <color rgb="FF000000"/>
            <rFont val="Arial"/>
            <family val="2"/>
          </rPr>
          <t xml:space="preserve">	-André Troost</t>
        </r>
      </text>
    </comment>
    <comment ref="B69" authorId="0" shapeId="0" xr:uid="{00000000-0006-0000-0000-000031000000}">
      <text>
        <r>
          <rPr>
            <sz val="10"/>
            <color rgb="FF000000"/>
            <rFont val="Arial"/>
            <family val="2"/>
          </rPr>
          <t xml:space="preserve">http://salaryexplorer.com/ ASSUMES usd=17 KWACHA
</t>
        </r>
        <r>
          <rPr>
            <sz val="10"/>
            <color rgb="FF000000"/>
            <rFont val="Arial"/>
            <family val="2"/>
          </rPr>
          <t xml:space="preserve">	-André Troost</t>
        </r>
      </text>
    </comment>
    <comment ref="D74" authorId="0" shapeId="0" xr:uid="{00000000-0006-0000-0000-000014000000}">
      <text>
        <r>
          <rPr>
            <sz val="10"/>
            <color rgb="FF000000"/>
            <rFont val="Arial"/>
            <family val="2"/>
          </rPr>
          <t xml:space="preserve">Source: https://www.camco.cn/product/maize-sheller/
</t>
        </r>
        <r>
          <rPr>
            <sz val="10"/>
            <color rgb="FF000000"/>
            <rFont val="Arial"/>
            <family val="2"/>
          </rPr>
          <t xml:space="preserve">Price (in comments of post): https://m.facebook.com/camcozambia/posts/4197044043638928?locale2=en_GB
</t>
        </r>
        <r>
          <rPr>
            <sz val="10"/>
            <color rgb="FF000000"/>
            <rFont val="Arial"/>
            <family val="2"/>
          </rPr>
          <t xml:space="preserve">	-André Troost</t>
        </r>
      </text>
    </comment>
    <comment ref="E74" authorId="0" shapeId="0" xr:uid="{00000000-0006-0000-0000-000013000000}">
      <text>
        <r>
          <rPr>
            <sz val="10"/>
            <color rgb="FF000000"/>
            <rFont val="Arial"/>
            <family val="2"/>
            <scheme val="minor"/>
          </rPr>
          <t>Source: https://www.camco.cn/product/maize-deluller/
Price: https://m.facebook.com/camcozambia/posts/maize-dehuller-durable-and-affordable-maize-dehullers-available-in-all-our-outle/4397535320256465/?locale2=fr_CA&amp;_se_imp=2qU4h0txLkWskSihN
	-André Troost</t>
        </r>
      </text>
    </comment>
    <comment ref="F74" authorId="0" shapeId="0" xr:uid="{00000000-0006-0000-0000-000012000000}">
      <text>
        <r>
          <rPr>
            <sz val="10"/>
            <color rgb="FF000000"/>
            <rFont val="Arial"/>
            <family val="2"/>
            <scheme val="minor"/>
          </rPr>
          <t>Source: https://www.camco.cn/product/hammer-mill/
Price: https://m.facebook.com/camcozambia/photos/a.1526803647329661/4062059640470703/?_se_imp=2Rp6JXQpLZZ2c2kZf
	-André Troost</t>
        </r>
      </text>
    </comment>
    <comment ref="H74" authorId="0" shapeId="0" xr:uid="{00000000-0006-0000-0000-000011000000}">
      <text>
        <r>
          <rPr>
            <sz val="10"/>
            <color rgb="FF000000"/>
            <rFont val="Arial"/>
            <family val="2"/>
            <scheme val="minor"/>
          </rPr>
          <t>Source: https://m.facebook.com/camcozambia/photos/cassava-processing-machineriesgood-news-to-all-cassava-farmerscamco-has-you-cove/4143469985663001/?_se_imp=2ntHkhc4ZXiBY0Z1n
No power rating specified, estimated from NIG machine
	-André Troost</t>
        </r>
      </text>
    </comment>
    <comment ref="I74" authorId="0" shapeId="0" xr:uid="{00000000-0006-0000-0000-000010000000}">
      <text>
        <r>
          <rPr>
            <sz val="10"/>
            <color rgb="FF000000"/>
            <rFont val="Arial"/>
            <family val="2"/>
            <scheme val="minor"/>
          </rPr>
          <t>https://www.alibaba.com/product-detail/Cassava-grater-cassava-grating-machine-for_60763620952.html?spm=a2700.galleryofferlist.normal_offer.d_title.4aca188eDjsroG
	-André Troost</t>
        </r>
      </text>
    </comment>
    <comment ref="J74" authorId="0" shapeId="0" xr:uid="{00000000-0006-0000-0000-00000F000000}">
      <text>
        <r>
          <rPr>
            <sz val="10"/>
            <color rgb="FF000000"/>
            <rFont val="Arial"/>
            <family val="2"/>
            <scheme val="minor"/>
          </rPr>
          <t>Source: https://www.camco.cn/product/hammer-mill/
Price: https://m.facebook.com/camcozambia/photos/a.1526803647329661/4062059640470703/?_se_imp=2Rp6JXQpLZZ2c2kZf
	-André Troost</t>
        </r>
      </text>
    </comment>
    <comment ref="K74" authorId="0" shapeId="0" xr:uid="{00000000-0006-0000-0000-00000E000000}">
      <text>
        <r>
          <rPr>
            <sz val="10"/>
            <color rgb="FF000000"/>
            <rFont val="Arial"/>
            <family val="2"/>
            <scheme val="minor"/>
          </rPr>
          <t>Source: https://m.facebook.com/camcozambia/photos/cassava-processing-machineriesgood-news-to-all-cassava-farmerscamco-has-you-cove/4143469985663001/?_se_imp=2ntHkhc4ZXiBY0Z1n
Power rating not specified. Example from https://www.cornmachine.com/cassva-chipper-machine.html
	-André Troost</t>
        </r>
      </text>
    </comment>
    <comment ref="M74" authorId="0" shapeId="0" xr:uid="{00000000-0006-0000-0000-00000D000000}">
      <text>
        <r>
          <rPr>
            <sz val="10"/>
            <color rgb="FF000000"/>
            <rFont val="Arial"/>
            <family val="2"/>
          </rPr>
          <t xml:space="preserve">Source: https://www.camco.cn/product/peanut-sheller/
</t>
        </r>
        <r>
          <rPr>
            <sz val="10"/>
            <color rgb="FF000000"/>
            <rFont val="Arial"/>
            <family val="2"/>
          </rPr>
          <t xml:space="preserve">
</t>
        </r>
        <r>
          <rPr>
            <sz val="10"/>
            <color rgb="FF000000"/>
            <rFont val="Arial"/>
            <family val="2"/>
          </rPr>
          <t xml:space="preserve">Price (FB): https://mk-mk.facebook.com/camcozambia/posts/4478199142190082
</t>
        </r>
        <r>
          <rPr>
            <sz val="10"/>
            <color rgb="FF000000"/>
            <rFont val="Arial"/>
            <family val="2"/>
          </rPr>
          <t xml:space="preserve">	-André Troost</t>
        </r>
      </text>
    </comment>
    <comment ref="N74" authorId="0" shapeId="0" xr:uid="{00000000-0006-0000-0000-00000C000000}">
      <text>
        <r>
          <rPr>
            <sz val="10"/>
            <color rgb="FF000000"/>
            <rFont val="Arial"/>
            <family val="2"/>
            <scheme val="minor"/>
          </rPr>
          <t>Source: https://www.camco.cn/product/oil-expeller/
Price: https://m.facebook.com/camcozambia/photos/a.1526803647329661/5523002954376357/
	-André Troost</t>
        </r>
      </text>
    </comment>
    <comment ref="P74" authorId="0" shapeId="0" xr:uid="{00000000-0006-0000-0000-00000B000000}">
      <text>
        <r>
          <rPr>
            <sz val="10"/>
            <color rgb="FF000000"/>
            <rFont val="Arial"/>
            <family val="2"/>
            <scheme val="minor"/>
          </rPr>
          <t>Source: https://www.camco.cn/product/peanut-butter-machine/
Price: https://m.facebook.com/camcozambia/videos/peanut-butter-making-machinezmk-14500join-entrepreneurship-today-by-engaging-val/502766897623080/?_se_imp=2OcmI0wbfNeK0xRjp
	-André Troost</t>
        </r>
      </text>
    </comment>
    <comment ref="C91" authorId="0" shapeId="0" xr:uid="{00000000-0006-0000-0000-000030000000}">
      <text>
        <r>
          <rPr>
            <sz val="10"/>
            <color rgb="FF000000"/>
            <rFont val="Arial"/>
            <family val="2"/>
          </rPr>
          <t xml:space="preserve">focus group
</t>
        </r>
        <r>
          <rPr>
            <sz val="10"/>
            <color rgb="FF000000"/>
            <rFont val="Arial"/>
            <family val="2"/>
          </rPr>
          <t xml:space="preserve">	-André Troost</t>
        </r>
      </text>
    </comment>
    <comment ref="C92" authorId="0" shapeId="0" xr:uid="{00000000-0006-0000-0000-00002F000000}">
      <text>
        <r>
          <rPr>
            <sz val="10"/>
            <color rgb="FF000000"/>
            <rFont val="Arial"/>
            <family val="2"/>
          </rPr>
          <t xml:space="preserve">focus group
</t>
        </r>
        <r>
          <rPr>
            <sz val="10"/>
            <color rgb="FF000000"/>
            <rFont val="Arial"/>
            <family val="2"/>
          </rPr>
          <t xml:space="preserve">	-André Troost</t>
        </r>
      </text>
    </comment>
    <comment ref="C93" authorId="0" shapeId="0" xr:uid="{00000000-0006-0000-0000-00002E000000}">
      <text>
        <r>
          <rPr>
            <sz val="10"/>
            <color rgb="FF000000"/>
            <rFont val="Arial"/>
            <family val="2"/>
          </rPr>
          <t xml:space="preserve">https://www.zera.co.zw/
</t>
        </r>
        <r>
          <rPr>
            <sz val="10"/>
            <color rgb="FF000000"/>
            <rFont val="Arial"/>
            <family val="2"/>
          </rPr>
          <t xml:space="preserve">	-André Troost</t>
        </r>
      </text>
    </comment>
    <comment ref="B97" authorId="0" shapeId="0" xr:uid="{00000000-0006-0000-0000-00002D000000}">
      <text>
        <r>
          <rPr>
            <sz val="10"/>
            <color rgb="FF000000"/>
            <rFont val="Arial"/>
            <family val="2"/>
          </rPr>
          <t xml:space="preserve">salaryexplorer.com Assumes exchange rate of 1 usd = 362 ZWD
</t>
        </r>
        <r>
          <rPr>
            <sz val="10"/>
            <color rgb="FF000000"/>
            <rFont val="Arial"/>
            <family val="2"/>
          </rPr>
          <t xml:space="preserve">	-André Troost</t>
        </r>
      </text>
    </comment>
    <comment ref="D102" authorId="0" shapeId="0" xr:uid="{00000000-0006-0000-0000-00000A000000}">
      <text>
        <r>
          <rPr>
            <sz val="10"/>
            <color rgb="FF000000"/>
            <rFont val="Arial"/>
            <family val="2"/>
          </rPr>
          <t xml:space="preserve">Source: http://www.kurimamachinery.com/product/multi-crop-thresher/
</t>
        </r>
        <r>
          <rPr>
            <sz val="10"/>
            <color rgb="FF000000"/>
            <rFont val="Arial"/>
            <family val="2"/>
          </rPr>
          <t xml:space="preserve">
</t>
        </r>
        <r>
          <rPr>
            <sz val="10"/>
            <color rgb="FF000000"/>
            <rFont val="Arial"/>
            <family val="2"/>
          </rPr>
          <t xml:space="preserve">Price: https://www.facebook.com/KurimaZim/photos/a.631382143959585/1396637887434003/
</t>
        </r>
        <r>
          <rPr>
            <sz val="10"/>
            <color rgb="FF000000"/>
            <rFont val="Arial"/>
            <family val="2"/>
          </rPr>
          <t xml:space="preserve">https://www.facebook.com/KurimaZim/videos/multi-crop-thresher/670392244063984/
</t>
        </r>
        <r>
          <rPr>
            <sz val="10"/>
            <color rgb="FF000000"/>
            <rFont val="Arial"/>
            <family val="2"/>
          </rPr>
          <t xml:space="preserve">	-André Troost</t>
        </r>
      </text>
    </comment>
    <comment ref="E102" authorId="0" shapeId="0" xr:uid="{00000000-0006-0000-0000-000009000000}">
      <text>
        <r>
          <rPr>
            <sz val="10"/>
            <color rgb="FF000000"/>
            <rFont val="Arial"/>
            <family val="2"/>
          </rPr>
          <t xml:space="preserve">Source: https://www.tanroy.com/products/dehuller_electric/343
</t>
        </r>
        <r>
          <rPr>
            <sz val="10"/>
            <color rgb="FF000000"/>
            <rFont val="Arial"/>
            <family val="2"/>
          </rPr>
          <t xml:space="preserve">
</t>
        </r>
        <r>
          <rPr>
            <sz val="10"/>
            <color rgb="FF000000"/>
            <rFont val="Arial"/>
            <family val="2"/>
          </rPr>
          <t xml:space="preserve">Price: https://www.facebook.com/tanroyengineering/photos/p.2985390521471970/2985390521471970/?type=3
</t>
        </r>
        <r>
          <rPr>
            <sz val="10"/>
            <color rgb="FF000000"/>
            <rFont val="Arial"/>
            <family val="2"/>
          </rPr>
          <t xml:space="preserve">
</t>
        </r>
        <r>
          <rPr>
            <sz val="10"/>
            <color rgb="FF000000"/>
            <rFont val="Arial"/>
            <family val="2"/>
          </rPr>
          <t xml:space="preserve">Power rating is assumed to be the same as same machinery in Zambia and Rwanda
</t>
        </r>
        <r>
          <rPr>
            <sz val="10"/>
            <color rgb="FF000000"/>
            <rFont val="Arial"/>
            <family val="2"/>
          </rPr>
          <t xml:space="preserve">	-André Troost</t>
        </r>
      </text>
    </comment>
    <comment ref="F102" authorId="0" shapeId="0" xr:uid="{00000000-0006-0000-0000-000008000000}">
      <text>
        <r>
          <rPr>
            <sz val="10"/>
            <color rgb="FF000000"/>
            <rFont val="Arial"/>
            <family val="2"/>
            <scheme val="minor"/>
          </rPr>
          <t>https://agic.en.alibaba.com/product/60840606636-804140541/Local_price_maize_grinding_mill_for_sale_in_Zimbabwe.html
	-André Troost</t>
        </r>
      </text>
    </comment>
    <comment ref="H102" authorId="0" shapeId="0" xr:uid="{00000000-0006-0000-0000-000007000000}">
      <text>
        <r>
          <rPr>
            <sz val="10"/>
            <color rgb="FF000000"/>
            <rFont val="Arial"/>
            <family val="2"/>
          </rPr>
          <t xml:space="preserve">https://www.agriuniverse.co.zw/machinery-tools-and-equipment/grinding-mills-shelling-machines-peanut-butter-making-machines-etc/peanut-sheller-for-sale.html
</t>
        </r>
        <r>
          <rPr>
            <sz val="10"/>
            <color rgb="FF000000"/>
            <rFont val="Arial"/>
            <family val="2"/>
          </rPr>
          <t xml:space="preserve">	-André Troost</t>
        </r>
      </text>
    </comment>
    <comment ref="I102" authorId="0" shapeId="0" xr:uid="{00000000-0006-0000-0000-000006000000}">
      <text>
        <r>
          <rPr>
            <sz val="10"/>
            <color rgb="FF000000"/>
            <rFont val="Arial"/>
            <family val="2"/>
          </rPr>
          <t xml:space="preserve">Source: https://www.facebook.com/tanroyengineering
</t>
        </r>
        <r>
          <rPr>
            <sz val="10"/>
            <color rgb="FF000000"/>
            <rFont val="Arial"/>
            <family val="2"/>
          </rPr>
          <t xml:space="preserve">
</t>
        </r>
        <r>
          <rPr>
            <sz val="10"/>
            <color rgb="FF000000"/>
            <rFont val="Arial"/>
            <family val="2"/>
          </rPr>
          <t xml:space="preserve">Power rating: https://www.indiamart.com/proddetail/groundnut-deskinner-split-cum-grader-17727022291.html
</t>
        </r>
        <r>
          <rPr>
            <sz val="10"/>
            <color rgb="FF000000"/>
            <rFont val="Arial"/>
            <family val="2"/>
          </rPr>
          <t xml:space="preserve">	-André Troost</t>
        </r>
      </text>
    </comment>
    <comment ref="J102" authorId="0" shapeId="0" xr:uid="{00000000-0006-0000-0000-000005000000}">
      <text>
        <r>
          <rPr>
            <sz val="10"/>
            <color rgb="FF000000"/>
            <rFont val="Arial"/>
            <family val="2"/>
            <scheme val="minor"/>
          </rPr>
          <t>Source: https://www.facebook.com/tanroyengineering
	-André Troost
Same as groundnut oil pressing machine in Zambia.
	-André Troost</t>
        </r>
      </text>
    </comment>
    <comment ref="K102" authorId="0" shapeId="0" xr:uid="{00000000-0006-0000-0000-000004000000}">
      <text>
        <r>
          <rPr>
            <sz val="10"/>
            <color rgb="FF000000"/>
            <rFont val="Arial"/>
            <family val="2"/>
            <scheme val="minor"/>
          </rPr>
          <t>https://www.alibaba.com/product-detail/Peanut-Butter-Grinding-Machine-Price-List_60795163884.html
	-André Troost</t>
        </r>
      </text>
    </comment>
    <comment ref="M102" authorId="0" shapeId="0" xr:uid="{00000000-0006-0000-0000-000003000000}">
      <text>
        <r>
          <rPr>
            <sz val="10"/>
            <color rgb="FF000000"/>
            <rFont val="Arial"/>
            <family val="2"/>
            <scheme val="minor"/>
          </rPr>
          <t>Source: http://www.kurimamachinery.com/product/multi-crop-thresher/
Price: https://www.facebook.com/KurimaZim/photos/a.631382143959585/1396637887434003/
https://www.facebook.com/KurimaZim/videos/multi-crop-thresher/670392244063984/
	-André Troost</t>
        </r>
      </text>
    </comment>
    <comment ref="N102" authorId="0" shapeId="0" xr:uid="{00000000-0006-0000-0000-000002000000}">
      <text>
        <r>
          <rPr>
            <sz val="10"/>
            <color rgb="FF000000"/>
            <rFont val="Arial"/>
            <family val="2"/>
          </rPr>
          <t xml:space="preserve">https://www.agriuniverse.co.zw/machinery-tools-and-equipment/grinding-mills-shelling-machines-peanut-butter-making-machines-etc/dehuller-chisvuuriso-for-sale.html
</t>
        </r>
        <r>
          <rPr>
            <sz val="10"/>
            <color rgb="FF000000"/>
            <rFont val="Arial"/>
            <family val="2"/>
          </rPr>
          <t xml:space="preserve">	-André Troost
</t>
        </r>
        <r>
          <rPr>
            <sz val="10"/>
            <color rgb="FF000000"/>
            <rFont val="Arial"/>
            <family val="2"/>
          </rPr>
          <t xml:space="preserve">assuming more expensive and less throughput. advertised machine is diesel
</t>
        </r>
        <r>
          <rPr>
            <sz val="10"/>
            <color rgb="FF000000"/>
            <rFont val="Arial"/>
            <family val="2"/>
          </rPr>
          <t xml:space="preserve">	-André Troost</t>
        </r>
      </text>
    </comment>
    <comment ref="O102" authorId="0" shapeId="0" xr:uid="{00000000-0006-0000-0000-000001000000}">
      <text>
        <r>
          <rPr>
            <sz val="10"/>
            <color rgb="FF000000"/>
            <rFont val="Arial"/>
            <family val="2"/>
            <scheme val="minor"/>
          </rPr>
          <t>Same as maize - althoug different throughput
	-André Troost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6" authorId="0" shapeId="0" xr:uid="{00000000-0006-0000-0100-000029000000}">
      <text>
        <r>
          <rPr>
            <sz val="10"/>
            <color rgb="FF000000"/>
            <rFont val="Arial"/>
            <family val="2"/>
          </rPr>
          <t xml:space="preserve">0.4 FROM https://www.tridge.com/intelligences/corn/NG/price
</t>
        </r>
        <r>
          <rPr>
            <sz val="10"/>
            <color rgb="FF000000"/>
            <rFont val="Arial"/>
            <family val="2"/>
          </rPr>
          <t xml:space="preserve">	-André Troost</t>
        </r>
      </text>
    </comment>
    <comment ref="G6" authorId="0" shapeId="0" xr:uid="{00000000-0006-0000-0100-000001000000}">
      <text>
        <r>
          <rPr>
            <sz val="10"/>
            <color rgb="FF000000"/>
            <rFont val="Arial"/>
            <family val="2"/>
            <scheme val="minor"/>
          </rPr>
          <t>Source: USAID PUE report
	-André Troost</t>
        </r>
      </text>
    </comment>
    <comment ref="L6" authorId="0" shapeId="0" xr:uid="{00000000-0006-0000-0100-000024000000}">
      <text>
        <r>
          <rPr>
            <sz val="10"/>
            <color rgb="FF000000"/>
            <rFont val="Arial"/>
            <family val="2"/>
          </rPr>
          <t xml:space="preserve">The 121 has been taken from this source: 
</t>
        </r>
        <r>
          <rPr>
            <sz val="10"/>
            <color rgb="FF000000"/>
            <rFont val="Arial"/>
            <family val="2"/>
          </rPr>
          <t xml:space="preserve">
</t>
        </r>
        <r>
          <rPr>
            <sz val="10"/>
            <color rgb="FF000000"/>
            <rFont val="Arial"/>
            <family val="2"/>
          </rPr>
          <t xml:space="preserve">VALUE CHAIN ASSESSMENT OF RICE, TOMATO AND WHEAT FOR APPEALS
</t>
        </r>
        <r>
          <rPr>
            <sz val="10"/>
            <color rgb="FF000000"/>
            <rFont val="Arial"/>
            <family val="2"/>
          </rPr>
          <t xml:space="preserve">PROJECT IN KANO STATE, NIGERIA (2019)
</t>
        </r>
        <r>
          <rPr>
            <sz val="10"/>
            <color rgb="FF000000"/>
            <rFont val="Arial"/>
            <family val="2"/>
          </rPr>
          <t xml:space="preserve">
</t>
        </r>
        <r>
          <rPr>
            <sz val="10"/>
            <color rgb="FF000000"/>
            <rFont val="Arial"/>
            <family val="2"/>
          </rPr>
          <t xml:space="preserve">https://www.kanostateappealsproject.org/pdfs/DRAFT-VALUE-CHAIN-ASSESSMENT-REPORT-min.pdf
</t>
        </r>
        <r>
          <rPr>
            <sz val="10"/>
            <color rgb="FF000000"/>
            <rFont val="Arial"/>
            <family val="2"/>
          </rPr>
          <t xml:space="preserve">
</t>
        </r>
        <r>
          <rPr>
            <sz val="10"/>
            <color rgb="FF000000"/>
            <rFont val="Arial"/>
            <family val="2"/>
          </rPr>
          <t xml:space="preserve">Specific value can be found in Table 3.6 of the report.
</t>
        </r>
        <r>
          <rPr>
            <sz val="10"/>
            <color rgb="FF000000"/>
            <rFont val="Arial"/>
            <family val="2"/>
          </rPr>
          <t xml:space="preserve">	-André Troost</t>
        </r>
      </text>
    </comment>
    <comment ref="E7" authorId="0" shapeId="0" xr:uid="{00000000-0006-0000-0100-000028000000}">
      <text>
        <r>
          <rPr>
            <sz val="10"/>
            <color rgb="FF000000"/>
            <rFont val="Arial"/>
            <family val="2"/>
          </rPr>
          <t xml:space="preserve">Source: Olayinka Yusuf interview
</t>
        </r>
        <r>
          <rPr>
            <sz val="10"/>
            <color rgb="FF000000"/>
            <rFont val="Arial"/>
            <family val="2"/>
          </rPr>
          <t xml:space="preserve">	-André Troost</t>
        </r>
      </text>
    </comment>
    <comment ref="F7" authorId="0" shapeId="0" xr:uid="{00000000-0006-0000-0100-000027000000}">
      <text>
        <r>
          <rPr>
            <sz val="10"/>
            <color rgb="FF000000"/>
            <rFont val="Arial"/>
            <family val="2"/>
          </rPr>
          <t xml:space="preserve">Source: USAID PUE report
</t>
        </r>
        <r>
          <rPr>
            <sz val="10"/>
            <color rgb="FF000000"/>
            <rFont val="Arial"/>
            <family val="2"/>
          </rPr>
          <t xml:space="preserve">Assumption: 0.017 USD/kg represents the processing fee of maize milling as indicated by USAID. It is assumed that this is the minimum profit margin expected from milling.
</t>
        </r>
        <r>
          <rPr>
            <sz val="10"/>
            <color rgb="FF000000"/>
            <rFont val="Arial"/>
            <family val="2"/>
          </rPr>
          <t xml:space="preserve">	-André Troost</t>
        </r>
      </text>
    </comment>
    <comment ref="M7" authorId="0" shapeId="0" xr:uid="{00000000-0006-0000-0100-000023000000}">
      <text>
        <r>
          <rPr>
            <sz val="10"/>
            <color rgb="FF000000"/>
            <rFont val="Arial"/>
            <family val="2"/>
            <scheme val="minor"/>
          </rPr>
          <t>Source: USAID PUE report
	-André Troost</t>
        </r>
      </text>
    </comment>
    <comment ref="N7" authorId="0" shapeId="0" xr:uid="{00000000-0006-0000-0100-000022000000}">
      <text>
        <r>
          <rPr>
            <sz val="10"/>
            <color rgb="FF000000"/>
            <rFont val="Arial"/>
            <family val="2"/>
            <scheme val="minor"/>
          </rPr>
          <t>Source: "Policy Brief: The impact of mechanization in
smallholder rice production in Nigeria" 2021
	-André Troost</t>
        </r>
      </text>
    </comment>
    <comment ref="O7" authorId="0" shapeId="0" xr:uid="{00000000-0006-0000-0100-000021000000}">
      <text>
        <r>
          <rPr>
            <sz val="10"/>
            <color rgb="FF000000"/>
            <rFont val="Arial"/>
            <family val="2"/>
            <scheme val="minor"/>
          </rPr>
          <t>Source: USAID PUE report (checked with FEWS April 2022 market price of rice)
	-André Troost</t>
        </r>
      </text>
    </comment>
    <comment ref="E8" authorId="0" shapeId="0" xr:uid="{00000000-0006-0000-0100-000025000000}">
      <text>
        <r>
          <rPr>
            <sz val="10"/>
            <color rgb="FF000000"/>
            <rFont val="Arial"/>
            <family val="2"/>
          </rPr>
          <t xml:space="preserve">https://planbiz.com.ng/maize-flour-production-in-nigeria/
</t>
        </r>
        <r>
          <rPr>
            <sz val="10"/>
            <color rgb="FF000000"/>
            <rFont val="Arial"/>
            <family val="2"/>
          </rPr>
          <t xml:space="preserve">	-André Troost</t>
        </r>
      </text>
    </comment>
    <comment ref="F8" authorId="0" shapeId="0" xr:uid="{00000000-0006-0000-0100-000026000000}">
      <text>
        <r>
          <rPr>
            <sz val="10"/>
            <color rgb="FF000000"/>
            <rFont val="Arial"/>
            <family val="2"/>
            <scheme val="minor"/>
          </rPr>
          <t>https://planbiz.com.ng/maize-flour-production-in-nigeria/
	-André Troost</t>
        </r>
      </text>
    </comment>
    <comment ref="G8" authorId="0" shapeId="0" xr:uid="{00000000-0006-0000-0100-000019000000}">
      <text>
        <r>
          <rPr>
            <sz val="10"/>
            <color rgb="FF000000"/>
            <rFont val="Arial"/>
            <family val="2"/>
            <scheme val="minor"/>
          </rPr>
          <t>https://openknowledge.worldbank.org/server/api/core/bitstreams/67895866-6d05-5a9d-afc6-d28b5f13a8fb/content
	-André Troost</t>
        </r>
      </text>
    </comment>
    <comment ref="H8" authorId="0" shapeId="0" xr:uid="{00000000-0006-0000-0100-00001C000000}">
      <text>
        <r>
          <rPr>
            <sz val="10"/>
            <color rgb="FF000000"/>
            <rFont val="Arial"/>
            <family val="2"/>
            <scheme val="minor"/>
          </rPr>
          <t>https://openknowledge.worldbank.org/server/api/core/bitstreams/67895866-6d05-5a9d-afc6-d28b5f13a8fb/content
	-André Troost</t>
        </r>
      </text>
    </comment>
    <comment ref="I8" authorId="0" shapeId="0" xr:uid="{00000000-0006-0000-0100-00001B000000}">
      <text>
        <r>
          <rPr>
            <sz val="10"/>
            <color rgb="FF000000"/>
            <rFont val="Arial"/>
            <family val="2"/>
            <scheme val="minor"/>
          </rPr>
          <t>https://openknowledge.worldbank.org/server/api/core/bitstreams/67895866-6d05-5a9d-afc6-d28b5f13a8fb/content
	-André Troost</t>
        </r>
      </text>
    </comment>
    <comment ref="J8" authorId="0" shapeId="0" xr:uid="{00000000-0006-0000-0100-00001A000000}">
      <text>
        <r>
          <rPr>
            <sz val="10"/>
            <color rgb="FF000000"/>
            <rFont val="Arial"/>
            <family val="2"/>
          </rPr>
          <t xml:space="preserve">https://openknowledge.worldbank.org/server/api/core/bitstreams/67895866-6d05-5a9d-afc6-d28b5f13a8fb/content
</t>
        </r>
        <r>
          <rPr>
            <sz val="10"/>
            <color rgb="FF000000"/>
            <rFont val="Arial"/>
            <family val="2"/>
          </rPr>
          <t xml:space="preserve">	-André Troost</t>
        </r>
      </text>
    </comment>
    <comment ref="K8" authorId="0" shapeId="0" xr:uid="{00000000-0006-0000-0100-000018000000}">
      <text>
        <r>
          <rPr>
            <sz val="10"/>
            <color rgb="FF000000"/>
            <rFont val="Arial"/>
            <family val="2"/>
            <scheme val="minor"/>
          </rPr>
          <t>https://openknowledge.worldbank.org/server/api/core/bitstreams/67895866-6d05-5a9d-afc6-d28b5f13a8fb/content
	-André Troost</t>
        </r>
      </text>
    </comment>
    <comment ref="D12" authorId="0" shapeId="0" xr:uid="{00000000-0006-0000-0100-000020000000}">
      <text>
        <r>
          <rPr>
            <sz val="10"/>
            <color rgb="FF000000"/>
            <rFont val="Arial"/>
            <family val="2"/>
          </rPr>
          <t xml:space="preserve">Source: https://rwandainspirer.com/2021/02/05/minicom-sets-maize-price-for-first-quarter-2021/
</t>
        </r>
        <r>
          <rPr>
            <sz val="10"/>
            <color rgb="FF000000"/>
            <rFont val="Arial"/>
            <family val="2"/>
          </rPr>
          <t xml:space="preserve">	-André Troost</t>
        </r>
      </text>
    </comment>
    <comment ref="H12" authorId="0" shapeId="0" xr:uid="{00000000-0006-0000-0100-00001D000000}">
      <text>
        <r>
          <rPr>
            <sz val="10"/>
            <color rgb="FF000000"/>
            <rFont val="Arial"/>
            <family val="2"/>
            <scheme val="minor"/>
          </rPr>
          <t>https://www.newtimes.co.rw/news/cassava-farmers-decry-low-prices
Price that Kinazi cassava plant pays to farmers for cassava fresh tubers
	-André Troost</t>
        </r>
      </text>
    </comment>
    <comment ref="I12" authorId="0" shapeId="0" xr:uid="{00000000-0006-0000-0100-000017000000}">
      <text>
        <r>
          <rPr>
            <sz val="10"/>
            <color rgb="FF000000"/>
            <rFont val="Arial"/>
            <family val="2"/>
            <scheme val="minor"/>
          </rPr>
          <t>Source: FAOstat - Producer prices 2020
	-André Troost</t>
        </r>
      </text>
    </comment>
    <comment ref="J12" authorId="0" shapeId="0" xr:uid="{00000000-0006-0000-0100-000016000000}">
      <text>
        <r>
          <rPr>
            <sz val="10"/>
            <color rgb="FF000000"/>
            <rFont val="Arial"/>
            <family val="2"/>
            <scheme val="minor"/>
          </rPr>
          <t>Farmgate price: https://www.fao.org/faostat/en/#data/PP
	-André Troost</t>
        </r>
      </text>
    </comment>
    <comment ref="D13" authorId="0" shapeId="0" xr:uid="{00000000-0006-0000-0100-00001F000000}">
      <text>
        <r>
          <rPr>
            <sz val="10"/>
            <color rgb="FF000000"/>
            <rFont val="Arial"/>
            <family val="2"/>
          </rPr>
          <t xml:space="preserve">Source: FAOstat - Producer prices 2020
</t>
        </r>
        <r>
          <rPr>
            <sz val="10"/>
            <color rgb="FF000000"/>
            <rFont val="Arial"/>
            <family val="2"/>
          </rPr>
          <t xml:space="preserve">	-André Troost</t>
        </r>
      </text>
    </comment>
    <comment ref="G13" authorId="0" shapeId="0" xr:uid="{00000000-0006-0000-0100-00001E000000}">
      <text>
        <r>
          <rPr>
            <sz val="10"/>
            <color rgb="FF000000"/>
            <rFont val="Arial"/>
            <family val="2"/>
            <scheme val="minor"/>
          </rPr>
          <t>Source: https://open.unido.org/api/documents/5328232/download/Maize%20in%20Rwanda%20-%20A%20Value%20Chain%20Analysis (2012)
The increase in profit (%) is considered.
	-André Troost</t>
        </r>
      </text>
    </comment>
    <comment ref="J13" authorId="0" shapeId="0" xr:uid="{00000000-0006-0000-0100-000015000000}">
      <text>
        <r>
          <rPr>
            <sz val="10"/>
            <color rgb="FF000000"/>
            <rFont val="Arial"/>
            <family val="2"/>
          </rPr>
          <t xml:space="preserve">considering 15% profit margin
</t>
        </r>
        <r>
          <rPr>
            <sz val="10"/>
            <color rgb="FF000000"/>
            <rFont val="Arial"/>
            <family val="2"/>
          </rPr>
          <t xml:space="preserve">	-André Troost</t>
        </r>
      </text>
    </comment>
    <comment ref="D18" authorId="0" shapeId="0" xr:uid="{00000000-0006-0000-0100-000013000000}">
      <text>
        <r>
          <rPr>
            <sz val="10"/>
            <color rgb="FF000000"/>
            <rFont val="Arial"/>
            <family val="2"/>
          </rPr>
          <t xml:space="preserve">Source: FAOstat - Producer prices 2018
</t>
        </r>
        <r>
          <rPr>
            <sz val="10"/>
            <color rgb="FF000000"/>
            <rFont val="Arial"/>
            <family val="2"/>
          </rPr>
          <t xml:space="preserve">Same as price reported by FEWS NET in https://fews.net/sites/default/files/documents/reports/PW_GLOBAL_202207_Final.pdf
</t>
        </r>
        <r>
          <rPr>
            <sz val="10"/>
            <color rgb="FF000000"/>
            <rFont val="Arial"/>
            <family val="2"/>
          </rPr>
          <t xml:space="preserve">	-André Troost</t>
        </r>
      </text>
    </comment>
    <comment ref="H18" authorId="0" shapeId="0" xr:uid="{00000000-0006-0000-0100-000011000000}">
      <text>
        <r>
          <rPr>
            <sz val="10"/>
            <color rgb="FF000000"/>
            <rFont val="Arial"/>
            <family val="2"/>
            <scheme val="minor"/>
          </rPr>
          <t>Source: articles
https://www.lusakatimes.com/2019/09/20/cassava-farmers-not-happy-with-the-floor-price/
https://www.aatf-africa.org/removing-drudgery-from-cassava-farming-success-for-farmer-stephania-kunda-in-zambia/
	-André Troost</t>
        </r>
      </text>
    </comment>
    <comment ref="L18" authorId="0" shapeId="0" xr:uid="{00000000-0006-0000-0100-00000F000000}">
      <text>
        <r>
          <rPr>
            <sz val="10"/>
            <color rgb="FF000000"/>
            <rFont val="Arial"/>
            <family val="2"/>
            <scheme val="minor"/>
          </rPr>
          <t>https://zambianbusinesstimes.com/groundnut-prices-double-within-one-year/
	-André Troost</t>
        </r>
      </text>
    </comment>
    <comment ref="P18" authorId="0" shapeId="0" xr:uid="{00000000-0006-0000-0100-00000B000000}">
      <text>
        <r>
          <rPr>
            <sz val="10"/>
            <color rgb="FF000000"/>
            <rFont val="Arial"/>
            <family val="2"/>
            <scheme val="minor"/>
          </rPr>
          <t>https://www.selinawamucii.com/insights/prices/zambia/groundnuts-peanuts/#:~:text=In%202023%2C%20the%20approximate%20price,727.95%20in%20Kitwe%20and%20Lusaka.
	-André Troost</t>
        </r>
      </text>
    </comment>
    <comment ref="C19" authorId="0" shapeId="0" xr:uid="{00000000-0006-0000-0100-000014000000}">
      <text>
        <r>
          <rPr>
            <sz val="10"/>
            <color rgb="FF000000"/>
            <rFont val="Arial"/>
            <family val="2"/>
          </rPr>
          <t xml:space="preserve">Assuming a 30% mark up thanks to improved produce as a result of better watering from irrigation
</t>
        </r>
        <r>
          <rPr>
            <sz val="10"/>
            <color rgb="FF000000"/>
            <rFont val="Arial"/>
            <family val="2"/>
          </rPr>
          <t xml:space="preserve">	-André Troost</t>
        </r>
      </text>
    </comment>
    <comment ref="F19" authorId="0" shapeId="0" xr:uid="{00000000-0006-0000-0100-000012000000}">
      <text>
        <r>
          <rPr>
            <sz val="10"/>
            <color rgb="FF000000"/>
            <rFont val="Arial"/>
            <family val="2"/>
            <scheme val="minor"/>
          </rPr>
          <t>Source: FEWs NET Global price watch July 2022 - Zambia Roller Maize Meal
https://fews.net/sites/default/files/documents/reports/PW_GLOBAL_202207_Final.pdf
	-André Troost</t>
        </r>
      </text>
    </comment>
    <comment ref="J19" authorId="0" shapeId="0" xr:uid="{00000000-0006-0000-0100-000010000000}">
      <text>
        <r>
          <rPr>
            <sz val="10"/>
            <color rgb="FF000000"/>
            <rFont val="Arial"/>
            <family val="2"/>
            <scheme val="minor"/>
          </rPr>
          <t>Source: FAOstat - Producer prices 2019 (not sure what end product is referred to)
Article from 2020 mentions selling price of 0.27 USD/kg for cassava flour. https://www.howwemadeitinafrica.com/cassava-gets-new-use-in-zambia-hand-sanitiser/65719/
	-André Troost</t>
        </r>
      </text>
    </comment>
    <comment ref="N19" authorId="0" shapeId="0" xr:uid="{00000000-0006-0000-0100-00000D000000}">
      <text>
        <r>
          <rPr>
            <sz val="10"/>
            <color rgb="FF000000"/>
            <rFont val="Arial"/>
            <family val="2"/>
            <scheme val="minor"/>
          </rPr>
          <t>https://diggers.news/local/2022/03/18/prices-of-cooking-oil-will-continue-rising-chibumba/
	-André Troost</t>
        </r>
      </text>
    </comment>
    <comment ref="P19" authorId="0" shapeId="0" xr:uid="{00000000-0006-0000-0100-00000A000000}">
      <text>
        <r>
          <rPr>
            <sz val="10"/>
            <color rgb="FF000000"/>
            <rFont val="Arial"/>
            <family val="2"/>
            <scheme val="minor"/>
          </rPr>
          <t>Source: article https://www.moneyfmzambia.com/2021/02/18/basic-commodities-on-the-increase/
	-André Troost
reducing price because sourced price was retail. need wholesale
	-André Troost</t>
        </r>
      </text>
    </comment>
    <comment ref="M20" authorId="0" shapeId="0" xr:uid="{00000000-0006-0000-0100-00000E000000}">
      <text>
        <r>
          <rPr>
            <sz val="10"/>
            <color rgb="FF000000"/>
            <rFont val="Arial"/>
            <family val="2"/>
            <scheme val="minor"/>
          </rPr>
          <t>margins derived from: https://faolex.fao.org/docs/pdf/zam189991.pdf
	-André Troost</t>
        </r>
      </text>
    </comment>
    <comment ref="O20" authorId="0" shapeId="0" xr:uid="{00000000-0006-0000-0100-00000C000000}">
      <text>
        <r>
          <rPr>
            <sz val="10"/>
            <color rgb="FF000000"/>
            <rFont val="Arial"/>
            <family val="2"/>
            <scheme val="minor"/>
          </rPr>
          <t>margins derived from: https://faolex.fao.org/docs/pdf/zam189991.pdf
	-André Troost</t>
        </r>
      </text>
    </comment>
    <comment ref="D24" authorId="0" shapeId="0" xr:uid="{00000000-0006-0000-0100-000009000000}">
      <text>
        <r>
          <rPr>
            <sz val="10"/>
            <color rgb="FF000000"/>
            <rFont val="Arial"/>
            <family val="2"/>
          </rPr>
          <t xml:space="preserve">Source: Thomas Mupetesi 
</t>
        </r>
        <r>
          <rPr>
            <sz val="10"/>
            <color rgb="FF000000"/>
            <rFont val="Arial"/>
            <family val="2"/>
          </rPr>
          <t xml:space="preserve">
</t>
        </r>
        <r>
          <rPr>
            <sz val="10"/>
            <color rgb="FF000000"/>
            <rFont val="Arial"/>
            <family val="2"/>
          </rPr>
          <t xml:space="preserve">FAOstat - Producer prices 2018 states a value of 0.39 USD/kg
</t>
        </r>
        <r>
          <rPr>
            <sz val="10"/>
            <color rgb="FF000000"/>
            <rFont val="Arial"/>
            <family val="2"/>
          </rPr>
          <t xml:space="preserve">	-André Troost</t>
        </r>
      </text>
    </comment>
    <comment ref="G24" authorId="0" shapeId="0" xr:uid="{00000000-0006-0000-0100-000006000000}">
      <text>
        <r>
          <rPr>
            <sz val="10"/>
            <color rgb="FF000000"/>
            <rFont val="Arial"/>
            <family val="2"/>
            <scheme val="minor"/>
          </rPr>
          <t>https://ama.co.zw/wp-content/uploads/2022/03/Bulletin-Number-1-of-2022.pdf
	-André Troost</t>
        </r>
      </text>
    </comment>
    <comment ref="H24" authorId="0" shapeId="0" xr:uid="{00000000-0006-0000-0100-000005000000}">
      <text>
        <r>
          <rPr>
            <sz val="10"/>
            <color rgb="FF000000"/>
            <rFont val="Arial"/>
            <family val="2"/>
            <scheme val="minor"/>
          </rPr>
          <t>https://ama.co.zw/wp-content/uploads/2022/03/Bulletin-Number-1-of-2022.pdf
	-André Troost</t>
        </r>
      </text>
    </comment>
    <comment ref="D25" authorId="0" shapeId="0" xr:uid="{00000000-0006-0000-0100-000008000000}">
      <text>
        <r>
          <rPr>
            <sz val="10"/>
            <color rgb="FF000000"/>
            <rFont val="Arial"/>
            <family val="2"/>
            <scheme val="minor"/>
          </rPr>
          <t>20% MARGIN. See F 25
	-André Troost</t>
        </r>
      </text>
    </comment>
    <comment ref="F25" authorId="0" shapeId="0" xr:uid="{00000000-0006-0000-0100-000007000000}">
      <text>
        <r>
          <rPr>
            <sz val="10"/>
            <color rgb="FF000000"/>
            <rFont val="Arial"/>
            <family val="2"/>
            <scheme val="minor"/>
          </rPr>
          <t>interview with guy from zim. A Profit margin in general.
	-André Troost</t>
        </r>
      </text>
    </comment>
    <comment ref="H25" authorId="0" shapeId="0" xr:uid="{00000000-0006-0000-0100-000004000000}">
      <text>
        <r>
          <rPr>
            <sz val="10"/>
            <color rgb="FF000000"/>
            <rFont val="Arial"/>
            <family val="2"/>
            <scheme val="minor"/>
          </rPr>
          <t>Source: Thomas Mupetesi
	-André Troost</t>
        </r>
      </text>
    </comment>
    <comment ref="K25" authorId="0" shapeId="0" xr:uid="{00000000-0006-0000-0100-000003000000}">
      <text>
        <r>
          <rPr>
            <sz val="10"/>
            <color rgb="FF000000"/>
            <rFont val="Arial"/>
            <family val="2"/>
            <scheme val="minor"/>
          </rPr>
          <t>converting from retail to wholesale
	-André Troost</t>
        </r>
      </text>
    </comment>
    <comment ref="M25" authorId="0" shapeId="0" xr:uid="{00000000-0006-0000-0100-000002000000}">
      <text>
        <r>
          <rPr>
            <sz val="10"/>
            <color rgb="FF000000"/>
            <rFont val="Arial"/>
            <family val="2"/>
            <scheme val="minor"/>
          </rPr>
          <t>Source: Thomas Mupetesi
FAOstat - Producer prices 2018 states a value of 0.39 USD/kg
	-André Troost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12" authorId="0" shapeId="0" xr:uid="{00000000-0006-0000-0200-000002000000}">
      <text>
        <r>
          <rPr>
            <sz val="10"/>
            <color rgb="FF000000"/>
            <rFont val="Arial"/>
            <family val="2"/>
          </rPr>
          <t xml:space="preserve">Assumes 2 trips per week for half of the year (i.e. 48 trips) and 100km to market and back
</t>
        </r>
        <r>
          <rPr>
            <sz val="10"/>
            <color rgb="FF000000"/>
            <rFont val="Arial"/>
            <family val="2"/>
          </rPr>
          <t xml:space="preserve">	-André Troost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B15" authorId="0" shapeId="0" xr:uid="{00000000-0006-0000-0400-000009000000}">
      <text>
        <r>
          <rPr>
            <sz val="10"/>
            <color rgb="FF000000"/>
            <rFont val="Arial"/>
            <family val="2"/>
          </rPr>
          <t xml:space="preserve">According to crop calendar: 2 seasons of maize production which have 3 and 4 months of growing stages.
</t>
        </r>
        <r>
          <rPr>
            <sz val="10"/>
            <color rgb="FF000000"/>
            <rFont val="Arial"/>
            <family val="2"/>
          </rPr>
          <t xml:space="preserve">	-André Troost</t>
        </r>
      </text>
    </comment>
    <comment ref="C15" authorId="0" shapeId="0" xr:uid="{00000000-0006-0000-0400-000008000000}">
      <text>
        <r>
          <rPr>
            <sz val="10"/>
            <color rgb="FF000000"/>
            <rFont val="Arial"/>
            <family val="2"/>
          </rPr>
          <t xml:space="preserve">According to crop calendar: harvest is done after 12-18 months of planting (growing season of 12-18 months). It is assumed that water from irrigation is required all year long.
</t>
        </r>
        <r>
          <rPr>
            <sz val="10"/>
            <color rgb="FF000000"/>
            <rFont val="Arial"/>
            <family val="2"/>
          </rPr>
          <t xml:space="preserve">	-André Troost</t>
        </r>
      </text>
    </comment>
    <comment ref="D15" authorId="0" shapeId="0" xr:uid="{00000000-0006-0000-0400-000007000000}">
      <text>
        <r>
          <rPr>
            <sz val="10"/>
            <color rgb="FF000000"/>
            <rFont val="Arial"/>
            <family val="2"/>
          </rPr>
          <t xml:space="preserve">According to crop calendar: 2 seasons of rice production which have 2 and 2 months of growing stages.
</t>
        </r>
        <r>
          <rPr>
            <sz val="10"/>
            <color rgb="FF000000"/>
            <rFont val="Arial"/>
            <family val="2"/>
          </rPr>
          <t xml:space="preserve">	-André Troost</t>
        </r>
      </text>
    </comment>
    <comment ref="B16" authorId="0" shapeId="0" xr:uid="{00000000-0006-0000-0400-000006000000}">
      <text>
        <r>
          <rPr>
            <sz val="10"/>
            <color rgb="FF000000"/>
            <rFont val="Arial"/>
            <family val="2"/>
          </rPr>
          <t xml:space="preserve">3 months maize + 3 months tomato
</t>
        </r>
        <r>
          <rPr>
            <sz val="10"/>
            <color rgb="FF000000"/>
            <rFont val="Arial"/>
            <family val="2"/>
          </rPr>
          <t xml:space="preserve">	-André Troost
</t>
        </r>
        <r>
          <rPr>
            <sz val="10"/>
            <color rgb="FF000000"/>
            <rFont val="Arial"/>
            <family val="2"/>
          </rPr>
          <t xml:space="preserve">Tomato growing stage is 60-90 days long
</t>
        </r>
        <r>
          <rPr>
            <sz val="10"/>
            <color rgb="FF000000"/>
            <rFont val="Arial"/>
            <family val="2"/>
          </rPr>
          <t xml:space="preserve">	-André Troost</t>
        </r>
      </text>
    </comment>
    <comment ref="C16" authorId="0" shapeId="0" xr:uid="{00000000-0006-0000-0400-000005000000}">
      <text>
        <r>
          <rPr>
            <sz val="10"/>
            <color rgb="FF000000"/>
            <rFont val="Arial"/>
            <family val="2"/>
          </rPr>
          <t xml:space="preserve">No tomato
</t>
        </r>
        <r>
          <rPr>
            <sz val="10"/>
            <color rgb="FF000000"/>
            <rFont val="Arial"/>
            <family val="2"/>
          </rPr>
          <t xml:space="preserve">	-André Troost</t>
        </r>
      </text>
    </comment>
    <comment ref="D16" authorId="0" shapeId="0" xr:uid="{00000000-0006-0000-0400-000004000000}">
      <text>
        <r>
          <rPr>
            <sz val="10"/>
            <color rgb="FF000000"/>
            <rFont val="Arial"/>
            <family val="2"/>
          </rPr>
          <t xml:space="preserve">2 months rice + 3 months tomato
</t>
        </r>
        <r>
          <rPr>
            <sz val="10"/>
            <color rgb="FF000000"/>
            <rFont val="Arial"/>
            <family val="2"/>
          </rPr>
          <t xml:space="preserve">	-André Troost
</t>
        </r>
        <r>
          <rPr>
            <sz val="10"/>
            <color rgb="FF000000"/>
            <rFont val="Arial"/>
            <family val="2"/>
          </rPr>
          <t xml:space="preserve">Tomato growing stage is 60-90 days long
</t>
        </r>
        <r>
          <rPr>
            <sz val="10"/>
            <color rgb="FF000000"/>
            <rFont val="Arial"/>
            <family val="2"/>
          </rPr>
          <t xml:space="preserve">	-André Troost</t>
        </r>
      </text>
    </comment>
    <comment ref="A19" authorId="0" shapeId="0" xr:uid="{00000000-0006-0000-0400-000003000000}">
      <text>
        <r>
          <rPr>
            <sz val="10"/>
            <color rgb="FF000000"/>
            <rFont val="Arial"/>
            <family val="2"/>
            <scheme val="minor"/>
          </rPr>
          <t>This data is annual, but can be regarded as seasonal because it speaks to rainfed agriculture, which is one season per year
	-André Troost</t>
        </r>
      </text>
    </comment>
    <comment ref="B19" authorId="0" shapeId="0" xr:uid="{00000000-0006-0000-0400-00000E000000}">
      <text>
        <r>
          <rPr>
            <sz val="10"/>
            <color rgb="FF000000"/>
            <rFont val="Arial"/>
            <family val="2"/>
          </rPr>
          <t xml:space="preserve">SPAM Data
</t>
        </r>
        <r>
          <rPr>
            <sz val="10"/>
            <color rgb="FF000000"/>
            <rFont val="Arial"/>
            <family val="2"/>
          </rPr>
          <t xml:space="preserve">	-André Troost</t>
        </r>
      </text>
    </comment>
    <comment ref="C19" authorId="0" shapeId="0" xr:uid="{00000000-0006-0000-0400-00000D000000}">
      <text>
        <r>
          <rPr>
            <sz val="10"/>
            <color rgb="FF000000"/>
            <rFont val="Arial"/>
            <family val="2"/>
            <scheme val="minor"/>
          </rPr>
          <t>SPAM Data
	-André Troost</t>
        </r>
      </text>
    </comment>
    <comment ref="B21" authorId="0" shapeId="0" xr:uid="{00000000-0006-0000-0400-000014000000}">
      <text>
        <r>
          <rPr>
            <sz val="10"/>
            <color rgb="FF000000"/>
            <rFont val="Arial"/>
            <family val="2"/>
            <scheme val="minor"/>
          </rPr>
          <t>https://www.yieldgap.org/gygaviewer/index.html. Selected Indonesia data because no data for nigeria
	-André Troost</t>
        </r>
      </text>
    </comment>
    <comment ref="C21" authorId="0" shapeId="0" xr:uid="{00000000-0006-0000-0400-000013000000}">
      <text>
        <r>
          <rPr>
            <sz val="10"/>
            <color rgb="FF000000"/>
            <rFont val="Arial"/>
            <family val="2"/>
          </rPr>
          <t xml:space="preserve">https://www.yieldgap.org/gygaviewer/index.html
</t>
        </r>
        <r>
          <rPr>
            <sz val="10"/>
            <color rgb="FF000000"/>
            <rFont val="Arial"/>
            <family val="2"/>
          </rPr>
          <t xml:space="preserve">	-André Troost</t>
        </r>
      </text>
    </comment>
    <comment ref="D21" authorId="0" shapeId="0" xr:uid="{00000000-0006-0000-0400-000011000000}">
      <text>
        <r>
          <rPr>
            <sz val="10"/>
            <color rgb="FF000000"/>
            <rFont val="Arial"/>
            <family val="2"/>
          </rPr>
          <t xml:space="preserve">https://www.researchgate.net/publication/315773421_EFFECT_OF_SUPPLEMENTAL_IRRIGATION_ON_GROWTH_DEVELOPMENT_AND_YIELD_OF_CASSAVA_UNDER_DRIP_IRRIGATION_SYSTEM_IN_AKURE_ONDO_STATE_NIGERIA
</t>
        </r>
        <r>
          <rPr>
            <sz val="10"/>
            <color rgb="FF000000"/>
            <rFont val="Arial"/>
            <family val="2"/>
          </rPr>
          <t xml:space="preserve">	-André Troost</t>
        </r>
      </text>
    </comment>
    <comment ref="B22" authorId="0" shapeId="0" xr:uid="{00000000-0006-0000-0400-00000F000000}">
      <text>
        <r>
          <rPr>
            <sz val="10"/>
            <color rgb="FF000000"/>
            <rFont val="Arial"/>
            <family val="2"/>
            <scheme val="minor"/>
          </rPr>
          <t>https://www.yieldgap.org/gygaviewer/index.html. Selected Indonesia data because no data for nigeria
	-André Troost</t>
        </r>
      </text>
    </comment>
    <comment ref="C22" authorId="0" shapeId="0" xr:uid="{00000000-0006-0000-0400-000010000000}">
      <text>
        <r>
          <rPr>
            <sz val="10"/>
            <color rgb="FF000000"/>
            <rFont val="Arial"/>
            <family val="2"/>
            <scheme val="minor"/>
          </rPr>
          <t>https://www.yieldgap.org/gygaviewer/index.html
	-André Troost</t>
        </r>
      </text>
    </comment>
    <comment ref="D22" authorId="0" shapeId="0" xr:uid="{00000000-0006-0000-0400-000012000000}">
      <text>
        <r>
          <rPr>
            <sz val="10"/>
            <color rgb="FF000000"/>
            <rFont val="Arial"/>
            <family val="2"/>
            <scheme val="minor"/>
          </rPr>
          <t>https://wiredspace.wits.ac.za/items/7772d4f9-6e29-432d-986b-fb46eee7b699
	-André Troost
https://www.researchgate.net/publication/315773421_EFFECT_OF_SUPPLEMENTAL_IRRIGATION_ON_GROWTH_DEVELOPMENT_AND_YIELD_OF_CASSAVA_UNDER_DRIP_IRRIGATION_SYSTEM_IN_AKURE_ONDO_STATE_NIGERIA
	-André Troost</t>
        </r>
      </text>
    </comment>
    <comment ref="B25" authorId="0" shapeId="0" xr:uid="{00000000-0006-0000-0400-00000C000000}">
      <text>
        <r>
          <rPr>
            <sz val="10"/>
            <color rgb="FF000000"/>
            <rFont val="Arial"/>
            <family val="2"/>
          </rPr>
          <t xml:space="preserve">Calculated using escalation factors form Gygaviewer data (SPAM does not have irrigation data)
</t>
        </r>
        <r>
          <rPr>
            <sz val="10"/>
            <color rgb="FF000000"/>
            <rFont val="Arial"/>
            <family val="2"/>
          </rPr>
          <t xml:space="preserve">	-André Troost</t>
        </r>
      </text>
    </comment>
    <comment ref="C25" authorId="0" shapeId="0" xr:uid="{00000000-0006-0000-0400-00000B000000}">
      <text>
        <r>
          <rPr>
            <sz val="10"/>
            <color rgb="FF000000"/>
            <rFont val="Arial"/>
            <family val="2"/>
          </rPr>
          <t xml:space="preserve">Calculated using escalation factors form Gygaviewer data (SPAM does not have irrigation data)
</t>
        </r>
        <r>
          <rPr>
            <sz val="10"/>
            <color rgb="FF000000"/>
            <rFont val="Arial"/>
            <family val="2"/>
          </rPr>
          <t xml:space="preserve">	-André Troost</t>
        </r>
      </text>
    </comment>
    <comment ref="B26" authorId="0" shapeId="0" xr:uid="{00000000-0006-0000-0400-00000A000000}">
      <text>
        <r>
          <rPr>
            <sz val="10"/>
            <color rgb="FF000000"/>
            <rFont val="Arial"/>
            <family val="2"/>
            <scheme val="minor"/>
          </rPr>
          <t>50kg basket at N5000 in low season (Nov-Feb) going to N20000 in high season (Apr-Sep) https://veggiegrow.ng/tomato-farming-in-nigeria/
	-André Troost
----
Average between 5 tn/ha and 12.5 tn/ha, take from different sources:
5 tn/ha per season: https://agri-logic.nl/wp-content/uploads/2021/05/Annex-D-Scoping-report.pdf
12.5 tn/ha per season: https://veggiegrow.ng/tomato-farming-in-nigeria/
	-André Troost</t>
        </r>
      </text>
    </comment>
    <comment ref="B45" authorId="0" shapeId="0" xr:uid="{00000000-0006-0000-0400-000002000000}">
      <text>
        <r>
          <rPr>
            <sz val="10"/>
            <color rgb="FF000000"/>
            <rFont val="Arial"/>
            <family val="2"/>
          </rPr>
          <t xml:space="preserve">Average between 5 tn/ha and 12.5 tn/ha, take from different sources:
</t>
        </r>
        <r>
          <rPr>
            <sz val="10"/>
            <color rgb="FF000000"/>
            <rFont val="Arial"/>
            <family val="2"/>
          </rPr>
          <t xml:space="preserve">
</t>
        </r>
        <r>
          <rPr>
            <sz val="10"/>
            <color rgb="FF000000"/>
            <rFont val="Arial"/>
            <family val="2"/>
          </rPr>
          <t xml:space="preserve">5 tn/ha per season: https://agri-logic.nl/wp-content/uploads/2021/05/Annex-D-Scoping-report.pdf
</t>
        </r>
        <r>
          <rPr>
            <sz val="10"/>
            <color rgb="FF000000"/>
            <rFont val="Arial"/>
            <family val="2"/>
          </rPr>
          <t xml:space="preserve">
</t>
        </r>
        <r>
          <rPr>
            <sz val="10"/>
            <color rgb="FF000000"/>
            <rFont val="Arial"/>
            <family val="2"/>
          </rPr>
          <t xml:space="preserve">12.5 tn/ha per season: https://veggiegrow.ng/tomato-farming-in-nigeria/
</t>
        </r>
        <r>
          <rPr>
            <sz val="10"/>
            <color rgb="FF000000"/>
            <rFont val="Arial"/>
            <family val="2"/>
          </rPr>
          <t xml:space="preserve">	-André Troost</t>
        </r>
      </text>
    </comment>
    <comment ref="B46" authorId="0" shapeId="0" xr:uid="{00000000-0006-0000-0400-000001000000}">
      <text>
        <r>
          <rPr>
            <sz val="10"/>
            <color rgb="FF000000"/>
            <rFont val="Arial"/>
            <family val="2"/>
          </rPr>
          <t xml:space="preserve">50kg basket at N5000 in low season (Nov-Feb) going to N20000 in high season (Apr-Sep) https://veggiegrow.ng/tomato-farming-in-nigeria/
</t>
        </r>
        <r>
          <rPr>
            <sz val="10"/>
            <color rgb="FF000000"/>
            <rFont val="Arial"/>
            <family val="2"/>
          </rPr>
          <t xml:space="preserve">	-André Troost</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B15" authorId="0" shapeId="0" xr:uid="{00000000-0006-0000-0500-00000B000000}">
      <text>
        <r>
          <rPr>
            <sz val="10"/>
            <color rgb="FF000000"/>
            <rFont val="Arial"/>
            <family val="2"/>
          </rPr>
          <t xml:space="preserve">According to crop calendar: 2 seasons of maize production which have 2 and 2 months of growing stages.
</t>
        </r>
        <r>
          <rPr>
            <sz val="10"/>
            <color rgb="FF000000"/>
            <rFont val="Arial"/>
            <family val="2"/>
          </rPr>
          <t xml:space="preserve">	-André Troost</t>
        </r>
      </text>
    </comment>
    <comment ref="C15" authorId="0" shapeId="0" xr:uid="{00000000-0006-0000-0500-00000A000000}">
      <text>
        <r>
          <rPr>
            <sz val="10"/>
            <color rgb="FF000000"/>
            <rFont val="Arial"/>
            <family val="2"/>
            <scheme val="minor"/>
          </rPr>
          <t>According to crop calendar: harvest is done after 16 months of planting (growing season of 16 months). It is assumed that water from irrigation is required all year long.
	-André Troost</t>
        </r>
      </text>
    </comment>
    <comment ref="D15" authorId="0" shapeId="0" xr:uid="{00000000-0006-0000-0500-000009000000}">
      <text>
        <r>
          <rPr>
            <sz val="10"/>
            <color rgb="FF000000"/>
            <rFont val="Arial"/>
            <family val="2"/>
            <scheme val="minor"/>
          </rPr>
          <t>According to crop calendar: 2 seasons of beans production which have 1 and 1 months of growing stages.
	-André Troost</t>
        </r>
      </text>
    </comment>
    <comment ref="B16" authorId="0" shapeId="0" xr:uid="{00000000-0006-0000-0500-000008000000}">
      <text>
        <r>
          <rPr>
            <sz val="10"/>
            <color rgb="FF000000"/>
            <rFont val="Arial"/>
            <family val="2"/>
            <scheme val="minor"/>
          </rPr>
          <t>2 months maize + 2 months tomato
	-André Troost
Tomato growing stage is 60 days
	-André Troost</t>
        </r>
      </text>
    </comment>
    <comment ref="C16" authorId="0" shapeId="0" xr:uid="{00000000-0006-0000-0500-000007000000}">
      <text>
        <r>
          <rPr>
            <sz val="10"/>
            <color rgb="FF000000"/>
            <rFont val="Arial"/>
            <family val="2"/>
            <scheme val="minor"/>
          </rPr>
          <t>No tomato
	-André Troost</t>
        </r>
      </text>
    </comment>
    <comment ref="D16" authorId="0" shapeId="0" xr:uid="{00000000-0006-0000-0500-000006000000}">
      <text>
        <r>
          <rPr>
            <sz val="10"/>
            <color rgb="FF000000"/>
            <rFont val="Arial"/>
            <family val="2"/>
            <scheme val="minor"/>
          </rPr>
          <t>1 month beans + 2 months tomato
	-André Troost
Tomato growing stage is 60 days
	-André Troost</t>
        </r>
      </text>
    </comment>
    <comment ref="A19" authorId="0" shapeId="0" xr:uid="{00000000-0006-0000-0500-00000C000000}">
      <text>
        <r>
          <rPr>
            <sz val="10"/>
            <color rgb="FF000000"/>
            <rFont val="Arial"/>
            <family val="2"/>
            <scheme val="minor"/>
          </rPr>
          <t>This data is annual, but can be regarded as seasonal because it speaks to rainfed agriculture, which is one season per year
	-André Troost</t>
        </r>
      </text>
    </comment>
    <comment ref="B21" authorId="0" shapeId="0" xr:uid="{00000000-0006-0000-0500-000004000000}">
      <text>
        <r>
          <rPr>
            <sz val="10"/>
            <color rgb="FF000000"/>
            <rFont val="Arial"/>
            <family val="2"/>
            <scheme val="minor"/>
          </rPr>
          <t>https://www.yieldgap.org/gygaviewer/index.html. Selected Indonesia data because no data for rwanda
	-André Troost</t>
        </r>
      </text>
    </comment>
    <comment ref="C21" authorId="0" shapeId="0" xr:uid="{00000000-0006-0000-0500-000002000000}">
      <text>
        <r>
          <rPr>
            <sz val="10"/>
            <color rgb="FF000000"/>
            <rFont val="Arial"/>
            <family val="2"/>
            <scheme val="minor"/>
          </rPr>
          <t>https://www.yieldgap.org/gygaviewer/index.html selected nigeria data because no data for rwanda
	-André Troost</t>
        </r>
      </text>
    </comment>
    <comment ref="D21" authorId="0" shapeId="0" xr:uid="{00000000-0006-0000-0500-00000D000000}">
      <text>
        <r>
          <rPr>
            <sz val="10"/>
            <color rgb="FF000000"/>
            <rFont val="Arial"/>
            <family val="2"/>
            <scheme val="minor"/>
          </rPr>
          <t>https://www.scielo.br/j/rbeaa/a/rhKbzzLRHgmswvVsrZ3pNJM/?format=pdf&amp;lang=en
	-André Troost
Data from Brazil, no data for Rwanda
	-André Troost</t>
        </r>
      </text>
    </comment>
    <comment ref="B22" authorId="0" shapeId="0" xr:uid="{00000000-0006-0000-0500-000003000000}">
      <text>
        <r>
          <rPr>
            <sz val="10"/>
            <color rgb="FF000000"/>
            <rFont val="Arial"/>
            <family val="2"/>
            <scheme val="minor"/>
          </rPr>
          <t>https://www.yieldgap.org/gygaviewer/index.html. Selected Indonesia data because no data for rwanda
	-André Troost</t>
        </r>
      </text>
    </comment>
    <comment ref="C22" authorId="0" shapeId="0" xr:uid="{00000000-0006-0000-0500-000001000000}">
      <text>
        <r>
          <rPr>
            <sz val="10"/>
            <color rgb="FF000000"/>
            <rFont val="Arial"/>
            <family val="2"/>
            <scheme val="minor"/>
          </rPr>
          <t>https://www.yieldgap.org/gygaviewer/index.html selected nigeria data because no data for rwanda
	-André Troost</t>
        </r>
      </text>
    </comment>
    <comment ref="D22" authorId="0" shapeId="0" xr:uid="{00000000-0006-0000-0500-00000E000000}">
      <text>
        <r>
          <rPr>
            <sz val="10"/>
            <color rgb="FF000000"/>
            <rFont val="Arial"/>
            <family val="2"/>
            <scheme val="minor"/>
          </rPr>
          <t>https://www.sciencedirect.com/science/article/abs/pii/S0304423817304168
	-André Troost
Data from Egypt, no data for Rwanda
	-André Troost</t>
        </r>
      </text>
    </comment>
    <comment ref="B47" authorId="0" shapeId="0" xr:uid="{00000000-0006-0000-0500-000005000000}">
      <text>
        <r>
          <rPr>
            <sz val="10"/>
            <color rgb="FF000000"/>
            <rFont val="Arial"/>
            <family val="2"/>
          </rPr>
          <t xml:space="preserve">https://www.yumpu.com/en/document/read/55380329/smart-tomato-supply-chain-analysis-for-rwanda
</t>
        </r>
        <r>
          <rPr>
            <sz val="10"/>
            <color rgb="FF000000"/>
            <rFont val="Arial"/>
            <family val="2"/>
          </rPr>
          <t xml:space="preserve">	-André Troost</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B15" authorId="0" shapeId="0" xr:uid="{00000000-0006-0000-0600-00000B000000}">
      <text>
        <r>
          <rPr>
            <sz val="10"/>
            <color rgb="FF000000"/>
            <rFont val="Arial"/>
            <family val="2"/>
          </rPr>
          <t xml:space="preserve">According to crop calendar: 1 season of maize production with a growing stage of 5 months. 2 seasons of maize: 5 months each growing stage
</t>
        </r>
        <r>
          <rPr>
            <sz val="10"/>
            <color rgb="FF000000"/>
            <rFont val="Arial"/>
            <family val="2"/>
          </rPr>
          <t xml:space="preserve">	-André Troost</t>
        </r>
      </text>
    </comment>
    <comment ref="C15" authorId="0" shapeId="0" xr:uid="{00000000-0006-0000-0600-00000A000000}">
      <text>
        <r>
          <rPr>
            <sz val="10"/>
            <color rgb="FF000000"/>
            <rFont val="Arial"/>
            <family val="2"/>
            <scheme val="minor"/>
          </rPr>
          <t>Assumed as Nigeria and Rwanda since no specific crop calendar for cassava in Zambia has been found
	-André Troost</t>
        </r>
      </text>
    </comment>
    <comment ref="D15" authorId="0" shapeId="0" xr:uid="{00000000-0006-0000-0600-000009000000}">
      <text>
        <r>
          <rPr>
            <sz val="10"/>
            <color rgb="FF000000"/>
            <rFont val="Arial"/>
            <family val="2"/>
            <scheme val="minor"/>
          </rPr>
          <t>According to crop calendar: 1 season of groundnut production with 4 months of growing stage.
	-André Troost
2 seasons of groundnuts: 4 months each growing stage
	-André Troost</t>
        </r>
      </text>
    </comment>
    <comment ref="B16" authorId="0" shapeId="0" xr:uid="{00000000-0006-0000-0600-000008000000}">
      <text>
        <r>
          <rPr>
            <sz val="10"/>
            <color rgb="FF000000"/>
            <rFont val="Arial"/>
            <family val="2"/>
            <scheme val="minor"/>
          </rPr>
          <t>5 months maize + 2 months tomato
	-André Troost
Tomato growing stage is 60 days long. https://cropcalendar.apps.fao.org/#/home?id=ZM,ZW&amp;crops=0356
	-André Troost</t>
        </r>
      </text>
    </comment>
    <comment ref="C16" authorId="0" shapeId="0" xr:uid="{00000000-0006-0000-0600-000007000000}">
      <text>
        <r>
          <rPr>
            <sz val="10"/>
            <color rgb="FF000000"/>
            <rFont val="Arial"/>
            <family val="2"/>
            <scheme val="minor"/>
          </rPr>
          <t>No tomato
	-André Troost</t>
        </r>
      </text>
    </comment>
    <comment ref="D16" authorId="0" shapeId="0" xr:uid="{00000000-0006-0000-0600-000006000000}">
      <text>
        <r>
          <rPr>
            <sz val="10"/>
            <color rgb="FF000000"/>
            <rFont val="Arial"/>
            <family val="2"/>
            <scheme val="minor"/>
          </rPr>
          <t>4 months groundnuts + 2 months tomato
	-André Troost
Tomato growing stage is 60 days long. https://cropcalendar.apps.fao.org/#/home?id=ZM,ZW&amp;crops=0356
	-André Troost</t>
        </r>
      </text>
    </comment>
    <comment ref="A19" authorId="0" shapeId="0" xr:uid="{00000000-0006-0000-0600-00000C000000}">
      <text>
        <r>
          <rPr>
            <sz val="10"/>
            <color rgb="FF000000"/>
            <rFont val="Arial"/>
            <family val="2"/>
            <scheme val="minor"/>
          </rPr>
          <t>This data is annual, but can be regarded as seasonal because it speaks to rainfed agriculture, which is one season per year
	-André Troost</t>
        </r>
      </text>
    </comment>
    <comment ref="B21" authorId="0" shapeId="0" xr:uid="{00000000-0006-0000-0600-000004000000}">
      <text>
        <r>
          <rPr>
            <sz val="10"/>
            <color rgb="FF000000"/>
            <rFont val="Arial"/>
            <family val="2"/>
            <scheme val="minor"/>
          </rPr>
          <t>https://www.yieldgap.org/gygaviewer/index.html. Selected Indonesia data because no data for zambia
	-André Troost</t>
        </r>
      </text>
    </comment>
    <comment ref="C21" authorId="0" shapeId="0" xr:uid="{00000000-0006-0000-0600-000002000000}">
      <text>
        <r>
          <rPr>
            <sz val="10"/>
            <color rgb="FF000000"/>
            <rFont val="Arial"/>
            <family val="2"/>
            <scheme val="minor"/>
          </rPr>
          <t>https://www.yieldgap.org/gygaviewer/index.html selected nigeria data because no data for zambia
	-André Troost</t>
        </r>
      </text>
    </comment>
    <comment ref="D21" authorId="0" shapeId="0" xr:uid="{00000000-0006-0000-0600-00000F000000}">
      <text>
        <r>
          <rPr>
            <sz val="10"/>
            <color rgb="FF000000"/>
            <rFont val="Arial"/>
            <family val="2"/>
            <scheme val="minor"/>
          </rPr>
          <t>http://www.drss.gov.zw/index.php/faqs-on-groundnuts/295-what-are-the-main-groundnuts-varieties-in-zimbabwe
	-André Troost
ZIM data because no data for ZAM
	-André Troost</t>
        </r>
      </text>
    </comment>
    <comment ref="B22" authorId="0" shapeId="0" xr:uid="{00000000-0006-0000-0600-000003000000}">
      <text>
        <r>
          <rPr>
            <sz val="10"/>
            <color rgb="FF000000"/>
            <rFont val="Arial"/>
            <family val="2"/>
            <scheme val="minor"/>
          </rPr>
          <t>https://www.yieldgap.org/gygaviewer/index.html. Selected Indonesia data because no data for zambia
	-André Troost</t>
        </r>
      </text>
    </comment>
    <comment ref="C22" authorId="0" shapeId="0" xr:uid="{00000000-0006-0000-0600-000001000000}">
      <text>
        <r>
          <rPr>
            <sz val="10"/>
            <color rgb="FF000000"/>
            <rFont val="Arial"/>
            <family val="2"/>
            <scheme val="minor"/>
          </rPr>
          <t>https://www.yieldgap.org/gygaviewer/index.html selected nigeria data because no data for zambia
	-André Troost</t>
        </r>
      </text>
    </comment>
    <comment ref="D22" authorId="0" shapeId="0" xr:uid="{00000000-0006-0000-0600-000010000000}">
      <text>
        <r>
          <rPr>
            <sz val="10"/>
            <color rgb="FF000000"/>
            <rFont val="Arial"/>
            <family val="2"/>
            <scheme val="minor"/>
          </rPr>
          <t>ZIM data because no data for ZAM https://docplayer.net/190747963-Profitability-and-factors-affecting-groundnut-production-under-irrigation-in-zimbabwe.html
	-André Troost
https://mujaes.mak.ac.ug/wp-content/uploads/2020/01/Manzivera.pdf
	-André Troost</t>
        </r>
      </text>
    </comment>
    <comment ref="B47" authorId="0" shapeId="0" xr:uid="{00000000-0006-0000-0600-00000E000000}">
      <text>
        <r>
          <rPr>
            <sz val="10"/>
            <color rgb="FF000000"/>
            <rFont val="Arial"/>
            <family val="2"/>
          </rPr>
          <t xml:space="preserve">Minimum value from other countries - conservative case
</t>
        </r>
        <r>
          <rPr>
            <sz val="10"/>
            <color rgb="FF000000"/>
            <rFont val="Arial"/>
            <family val="2"/>
          </rPr>
          <t xml:space="preserve">	-André Troost</t>
        </r>
      </text>
    </comment>
    <comment ref="B48" authorId="0" shapeId="0" xr:uid="{00000000-0006-0000-0600-000005000000}">
      <text>
        <r>
          <rPr>
            <sz val="10"/>
            <color rgb="FF000000"/>
            <rFont val="Arial"/>
            <family val="2"/>
            <scheme val="minor"/>
          </rPr>
          <t>https://knoema.com/FAOPS2017DEC/fao-producer-price-statistics?country=1001760-zambia&amp;item=1001460-onions-dry
	-André Troost</t>
        </r>
      </text>
    </comment>
    <comment ref="B52" authorId="0" shapeId="0" xr:uid="{00000000-0006-0000-0600-00000D000000}">
      <text>
        <r>
          <rPr>
            <sz val="10"/>
            <color rgb="FF000000"/>
            <rFont val="Arial"/>
            <family val="2"/>
            <scheme val="minor"/>
          </rPr>
          <t>https://zaszambia.wordpress.com/2020/11/14/groundnut-growers-guide/#:~:text=Groundnuts%20are%20a%20good%20crop,suitable%20in%20a%20rainfed%20system.
	-André Troost</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B15" authorId="0" shapeId="0" xr:uid="{00000000-0006-0000-0700-00000C000000}">
      <text>
        <r>
          <rPr>
            <sz val="10"/>
            <color rgb="FF000000"/>
            <rFont val="Arial"/>
            <family val="2"/>
          </rPr>
          <t xml:space="preserve">According to crop calendar: 1 season of maize production with a growing stage of 4months.
</t>
        </r>
        <r>
          <rPr>
            <sz val="10"/>
            <color rgb="FF000000"/>
            <rFont val="Arial"/>
            <family val="2"/>
          </rPr>
          <t xml:space="preserve">	-André Troost
</t>
        </r>
        <r>
          <rPr>
            <sz val="10"/>
            <color rgb="FF000000"/>
            <rFont val="Arial"/>
            <family val="2"/>
          </rPr>
          <t xml:space="preserve">2 seasons maize production: 4 months each growing stage
</t>
        </r>
        <r>
          <rPr>
            <sz val="10"/>
            <color rgb="FF000000"/>
            <rFont val="Arial"/>
            <family val="2"/>
          </rPr>
          <t xml:space="preserve">	-André Troost</t>
        </r>
      </text>
    </comment>
    <comment ref="C15" authorId="0" shapeId="0" xr:uid="{00000000-0006-0000-0700-00000B000000}">
      <text>
        <r>
          <rPr>
            <sz val="10"/>
            <color rgb="FF000000"/>
            <rFont val="Arial"/>
            <family val="2"/>
            <scheme val="minor"/>
          </rPr>
          <t>According to crop calendar: 1 season of groudnut production with a growing stage of 5 months.
	-André Troost
2 seasons groundnuts production: 5 months each growing stage
	-André Troost</t>
        </r>
      </text>
    </comment>
    <comment ref="D15" authorId="0" shapeId="0" xr:uid="{00000000-0006-0000-0700-00000A000000}">
      <text>
        <r>
          <rPr>
            <sz val="10"/>
            <color rgb="FF000000"/>
            <rFont val="Arial"/>
            <family val="2"/>
            <scheme val="minor"/>
          </rPr>
          <t>According to crop calendar: 1 season of sorghum production with a growing stage of 4 months.
	-André Troost
2 seasons sorghum production: 4 months each growing stage
	-André Troost</t>
        </r>
      </text>
    </comment>
    <comment ref="B16" authorId="0" shapeId="0" xr:uid="{00000000-0006-0000-0700-000009000000}">
      <text>
        <r>
          <rPr>
            <sz val="10"/>
            <color rgb="FF000000"/>
            <rFont val="Arial"/>
            <family val="2"/>
            <scheme val="minor"/>
          </rPr>
          <t>4 months maize + 3 months tomato
	-André Troost</t>
        </r>
      </text>
    </comment>
    <comment ref="C16" authorId="0" shapeId="0" xr:uid="{00000000-0006-0000-0700-000008000000}">
      <text>
        <r>
          <rPr>
            <sz val="10"/>
            <color rgb="FF000000"/>
            <rFont val="Arial"/>
            <family val="2"/>
            <scheme val="minor"/>
          </rPr>
          <t>5 months groundnuts + 3 months tomato
	-André Troost</t>
        </r>
      </text>
    </comment>
    <comment ref="D16" authorId="0" shapeId="0" xr:uid="{00000000-0006-0000-0700-000007000000}">
      <text>
        <r>
          <rPr>
            <sz val="10"/>
            <color rgb="FF000000"/>
            <rFont val="Arial"/>
            <family val="2"/>
            <scheme val="minor"/>
          </rPr>
          <t>4 months sorghum + 3 months tomato
	-André Troost</t>
        </r>
      </text>
    </comment>
    <comment ref="A19" authorId="0" shapeId="0" xr:uid="{00000000-0006-0000-0700-00000D000000}">
      <text>
        <r>
          <rPr>
            <sz val="10"/>
            <color rgb="FF000000"/>
            <rFont val="Arial"/>
            <family val="2"/>
            <scheme val="minor"/>
          </rPr>
          <t>This data is annual, but can be regarded as seasonal because it speaks to rainfed agriculture, which is one season per year
	-André Troost</t>
        </r>
      </text>
    </comment>
    <comment ref="B21" authorId="0" shapeId="0" xr:uid="{00000000-0006-0000-0700-000005000000}">
      <text>
        <r>
          <rPr>
            <sz val="10"/>
            <color rgb="FF000000"/>
            <rFont val="Arial"/>
            <family val="2"/>
            <scheme val="minor"/>
          </rPr>
          <t>https://www.yieldgap.org/gygaviewer/index.html. Selected Indonesia data because no data for zimbabwe
	-André Troost</t>
        </r>
      </text>
    </comment>
    <comment ref="C21" authorId="0" shapeId="0" xr:uid="{00000000-0006-0000-0700-000003000000}">
      <text>
        <r>
          <rPr>
            <sz val="10"/>
            <color rgb="FF000000"/>
            <rFont val="Arial"/>
            <family val="2"/>
            <scheme val="minor"/>
          </rPr>
          <t>http://www.drss.gov.zw/index.php/faqs-on-groundnuts/295-what-are-the-main-groundnuts-varieties-in-zimbabwe
	-André Troost</t>
        </r>
      </text>
    </comment>
    <comment ref="D21" authorId="0" shapeId="0" xr:uid="{00000000-0006-0000-0700-00000F000000}">
      <text>
        <r>
          <rPr>
            <sz val="10"/>
            <color rgb="FF000000"/>
            <rFont val="Arial"/>
            <family val="2"/>
            <scheme val="minor"/>
          </rPr>
          <t>https://www.yieldgap.org/gygaviewer/index.html
	-André Troost</t>
        </r>
      </text>
    </comment>
    <comment ref="B22" authorId="0" shapeId="0" xr:uid="{00000000-0006-0000-0700-000004000000}">
      <text>
        <r>
          <rPr>
            <sz val="10"/>
            <color rgb="FF000000"/>
            <rFont val="Arial"/>
            <family val="2"/>
            <scheme val="minor"/>
          </rPr>
          <t>https://www.yieldgap.org/gygaviewer/index.html. Selected Indonesia data because no data for zimbabwe
	-André Troost</t>
        </r>
      </text>
    </comment>
    <comment ref="C22" authorId="0" shapeId="0" xr:uid="{00000000-0006-0000-0700-000002000000}">
      <text>
        <r>
          <rPr>
            <sz val="10"/>
            <color rgb="FF000000"/>
            <rFont val="Arial"/>
            <family val="2"/>
            <scheme val="minor"/>
          </rPr>
          <t>https://docplayer.net/190747963-Profitability-and-factors-affecting-groundnut-production-under-irrigation-in-zimbabwe.html
	-André Troost
https://mujaes.mak.ac.ug/wp-content/uploads/2020/01/Manzivera.pdf
	-André Troost</t>
        </r>
      </text>
    </comment>
    <comment ref="B27" authorId="0" shapeId="0" xr:uid="{00000000-0006-0000-0700-00000E000000}">
      <text>
        <r>
          <rPr>
            <sz val="10"/>
            <color rgb="FF000000"/>
            <rFont val="Arial"/>
            <family val="2"/>
            <scheme val="minor"/>
          </rPr>
          <t>Current yield: 6.5 t/ha
Potential yield with best practices: 17 t/ha
https://pdf.usaid.gov/pdf_docs/PA00TBXT.pdf
	-André Troost</t>
        </r>
      </text>
    </comment>
    <comment ref="B46" authorId="0" shapeId="0" xr:uid="{00000000-0006-0000-0700-000006000000}">
      <text>
        <r>
          <rPr>
            <sz val="10"/>
            <color rgb="FF000000"/>
            <rFont val="Arial"/>
            <family val="2"/>
          </rPr>
          <t xml:space="preserve">Current yield: 6.5 t/ha
</t>
        </r>
        <r>
          <rPr>
            <sz val="10"/>
            <color rgb="FF000000"/>
            <rFont val="Arial"/>
            <family val="2"/>
          </rPr>
          <t xml:space="preserve">Potential yield with best practices: 17 t/ha
</t>
        </r>
        <r>
          <rPr>
            <sz val="10"/>
            <color rgb="FF000000"/>
            <rFont val="Arial"/>
            <family val="2"/>
          </rPr>
          <t xml:space="preserve">https://pdf.usaid.gov/pdf_docs/PA00TBXT.pdf
</t>
        </r>
        <r>
          <rPr>
            <sz val="10"/>
            <color rgb="FF000000"/>
            <rFont val="Arial"/>
            <family val="2"/>
          </rPr>
          <t xml:space="preserve">	-André Troost</t>
        </r>
      </text>
    </comment>
    <comment ref="B47" authorId="0" shapeId="0" xr:uid="{00000000-0006-0000-0700-000001000000}">
      <text>
        <r>
          <rPr>
            <sz val="10"/>
            <color rgb="FF000000"/>
            <rFont val="Arial"/>
            <family val="2"/>
            <scheme val="minor"/>
          </rPr>
          <t>Low season: 0.2-0.25 USD/kg
High season: 0.5-0.6 USD/kg
https://allafrica.com/stories/202102190712.html
	-André Troost</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<sst xmlns="http://schemas.openxmlformats.org/spreadsheetml/2006/main" count="765" uniqueCount="229">
  <si>
    <t xml:space="preserve">Insert staple crop 1 below: </t>
  </si>
  <si>
    <t xml:space="preserve">Insert staple crop 2 below: </t>
  </si>
  <si>
    <t xml:space="preserve">Insert staple crop 3 below: </t>
  </si>
  <si>
    <t xml:space="preserve">Insert horticulture crop below: </t>
  </si>
  <si>
    <t>Nigeria</t>
  </si>
  <si>
    <t>Maize</t>
  </si>
  <si>
    <t>Cassava</t>
  </si>
  <si>
    <t>Rice</t>
  </si>
  <si>
    <t>Tomato</t>
  </si>
  <si>
    <t>Unit</t>
  </si>
  <si>
    <t>Irrigation</t>
  </si>
  <si>
    <t>Drying</t>
  </si>
  <si>
    <t>Shelling</t>
  </si>
  <si>
    <t>Milling</t>
  </si>
  <si>
    <t>Peeling</t>
  </si>
  <si>
    <t>Grating</t>
  </si>
  <si>
    <t>Chipping</t>
  </si>
  <si>
    <t>Threshing</t>
  </si>
  <si>
    <t>General questions:</t>
  </si>
  <si>
    <t>How many hours per day will the equipment be operational?</t>
  </si>
  <si>
    <t>h/day</t>
  </si>
  <si>
    <t xml:space="preserve">Across how many months per year will the equipment be used? </t>
  </si>
  <si>
    <t>months/year</t>
  </si>
  <si>
    <t>If the equipment will be connected to the grid, what is the tariff?</t>
  </si>
  <si>
    <t>USD/kWh</t>
  </si>
  <si>
    <t>If the equipment will be connected to a mini-grid, what is the tariff?</t>
  </si>
  <si>
    <t>What is the current price per litre of diesel?</t>
  </si>
  <si>
    <t>USD/L</t>
  </si>
  <si>
    <t>What is the distance from the farm to the market and back?</t>
  </si>
  <si>
    <t>km</t>
  </si>
  <si>
    <t>What is the fuel consumption of the vehicle that delivers crops to market?</t>
  </si>
  <si>
    <t>l/km</t>
  </si>
  <si>
    <t>How much do you expect to spend on maintenance per year?</t>
  </si>
  <si>
    <t>USD/year</t>
  </si>
  <si>
    <t xml:space="preserve">What is the monthly salary in USD that the equipment operator will earn? </t>
  </si>
  <si>
    <t>Irrigation-specific questions (additional inputs on irrigation sheet):</t>
  </si>
  <si>
    <t>What is the upfront cost of the relevant solar water pump?</t>
  </si>
  <si>
    <t>USD</t>
  </si>
  <si>
    <t>What the the power rating of the pump?</t>
  </si>
  <si>
    <t>kW</t>
  </si>
  <si>
    <t>Agro-processing specific questions:</t>
  </si>
  <si>
    <t>What is the upfront cost of the relevant processing machine?</t>
  </si>
  <si>
    <t>What is the maximum possible throughput that the machine can deliver?</t>
  </si>
  <si>
    <t>kg/hour</t>
  </si>
  <si>
    <t>What is the power rating of the processing machine?</t>
  </si>
  <si>
    <t>Automatic answers, feeding into results sheets:</t>
  </si>
  <si>
    <t>Capacity utilization</t>
  </si>
  <si>
    <t>%</t>
  </si>
  <si>
    <t>Operating hours</t>
  </si>
  <si>
    <t>h/year</t>
  </si>
  <si>
    <t>Portion of salary (1 worker) attributed to operation of the equipment</t>
  </si>
  <si>
    <t>Realistic machinery throughput</t>
  </si>
  <si>
    <t>kg/h</t>
  </si>
  <si>
    <t>Annual energy consumption</t>
  </si>
  <si>
    <t>kWh/year</t>
  </si>
  <si>
    <t>Power rating reverse calculation</t>
  </si>
  <si>
    <t>Insert country name below:</t>
  </si>
  <si>
    <t>Insert staple crop 1 below:</t>
  </si>
  <si>
    <t>Insert staple crop 2 below:</t>
  </si>
  <si>
    <t>Insert staple crop 3 below:</t>
  </si>
  <si>
    <t>Insert horticulture crop below:</t>
  </si>
  <si>
    <t xml:space="preserve"> Rwanda</t>
  </si>
  <si>
    <t>Beans</t>
  </si>
  <si>
    <t>User to answer questions in green :</t>
  </si>
  <si>
    <t>Dehulling</t>
  </si>
  <si>
    <t>Grinding</t>
  </si>
  <si>
    <t xml:space="preserve">Insert country name: </t>
  </si>
  <si>
    <t>Zambia</t>
  </si>
  <si>
    <t>Groundnuts</t>
  </si>
  <si>
    <t>User to answer questions in brown :</t>
  </si>
  <si>
    <t>Oil pressing</t>
  </si>
  <si>
    <t>Crushing</t>
  </si>
  <si>
    <t>Peanut butter</t>
  </si>
  <si>
    <t>CAPEX of standalone solar water pump</t>
  </si>
  <si>
    <t>What is the power rating of the pump?</t>
  </si>
  <si>
    <t xml:space="preserve"> Zimbabwe</t>
  </si>
  <si>
    <t>Sorghum</t>
  </si>
  <si>
    <t>User to answer questions in red :</t>
  </si>
  <si>
    <t>De-skinning</t>
  </si>
  <si>
    <t>Roasting</t>
  </si>
  <si>
    <t>General assumptions:</t>
  </si>
  <si>
    <t>Processing</t>
  </si>
  <si>
    <t>Utilization (days/week)</t>
  </si>
  <si>
    <t>Utilization (days/month)</t>
  </si>
  <si>
    <t>Monthly salary allocation</t>
  </si>
  <si>
    <t>USD NGN exchange rate</t>
  </si>
  <si>
    <t>USD RWF exchange rate</t>
  </si>
  <si>
    <t>USD UGX exhange rate</t>
  </si>
  <si>
    <t>USD ZMW exchange rate</t>
  </si>
  <si>
    <t>USD ZWD exchange rate</t>
  </si>
  <si>
    <t>What follows below are additional revenue generated from crop sales enabled by irrigation and processing machinery. This is expressed as a price margin in $/kg and feeds into paypack period, IRR and NPV calculations.</t>
  </si>
  <si>
    <t xml:space="preserve">Values in orange are estimated / extrapolated </t>
  </si>
  <si>
    <t>Parameter</t>
  </si>
  <si>
    <t>Crop price without activity</t>
  </si>
  <si>
    <t>USD/kg</t>
  </si>
  <si>
    <t>Crop price with activity</t>
  </si>
  <si>
    <t>Price margin</t>
  </si>
  <si>
    <t>Appendix 1: Peanut butter margin calculations:</t>
  </si>
  <si>
    <t>Peanut butter bottle 375ml</t>
  </si>
  <si>
    <t>https://zimpricecheck.com/market-intelligence/shops-hike-the-prices-of-sugar-and-peanut-butter/</t>
  </si>
  <si>
    <t>Peanut butter yield from 1kg groundnuts</t>
  </si>
  <si>
    <t>kg</t>
  </si>
  <si>
    <t>https://www.quora.com/How-many-kg-of-peanuts-give-1-kg-of-peanut-butter</t>
  </si>
  <si>
    <t>ml</t>
  </si>
  <si>
    <t>https://www.howmany.wiki/wv/How-many--ml--of--peanut+butter--in--1--kg</t>
  </si>
  <si>
    <t>Bottles peanut butter per 1kg groudnuts</t>
  </si>
  <si>
    <t>Price peanut butter</t>
  </si>
  <si>
    <t>USD/kg groundnuts</t>
  </si>
  <si>
    <t>Annual marginal revenue</t>
  </si>
  <si>
    <t>Produce sales</t>
  </si>
  <si>
    <t>Others</t>
  </si>
  <si>
    <t>Total revenues</t>
  </si>
  <si>
    <t>Annual marginal cost</t>
  </si>
  <si>
    <t>Transport cost to market</t>
  </si>
  <si>
    <t>Labour</t>
  </si>
  <si>
    <t>Maintenance</t>
  </si>
  <si>
    <t>Electricity</t>
  </si>
  <si>
    <t>Grid</t>
  </si>
  <si>
    <t>Mini-grid</t>
  </si>
  <si>
    <t>Total costs</t>
  </si>
  <si>
    <t>Annual marginal profit</t>
  </si>
  <si>
    <t>Indicators</t>
  </si>
  <si>
    <t>Upfront cost</t>
  </si>
  <si>
    <t>Payback (years)</t>
  </si>
  <si>
    <t>Payback (months)</t>
  </si>
  <si>
    <t>Value added</t>
  </si>
  <si>
    <t>Electricity source</t>
  </si>
  <si>
    <t>Standalone</t>
  </si>
  <si>
    <t>Location</t>
  </si>
  <si>
    <t>Farm</t>
  </si>
  <si>
    <t>Village</t>
  </si>
  <si>
    <t>Irrigation second season</t>
  </si>
  <si>
    <t>Crop rotation</t>
  </si>
  <si>
    <t>Year-round horticulture irrigation</t>
  </si>
  <si>
    <t>Year 0</t>
  </si>
  <si>
    <t>Year 1</t>
  </si>
  <si>
    <t>Year 2</t>
  </si>
  <si>
    <t>Year 3</t>
  </si>
  <si>
    <t>Year 4</t>
  </si>
  <si>
    <t>Year 5</t>
  </si>
  <si>
    <t>Year 6</t>
  </si>
  <si>
    <t>Year 7</t>
  </si>
  <si>
    <t>Year 8</t>
  </si>
  <si>
    <t>Year 9</t>
  </si>
  <si>
    <t>Year 10</t>
  </si>
  <si>
    <t>NPV</t>
  </si>
  <si>
    <t>IRR</t>
  </si>
  <si>
    <t>Conclusion</t>
  </si>
  <si>
    <t>Water pumping requirements (information only):</t>
  </si>
  <si>
    <t>Input category</t>
  </si>
  <si>
    <t>Source</t>
  </si>
  <si>
    <t>Notes</t>
  </si>
  <si>
    <t>Required flow rate (maize)</t>
  </si>
  <si>
    <t>m3/hour</t>
  </si>
  <si>
    <t>USAID Solar irrigation report</t>
  </si>
  <si>
    <t>Required flow rate (Cassava)</t>
  </si>
  <si>
    <t>Required flow rate (Rice)</t>
  </si>
  <si>
    <t>Brand and model name of selected pump</t>
  </si>
  <si>
    <t>Bennie Agro Surface water pump</t>
  </si>
  <si>
    <t xml:space="preserve">https://upcommons.upc.edu/bitstream/handle/2117/371758/master-thesis-matias-k-stner-msc-energy-engineering.pdf?sequence=1
</t>
  </si>
  <si>
    <t>Power rating of selected pump</t>
  </si>
  <si>
    <t>Max flow rate of selected pump</t>
  </si>
  <si>
    <t>Total head</t>
  </si>
  <si>
    <t xml:space="preserve">m </t>
  </si>
  <si>
    <r>
      <rPr>
        <sz val="10"/>
        <color rgb="FFFFFFFF"/>
        <rFont val="Arial"/>
        <family val="2"/>
      </rPr>
      <t>Calculation of</t>
    </r>
    <r>
      <rPr>
        <b/>
        <sz val="10"/>
        <color rgb="FFFFFFFF"/>
        <rFont val="Arial"/>
        <family val="2"/>
      </rPr>
      <t xml:space="preserve"> yield</t>
    </r>
    <r>
      <rPr>
        <sz val="10"/>
        <color rgb="FFFFFFFF"/>
        <rFont val="Arial"/>
        <family val="2"/>
      </rPr>
      <t xml:space="preserve"> increases in </t>
    </r>
    <r>
      <rPr>
        <b/>
        <sz val="10"/>
        <color rgb="FFFFFFFF"/>
        <rFont val="Arial"/>
        <family val="2"/>
      </rPr>
      <t>staple</t>
    </r>
    <r>
      <rPr>
        <sz val="10"/>
        <color rgb="FFFFFFFF"/>
        <rFont val="Arial"/>
        <family val="2"/>
      </rPr>
      <t xml:space="preserve"> crops as a result of irrigation (serves as an input for revenue calculations below):</t>
    </r>
  </si>
  <si>
    <t>Utilization of irrigation (h/day)</t>
  </si>
  <si>
    <t>User to input:</t>
  </si>
  <si>
    <t>Utilization of irrigation - mono-cropping (month/year)</t>
  </si>
  <si>
    <t>Utilization of irrigation - crop rotation (month/year)</t>
  </si>
  <si>
    <t>Seasons rainfed (per year)</t>
  </si>
  <si>
    <t>Seasons irrigated (per year)</t>
  </si>
  <si>
    <t>AVG yield - rainfed (kg/ha)</t>
  </si>
  <si>
    <t>Rainfed yield (tonnes per hectare)</t>
  </si>
  <si>
    <t>Irrigated yield (tonnes per hectare)</t>
  </si>
  <si>
    <t>Factors used to calculate irrigation yield from rainfed yield</t>
  </si>
  <si>
    <t>Auto-calculation:</t>
  </si>
  <si>
    <t xml:space="preserve">AVG yield  - irrigated (kg/ha) </t>
  </si>
  <si>
    <r>
      <rPr>
        <b/>
        <sz val="10"/>
        <color rgb="FFFFFFFF"/>
        <rFont val="Arial"/>
        <family val="2"/>
      </rPr>
      <t xml:space="preserve">Auto-calculation: Increased </t>
    </r>
    <r>
      <rPr>
        <b/>
        <u/>
        <sz val="10"/>
        <color rgb="FFFFFFFF"/>
        <rFont val="Arial"/>
        <family val="2"/>
      </rPr>
      <t>revenues</t>
    </r>
    <r>
      <rPr>
        <b/>
        <sz val="10"/>
        <color rgb="FFFFFFFF"/>
        <rFont val="Arial"/>
        <family val="2"/>
      </rPr>
      <t xml:space="preserve"> as a result of irrigation</t>
    </r>
    <r>
      <rPr>
        <sz val="10"/>
        <color rgb="FFFFFFFF"/>
        <rFont val="Arial"/>
        <family val="2"/>
      </rPr>
      <t xml:space="preserve">
Scenarios 1 and 2: Mono-cultivation (1 season &amp; 2 seasons, with staple crop)</t>
    </r>
  </si>
  <si>
    <t>Price rainfed</t>
  </si>
  <si>
    <t>Price irrigation</t>
  </si>
  <si>
    <t>Annual revenue rainfed only (without irrigation)</t>
  </si>
  <si>
    <t>Annual revenue with irrigation for same crop (mono-c)</t>
  </si>
  <si>
    <t>Marginal annual revenue in mono-cultivation scenario, 1 season</t>
  </si>
  <si>
    <t>Marginal annual revenue in mono-cultivation scenario, 2 seasons</t>
  </si>
  <si>
    <r>
      <rPr>
        <b/>
        <sz val="10"/>
        <color rgb="FFFFFFFF"/>
        <rFont val="Arial"/>
        <family val="2"/>
      </rPr>
      <t xml:space="preserve">Auto-calculation: Increased </t>
    </r>
    <r>
      <rPr>
        <b/>
        <u/>
        <sz val="10"/>
        <color rgb="FFFFFFFF"/>
        <rFont val="Arial"/>
        <family val="2"/>
      </rPr>
      <t>revenues</t>
    </r>
    <r>
      <rPr>
        <b/>
        <sz val="10"/>
        <color rgb="FFFFFFFF"/>
        <rFont val="Arial"/>
        <family val="2"/>
      </rPr>
      <t xml:space="preserve"> as a result of irrigation
</t>
    </r>
    <r>
      <rPr>
        <sz val="10"/>
        <color rgb="FFFFFFFF"/>
        <rFont val="Arial"/>
        <family val="2"/>
      </rPr>
      <t xml:space="preserve"> Scenario 3: Crop rotation (Dry season horticulture &amp; second season staple)</t>
    </r>
  </si>
  <si>
    <t>AVG yield - irrigated horticulture</t>
  </si>
  <si>
    <t>kg/ha</t>
  </si>
  <si>
    <t>Price irrigation horticulture</t>
  </si>
  <si>
    <t>Annual revenue irrigation (1 season horticulture, 1 season staple)</t>
  </si>
  <si>
    <t>Marginal annual revenue in crop rotation scenario</t>
  </si>
  <si>
    <r>
      <rPr>
        <b/>
        <sz val="10"/>
        <color rgb="FFFFFFFF"/>
        <rFont val="Arial"/>
        <family val="2"/>
      </rPr>
      <t xml:space="preserve">Calculation: Increased </t>
    </r>
    <r>
      <rPr>
        <b/>
        <u/>
        <sz val="10"/>
        <color rgb="FFFFFFFF"/>
        <rFont val="Arial"/>
        <family val="2"/>
      </rPr>
      <t>revenues</t>
    </r>
    <r>
      <rPr>
        <b/>
        <sz val="10"/>
        <color rgb="FFFFFFFF"/>
        <rFont val="Arial"/>
        <family val="2"/>
      </rPr>
      <t xml:space="preserve"> as a result of irrigation (user inputs needed)
</t>
    </r>
    <r>
      <rPr>
        <sz val="10"/>
        <color rgb="FFFFFFFF"/>
        <rFont val="Arial"/>
        <family val="2"/>
      </rPr>
      <t xml:space="preserve"> Scenario 4: Year-round irrigated horticulture </t>
    </r>
  </si>
  <si>
    <t>&lt;--User to input</t>
  </si>
  <si>
    <t>Annual revenue irrigation</t>
  </si>
  <si>
    <t>Marginal annual revenue</t>
  </si>
  <si>
    <t>Required flow rate (beans)</t>
  </si>
  <si>
    <t>Futurepump SF2</t>
  </si>
  <si>
    <t>Power rating</t>
  </si>
  <si>
    <r>
      <rPr>
        <sz val="10"/>
        <color rgb="FFFFFFFF"/>
        <rFont val="Arial"/>
        <family val="2"/>
      </rPr>
      <t>Calculation of</t>
    </r>
    <r>
      <rPr>
        <b/>
        <sz val="10"/>
        <color rgb="FFFFFFFF"/>
        <rFont val="Arial"/>
        <family val="2"/>
      </rPr>
      <t xml:space="preserve"> yield</t>
    </r>
    <r>
      <rPr>
        <sz val="10"/>
        <color rgb="FFFFFFFF"/>
        <rFont val="Arial"/>
        <family val="2"/>
      </rPr>
      <t xml:space="preserve"> increases in </t>
    </r>
    <r>
      <rPr>
        <b/>
        <sz val="10"/>
        <color rgb="FFFFFFFF"/>
        <rFont val="Arial"/>
        <family val="2"/>
      </rPr>
      <t>staple</t>
    </r>
    <r>
      <rPr>
        <sz val="10"/>
        <color rgb="FFFFFFFF"/>
        <rFont val="Arial"/>
        <family val="2"/>
      </rPr>
      <t xml:space="preserve"> crops as a result of irrigation (serves as an input for revenue calculations below):</t>
    </r>
  </si>
  <si>
    <t>Source SPAM</t>
  </si>
  <si>
    <t>AVG yield - irrigated (kg/ha)</t>
  </si>
  <si>
    <t>Exchange rate RWF/USD</t>
  </si>
  <si>
    <r>
      <rPr>
        <b/>
        <sz val="10"/>
        <color rgb="FFFFFFFF"/>
        <rFont val="Arial"/>
        <family val="2"/>
      </rPr>
      <t xml:space="preserve">Auto-calculation: Increased </t>
    </r>
    <r>
      <rPr>
        <b/>
        <u/>
        <sz val="10"/>
        <color rgb="FFFFFFFF"/>
        <rFont val="Arial"/>
        <family val="2"/>
      </rPr>
      <t>revenues</t>
    </r>
    <r>
      <rPr>
        <b/>
        <sz val="10"/>
        <color rgb="FFFFFFFF"/>
        <rFont val="Arial"/>
        <family val="2"/>
      </rPr>
      <t xml:space="preserve"> as a result of irrigation</t>
    </r>
    <r>
      <rPr>
        <sz val="10"/>
        <color rgb="FFFFFFFF"/>
        <rFont val="Arial"/>
        <family val="2"/>
      </rPr>
      <t xml:space="preserve">
Scenarios 1 and 2: Mono-cultivation (1 season &amp; 2 seasons, with staple crop)</t>
    </r>
  </si>
  <si>
    <r>
      <rPr>
        <b/>
        <sz val="10"/>
        <color rgb="FFFFFFFF"/>
        <rFont val="Arial"/>
        <family val="2"/>
      </rPr>
      <t xml:space="preserve">Auto-calculation: Increased </t>
    </r>
    <r>
      <rPr>
        <b/>
        <u/>
        <sz val="10"/>
        <color rgb="FFFFFFFF"/>
        <rFont val="Arial"/>
        <family val="2"/>
      </rPr>
      <t>revenues</t>
    </r>
    <r>
      <rPr>
        <b/>
        <sz val="10"/>
        <color rgb="FFFFFFFF"/>
        <rFont val="Arial"/>
        <family val="2"/>
      </rPr>
      <t xml:space="preserve"> as a result of irrigation
</t>
    </r>
    <r>
      <rPr>
        <sz val="10"/>
        <color rgb="FFFFFFFF"/>
        <rFont val="Arial"/>
        <family val="2"/>
      </rPr>
      <t xml:space="preserve"> Scenario 3: Crop rotation (Dry season horticulture &amp; second season staple)</t>
    </r>
  </si>
  <si>
    <t>Crop rotation (Dry season horticulture &amp; second season staple)</t>
  </si>
  <si>
    <r>
      <rPr>
        <b/>
        <sz val="10"/>
        <color rgb="FFFFFFFF"/>
        <rFont val="Arial"/>
        <family val="2"/>
      </rPr>
      <t xml:space="preserve">Calculation: Increased </t>
    </r>
    <r>
      <rPr>
        <b/>
        <u/>
        <sz val="10"/>
        <color rgb="FFFFFFFF"/>
        <rFont val="Arial"/>
        <family val="2"/>
      </rPr>
      <t>revenues</t>
    </r>
    <r>
      <rPr>
        <b/>
        <sz val="10"/>
        <color rgb="FFFFFFFF"/>
        <rFont val="Arial"/>
        <family val="2"/>
      </rPr>
      <t xml:space="preserve"> as a result of irrigation (user inputs needed)
</t>
    </r>
    <r>
      <rPr>
        <sz val="10"/>
        <color rgb="FFFFFFFF"/>
        <rFont val="Arial"/>
        <family val="2"/>
      </rPr>
      <t xml:space="preserve"> Scenario 4: Year-round irrigated horticulture </t>
    </r>
  </si>
  <si>
    <t>Year-round irrigated horticulture</t>
  </si>
  <si>
    <t>AVG yield - irrigated horticulture (kg/ha)</t>
  </si>
  <si>
    <t>Focus group Zambia</t>
  </si>
  <si>
    <t>Estimated from NG values</t>
  </si>
  <si>
    <t>Required flow rate (groundnuts)</t>
  </si>
  <si>
    <r>
      <rPr>
        <sz val="10"/>
        <color rgb="FFFFFFFF"/>
        <rFont val="Arial"/>
        <family val="2"/>
      </rPr>
      <t>Calculation of</t>
    </r>
    <r>
      <rPr>
        <b/>
        <sz val="10"/>
        <color rgb="FFFFFFFF"/>
        <rFont val="Arial"/>
        <family val="2"/>
      </rPr>
      <t xml:space="preserve"> yield</t>
    </r>
    <r>
      <rPr>
        <sz val="10"/>
        <color rgb="FFFFFFFF"/>
        <rFont val="Arial"/>
        <family val="2"/>
      </rPr>
      <t xml:space="preserve"> increases in </t>
    </r>
    <r>
      <rPr>
        <b/>
        <sz val="10"/>
        <color rgb="FFFFFFFF"/>
        <rFont val="Arial"/>
        <family val="2"/>
      </rPr>
      <t>staple</t>
    </r>
    <r>
      <rPr>
        <sz val="10"/>
        <color rgb="FFFFFFFF"/>
        <rFont val="Arial"/>
        <family val="2"/>
      </rPr>
      <t xml:space="preserve"> crops as a result of irrigation (serves as an input for revenue calculations below):</t>
    </r>
  </si>
  <si>
    <t xml:space="preserve"> </t>
  </si>
  <si>
    <t>Exchange rate ZMW/USD</t>
  </si>
  <si>
    <r>
      <rPr>
        <b/>
        <sz val="10"/>
        <color rgb="FFFFFFFF"/>
        <rFont val="Arial"/>
        <family val="2"/>
      </rPr>
      <t xml:space="preserve">Auto-calculation: Increased </t>
    </r>
    <r>
      <rPr>
        <b/>
        <u/>
        <sz val="10"/>
        <color rgb="FFFFFFFF"/>
        <rFont val="Arial"/>
        <family val="2"/>
      </rPr>
      <t>revenues</t>
    </r>
    <r>
      <rPr>
        <b/>
        <sz val="10"/>
        <color rgb="FFFFFFFF"/>
        <rFont val="Arial"/>
        <family val="2"/>
      </rPr>
      <t xml:space="preserve"> as a result of irrigation
</t>
    </r>
    <r>
      <rPr>
        <sz val="10"/>
        <color rgb="FFFFFFFF"/>
        <rFont val="Arial"/>
        <family val="2"/>
      </rPr>
      <t xml:space="preserve"> Scenario 3: Crop rotation (Dry season horticulture &amp; second season staple)</t>
    </r>
  </si>
  <si>
    <r>
      <rPr>
        <b/>
        <sz val="10"/>
        <color rgb="FFFFFFFF"/>
        <rFont val="Arial"/>
        <family val="2"/>
      </rPr>
      <t xml:space="preserve">Calculation: Increased </t>
    </r>
    <r>
      <rPr>
        <b/>
        <u/>
        <sz val="10"/>
        <color rgb="FFFFFFFF"/>
        <rFont val="Arial"/>
        <family val="2"/>
      </rPr>
      <t>revenues</t>
    </r>
    <r>
      <rPr>
        <b/>
        <sz val="10"/>
        <color rgb="FFFFFFFF"/>
        <rFont val="Arial"/>
        <family val="2"/>
      </rPr>
      <t xml:space="preserve"> as a result of irrigation (user inputs needed)
</t>
    </r>
    <r>
      <rPr>
        <sz val="10"/>
        <color rgb="FFFFFFFF"/>
        <rFont val="Arial"/>
        <family val="2"/>
      </rPr>
      <t xml:space="preserve"> Scenario 4: Year-round irrigated horticulture </t>
    </r>
  </si>
  <si>
    <t>Required flow rate (sorghum)</t>
  </si>
  <si>
    <t>Shinko Afrika 0.5HP DC pumpset</t>
  </si>
  <si>
    <t>https://shinkoafrika.net/solar-and-hybrid-pumpsets-packages/</t>
  </si>
  <si>
    <r>
      <rPr>
        <sz val="10"/>
        <color rgb="FFFFFFFF"/>
        <rFont val="Arial"/>
        <family val="2"/>
      </rPr>
      <t>Calculation of</t>
    </r>
    <r>
      <rPr>
        <b/>
        <sz val="10"/>
        <color rgb="FFFFFFFF"/>
        <rFont val="Arial"/>
        <family val="2"/>
      </rPr>
      <t xml:space="preserve"> yield</t>
    </r>
    <r>
      <rPr>
        <sz val="10"/>
        <color rgb="FFFFFFFF"/>
        <rFont val="Arial"/>
        <family val="2"/>
      </rPr>
      <t xml:space="preserve"> increases in </t>
    </r>
    <r>
      <rPr>
        <b/>
        <sz val="10"/>
        <color rgb="FFFFFFFF"/>
        <rFont val="Arial"/>
        <family val="2"/>
      </rPr>
      <t>staple</t>
    </r>
    <r>
      <rPr>
        <sz val="10"/>
        <color rgb="FFFFFFFF"/>
        <rFont val="Arial"/>
        <family val="2"/>
      </rPr>
      <t xml:space="preserve"> crops as a result of irrigation (serves as an input for revenue calculations below):</t>
    </r>
  </si>
  <si>
    <t>Tomato growing stage is 80 days long</t>
  </si>
  <si>
    <r>
      <rPr>
        <b/>
        <sz val="10"/>
        <color rgb="FFFFFFFF"/>
        <rFont val="Arial"/>
        <family val="2"/>
      </rPr>
      <t xml:space="preserve">Auto-calculation: Increased </t>
    </r>
    <r>
      <rPr>
        <b/>
        <u/>
        <sz val="10"/>
        <color rgb="FFFFFFFF"/>
        <rFont val="Arial"/>
        <family val="2"/>
      </rPr>
      <t>revenues</t>
    </r>
    <r>
      <rPr>
        <b/>
        <sz val="10"/>
        <color rgb="FFFFFFFF"/>
        <rFont val="Arial"/>
        <family val="2"/>
      </rPr>
      <t xml:space="preserve"> as a result of irrigation</t>
    </r>
    <r>
      <rPr>
        <sz val="10"/>
        <color rgb="FFFFFFFF"/>
        <rFont val="Arial"/>
        <family val="2"/>
      </rPr>
      <t xml:space="preserve">
Scenarios 1 and 2: Mono-cultivation (1 season &amp; 2 seasons, with staple crop)</t>
    </r>
  </si>
  <si>
    <r>
      <rPr>
        <b/>
        <sz val="10"/>
        <color rgb="FFFFFFFF"/>
        <rFont val="Arial"/>
        <family val="2"/>
      </rPr>
      <t xml:space="preserve">Auto-calculation: Increased </t>
    </r>
    <r>
      <rPr>
        <b/>
        <u/>
        <sz val="10"/>
        <color rgb="FFFFFFFF"/>
        <rFont val="Arial"/>
        <family val="2"/>
      </rPr>
      <t>revenues</t>
    </r>
    <r>
      <rPr>
        <b/>
        <sz val="10"/>
        <color rgb="FFFFFFFF"/>
        <rFont val="Arial"/>
        <family val="2"/>
      </rPr>
      <t xml:space="preserve"> as a result of irrigation
</t>
    </r>
    <r>
      <rPr>
        <sz val="10"/>
        <color rgb="FFFFFFFF"/>
        <rFont val="Arial"/>
        <family val="2"/>
      </rPr>
      <t xml:space="preserve"> Scenario 3: Crop rotation (Dry season horticulture &amp; second season staple)</t>
    </r>
  </si>
  <si>
    <r>
      <rPr>
        <b/>
        <sz val="10"/>
        <color rgb="FFFFFFFF"/>
        <rFont val="Arial"/>
        <family val="2"/>
      </rPr>
      <t xml:space="preserve">Calculation: Increased </t>
    </r>
    <r>
      <rPr>
        <b/>
        <u/>
        <sz val="10"/>
        <color rgb="FFFFFFFF"/>
        <rFont val="Arial"/>
        <family val="2"/>
      </rPr>
      <t>revenues</t>
    </r>
    <r>
      <rPr>
        <b/>
        <sz val="10"/>
        <color rgb="FFFFFFFF"/>
        <rFont val="Arial"/>
        <family val="2"/>
      </rPr>
      <t xml:space="preserve"> as a result of irrigation (user inputs needed)
</t>
    </r>
    <r>
      <rPr>
        <sz val="10"/>
        <color rgb="FFFFFFFF"/>
        <rFont val="Arial"/>
        <family val="2"/>
      </rPr>
      <t xml:space="preserve"> Scenario 4: Year-round irrigated horticulture </t>
    </r>
  </si>
  <si>
    <t>User to answer questions in blue:</t>
  </si>
  <si>
    <t>User to configure:</t>
  </si>
  <si>
    <r>
      <rPr>
        <b/>
        <sz val="11"/>
        <color rgb="FF000000"/>
        <rFont val="Arial"/>
        <family val="2"/>
        <scheme val="minor"/>
      </rPr>
      <t>Irrigation second season definitions:</t>
    </r>
    <r>
      <rPr>
        <sz val="11"/>
        <color rgb="FF000000"/>
        <rFont val="Arial"/>
        <family val="2"/>
        <scheme val="minor"/>
      </rPr>
      <t xml:space="preserve">
1. No: No second season irrigation. Thus only irrigation during rainy season
2. Mono-cultivation: Two seasons of staple crop cultivation enabled by year-round access to irrigation.
3. Crop rotation: Again year-round irrigation, but diversifying through one season with staple crop and the other with horticulture (tomato used as test case)
4. Year-round horticulture: Again year-round irrigation, but no cultivation of staple crop, only horticulture (year-round horticulture only selectable in horticulture columns - P, AB, AQ &amp; BE).</t>
    </r>
  </si>
  <si>
    <r>
      <t xml:space="preserve">Interviews &amp; </t>
    </r>
    <r>
      <rPr>
        <u/>
        <sz val="10"/>
        <color rgb="FF1155CC"/>
        <rFont val="Arial"/>
        <family val="2"/>
      </rPr>
      <t>https://futurepump.com/solar-water-pump-datasheet-sf2/</t>
    </r>
  </si>
  <si>
    <t xml:space="preserve">Access the related report here: </t>
  </si>
  <si>
    <t>https://drive.google.com/file/d/11w_tQopUCgLEaOIoq3D6GzgnnJrcwPeN/view?usp=drive_link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</si>
</sst>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
    <numFmt numFmtId="165" formatCode="[$$]#,##0.00"/>
    <numFmt numFmtId="166" formatCode="[$$]#,##0"/>
    <numFmt numFmtId="167" formatCode="0.0"/>
    <numFmt numFmtId="168" formatCode="0.0000"/>
  </numFmts>
  <fonts count="29" x14ac:knownFonts="1">
    <font>
      <sz val="10"/>
      <color rgb="FF000000"/>
      <name val="Arial"/>
      <scheme val="minor"/>
    </font>
    <font>
      <b/>
      <sz val="10"/>
      <color rgb="FFFFFFFF"/>
      <name val="Arial"/>
      <family val="2"/>
      <scheme val="minor"/>
    </font>
    <font>
      <sz val="10"/>
      <color rgb="FFFFFFFF"/>
      <name val="Arial"/>
      <family val="2"/>
      <scheme val="minor"/>
    </font>
    <font>
      <sz val="10"/>
      <name val="Arial"/>
      <family val="2"/>
    </font>
    <font>
      <b/>
      <sz val="10"/>
      <color rgb="FF000000"/>
      <name val="Arial"/>
      <family val="2"/>
      <scheme val="minor"/>
    </font>
    <font>
      <b/>
      <sz val="10"/>
      <color rgb="FF000000"/>
      <name val="Arial"/>
      <family val="2"/>
    </font>
    <font>
      <sz val="10"/>
      <color theme="1"/>
      <name val="Arial"/>
      <family val="2"/>
      <scheme val="minor"/>
    </font>
    <font>
      <sz val="10"/>
      <color rgb="FF000000"/>
      <name val="Arial"/>
      <family val="2"/>
    </font>
    <font>
      <sz val="10"/>
      <color rgb="FFE69138"/>
      <name val="Arial"/>
      <family val="2"/>
      <scheme val="minor"/>
    </font>
    <font>
      <sz val="10"/>
      <color rgb="FF000000"/>
      <name val="Arial"/>
      <family val="2"/>
      <scheme val="minor"/>
    </font>
    <font>
      <b/>
      <sz val="10"/>
      <color theme="1"/>
      <name val="Arial"/>
      <family val="2"/>
      <scheme val="minor"/>
    </font>
    <font>
      <sz val="10"/>
      <color theme="1"/>
      <name val="Arial"/>
      <family val="2"/>
    </font>
    <font>
      <b/>
      <sz val="10"/>
      <color theme="0"/>
      <name val="Arial"/>
      <family val="2"/>
      <scheme val="minor"/>
    </font>
    <font>
      <sz val="10"/>
      <color rgb="FFF6B26B"/>
      <name val="Arial"/>
      <family val="2"/>
      <scheme val="minor"/>
    </font>
    <font>
      <sz val="10"/>
      <color rgb="FFFFFFFF"/>
      <name val="Arial"/>
      <family val="2"/>
    </font>
    <font>
      <u/>
      <sz val="10"/>
      <color rgb="FF1155CC"/>
      <name val="Arial"/>
      <family val="2"/>
    </font>
    <font>
      <b/>
      <sz val="10"/>
      <color rgb="FFF8F9FA"/>
      <name val="Arial"/>
      <family val="2"/>
      <scheme val="minor"/>
    </font>
    <font>
      <i/>
      <sz val="10"/>
      <color theme="1"/>
      <name val="Arial"/>
      <family val="2"/>
      <scheme val="minor"/>
    </font>
    <font>
      <u/>
      <sz val="10"/>
      <color rgb="FF0000FF"/>
      <name val="Arial"/>
      <family val="2"/>
    </font>
    <font>
      <u/>
      <sz val="10"/>
      <color rgb="FF0000FF"/>
      <name val="Arial"/>
      <family val="2"/>
    </font>
    <font>
      <b/>
      <sz val="10"/>
      <color theme="1"/>
      <name val="Arial"/>
      <family val="2"/>
    </font>
    <font>
      <b/>
      <sz val="10"/>
      <color rgb="FFFFFFFF"/>
      <name val="Arial"/>
      <family val="2"/>
    </font>
    <font>
      <b/>
      <u/>
      <sz val="10"/>
      <color rgb="FFFFFFFF"/>
      <name val="Arial"/>
      <family val="2"/>
    </font>
    <font>
      <b/>
      <sz val="12"/>
      <color rgb="FF000000"/>
      <name val="Arial"/>
      <family val="2"/>
      <scheme val="minor"/>
    </font>
    <font>
      <sz val="11"/>
      <color rgb="FF000000"/>
      <name val="Arial"/>
      <family val="2"/>
      <scheme val="minor"/>
    </font>
    <font>
      <b/>
      <sz val="11"/>
      <color rgb="FF000000"/>
      <name val="Arial"/>
      <family val="2"/>
      <scheme val="minor"/>
    </font>
    <font>
      <u/>
      <sz val="10"/>
      <color theme="10"/>
      <name val="Arial"/>
      <family val="2"/>
      <scheme val="minor"/>
    </font>
    <font>
      <sz val="12"/>
      <color rgb="FF000000"/>
      <name val="Arial"/>
      <family val="2"/>
      <scheme val="minor"/>
    </font>
    <font>
      <u/>
      <sz val="12"/>
      <color theme="10"/>
      <name val="Arial"/>
      <family val="2"/>
      <scheme val="minor"/>
    </font>
  </fonts>
  <fills count="27">
    <fill>
      <patternFill patternType="none"/>
    </fill>
    <fill>
      <patternFill patternType="gray125"/>
    </fill>
    <fill>
      <patternFill patternType="solid">
        <fgColor rgb="FF1C4587"/>
        <bgColor rgb="FF1C4587"/>
      </patternFill>
    </fill>
    <fill>
      <patternFill patternType="solid">
        <fgColor rgb="FFFFFFFF"/>
        <bgColor rgb="FFFFFFFF"/>
      </patternFill>
    </fill>
    <fill>
      <patternFill patternType="solid">
        <fgColor rgb="FFA4C2F4"/>
        <bgColor rgb="FFA4C2F4"/>
      </patternFill>
    </fill>
    <fill>
      <patternFill patternType="solid">
        <fgColor rgb="FF999999"/>
        <bgColor rgb="FF999999"/>
      </patternFill>
    </fill>
    <fill>
      <patternFill patternType="solid">
        <fgColor rgb="FF274E13"/>
        <bgColor rgb="FF274E13"/>
      </patternFill>
    </fill>
    <fill>
      <patternFill patternType="solid">
        <fgColor rgb="FFB6D7A8"/>
        <bgColor rgb="FFB6D7A8"/>
      </patternFill>
    </fill>
    <fill>
      <patternFill patternType="solid">
        <fgColor rgb="FF7F6000"/>
        <bgColor rgb="FF7F6000"/>
      </patternFill>
    </fill>
    <fill>
      <patternFill patternType="solid">
        <fgColor rgb="FFF9CB9C"/>
        <bgColor rgb="FFF9CB9C"/>
      </patternFill>
    </fill>
    <fill>
      <patternFill patternType="solid">
        <fgColor rgb="FF5B0F00"/>
        <bgColor rgb="FF5B0F00"/>
      </patternFill>
    </fill>
    <fill>
      <patternFill patternType="solid">
        <fgColor rgb="FFE6B8AF"/>
        <bgColor rgb="FFE6B8AF"/>
      </patternFill>
    </fill>
    <fill>
      <patternFill patternType="solid">
        <fgColor rgb="FF000000"/>
        <bgColor rgb="FF000000"/>
      </patternFill>
    </fill>
    <fill>
      <patternFill patternType="solid">
        <fgColor rgb="FF073763"/>
        <bgColor rgb="FF073763"/>
      </patternFill>
    </fill>
    <fill>
      <patternFill patternType="solid">
        <fgColor rgb="FF9FC5E8"/>
        <bgColor rgb="FF9FC5E8"/>
      </patternFill>
    </fill>
    <fill>
      <patternFill patternType="solid">
        <fgColor rgb="FFCFE2F3"/>
        <bgColor rgb="FFCFE2F3"/>
      </patternFill>
    </fill>
    <fill>
      <patternFill patternType="solid">
        <fgColor rgb="FFD9EAD3"/>
        <bgColor rgb="FFD9EAD3"/>
      </patternFill>
    </fill>
    <fill>
      <patternFill patternType="solid">
        <fgColor rgb="FFFFE599"/>
        <bgColor rgb="FFFFE599"/>
      </patternFill>
    </fill>
    <fill>
      <patternFill patternType="solid">
        <fgColor rgb="FFFFF2CC"/>
        <bgColor rgb="FFFFF2CC"/>
      </patternFill>
    </fill>
    <fill>
      <patternFill patternType="solid">
        <fgColor rgb="FFDD7E6B"/>
        <bgColor rgb="FFDD7E6B"/>
      </patternFill>
    </fill>
    <fill>
      <patternFill patternType="solid">
        <fgColor rgb="FFD9D9D9"/>
        <bgColor rgb="FFD9D9D9"/>
      </patternFill>
    </fill>
    <fill>
      <patternFill patternType="solid">
        <fgColor rgb="FFCCCCCC"/>
        <bgColor rgb="FFCCCCCC"/>
      </patternFill>
    </fill>
    <fill>
      <patternFill patternType="solid">
        <fgColor theme="0"/>
        <bgColor theme="0"/>
      </patternFill>
    </fill>
    <fill>
      <patternFill patternType="solid">
        <fgColor theme="2" tint="-0.34998626667073579"/>
        <bgColor indexed="64"/>
      </patternFill>
    </fill>
    <fill>
      <patternFill patternType="solid">
        <fgColor theme="8" tint="0.79998168889431442"/>
        <bgColor indexed="64"/>
      </patternFill>
    </fill>
    <fill>
      <patternFill patternType="solid">
        <fgColor theme="5" tint="0.59999389629810485"/>
        <bgColor indexed="64"/>
      </patternFill>
    </fill>
    <fill>
      <patternFill patternType="solid">
        <fgColor theme="5" tint="0.59999389629810485"/>
        <bgColor rgb="FFF4CCCC"/>
      </patternFill>
    </fill>
  </fills>
  <borders count="18">
    <border>
      <left/>
      <right/>
      <top/>
      <bottom/>
      <diagonal/>
    </border>
    <border>
      <left/>
      <right style="medium">
        <color rgb="FF000000"/>
      </right>
      <top/>
      <bottom/>
      <diagonal/>
    </border>
    <border>
      <left/>
      <right/>
      <top/>
      <bottom style="medium">
        <color rgb="FF000000"/>
      </bottom>
      <diagonal/>
    </border>
    <border>
      <left/>
      <right style="medium">
        <color rgb="FF000000"/>
      </right>
      <top/>
      <bottom style="medium">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
      <left style="thin">
        <color rgb="FFFFFFFF"/>
      </left>
      <right style="thin">
        <color rgb="FFFFFFFF"/>
      </right>
      <top style="thin">
        <color rgb="FFFFFFFF"/>
      </top>
      <bottom style="thin">
        <color rgb="FFFFFFFF"/>
      </bottom>
      <diagonal/>
    </border>
    <border>
      <left style="thin">
        <color rgb="FF000000"/>
      </left>
      <right/>
      <top/>
      <bottom style="thin">
        <color rgb="FF000000"/>
      </bottom>
      <diagonal/>
    </border>
  </borders>
  <cellStyleXfs count="2">
    <xf numFmtId="0" fontId="0" fillId="0" borderId="0"/>
    <xf numFmtId="0" fontId="26" fillId="0" borderId="0" applyNumberFormat="0" applyFill="0" applyBorder="0" applyAlignment="0" applyProtection="0"/>
  </cellStyleXfs>
  <cellXfs count="327">
    <xf numFmtId="0" fontId="0" fillId="0" borderId="0" xfId="0"/>
    <xf numFmtId="0" fontId="6" fillId="3" borderId="0" xfId="0" applyFont="1" applyFill="1" applyAlignment="1">
      <alignment horizontal="center"/>
    </xf>
    <xf numFmtId="0" fontId="6" fillId="0" borderId="0" xfId="0" applyFont="1"/>
    <xf numFmtId="0" fontId="1" fillId="8" borderId="0" xfId="0" applyFont="1" applyFill="1" applyAlignment="1">
      <alignment horizontal="center"/>
    </xf>
    <xf numFmtId="0" fontId="1" fillId="10" borderId="0" xfId="0" applyFont="1" applyFill="1" applyAlignment="1">
      <alignment horizontal="center"/>
    </xf>
    <xf numFmtId="0" fontId="10" fillId="0" borderId="0" xfId="0" applyFont="1"/>
    <xf numFmtId="0" fontId="6" fillId="15" borderId="8" xfId="0" applyFont="1" applyFill="1" applyBorder="1" applyAlignment="1">
      <alignment horizontal="center"/>
    </xf>
    <xf numFmtId="0" fontId="6" fillId="16" borderId="8" xfId="0" applyFont="1" applyFill="1" applyBorder="1" applyAlignment="1">
      <alignment horizontal="center"/>
    </xf>
    <xf numFmtId="0" fontId="6" fillId="18" borderId="8" xfId="0" applyFont="1" applyFill="1" applyBorder="1" applyAlignment="1">
      <alignment horizontal="center"/>
    </xf>
    <xf numFmtId="0" fontId="6" fillId="11" borderId="8" xfId="0" applyFont="1" applyFill="1" applyBorder="1" applyAlignment="1">
      <alignment horizontal="center"/>
    </xf>
    <xf numFmtId="0" fontId="16" fillId="13" borderId="0" xfId="0" applyFont="1" applyFill="1" applyAlignment="1">
      <alignment horizontal="center"/>
    </xf>
    <xf numFmtId="0" fontId="12" fillId="6" borderId="0" xfId="0" applyFont="1" applyFill="1" applyAlignment="1">
      <alignment horizontal="center"/>
    </xf>
    <xf numFmtId="0" fontId="6" fillId="14" borderId="7" xfId="0" applyFont="1" applyFill="1" applyBorder="1" applyAlignment="1">
      <alignment horizontal="center"/>
    </xf>
    <xf numFmtId="0" fontId="6" fillId="7" borderId="7" xfId="0" applyFont="1" applyFill="1" applyBorder="1" applyAlignment="1">
      <alignment horizontal="center"/>
    </xf>
    <xf numFmtId="0" fontId="6" fillId="17" borderId="7" xfId="0" applyFont="1" applyFill="1" applyBorder="1" applyAlignment="1">
      <alignment horizontal="center"/>
    </xf>
    <xf numFmtId="0" fontId="6" fillId="19" borderId="0" xfId="0" applyFont="1" applyFill="1" applyAlignment="1">
      <alignment horizontal="center"/>
    </xf>
    <xf numFmtId="0" fontId="6" fillId="15" borderId="11" xfId="0" applyFont="1" applyFill="1" applyBorder="1" applyAlignment="1">
      <alignment horizontal="center"/>
    </xf>
    <xf numFmtId="166" fontId="6" fillId="0" borderId="0" xfId="0" applyNumberFormat="1" applyFont="1"/>
    <xf numFmtId="165" fontId="6" fillId="0" borderId="0" xfId="0" applyNumberFormat="1" applyFont="1"/>
    <xf numFmtId="9" fontId="6" fillId="0" borderId="0" xfId="0" applyNumberFormat="1" applyFont="1"/>
    <xf numFmtId="0" fontId="9" fillId="0" borderId="0" xfId="0" applyFont="1"/>
    <xf numFmtId="0" fontId="0" fillId="0" borderId="0" xfId="0" applyProtection="1">
      <protection locked="0"/>
    </xf>
    <xf numFmtId="0" fontId="4" fillId="3" borderId="0" xfId="0" applyFont="1" applyFill="1" applyAlignment="1" applyProtection="1">
      <alignment horizontal="center"/>
      <protection locked="0"/>
    </xf>
    <xf numFmtId="0" fontId="4" fillId="3" borderId="1" xfId="0" applyFont="1" applyFill="1" applyBorder="1" applyAlignment="1" applyProtection="1">
      <alignment horizontal="center"/>
      <protection locked="0"/>
    </xf>
    <xf numFmtId="0" fontId="6" fillId="3" borderId="0" xfId="0" applyFont="1" applyFill="1" applyAlignment="1" applyProtection="1">
      <alignment horizontal="center"/>
      <protection locked="0"/>
    </xf>
    <xf numFmtId="0" fontId="6" fillId="3" borderId="1" xfId="0" applyFont="1" applyFill="1" applyBorder="1" applyAlignment="1" applyProtection="1">
      <alignment horizontal="center"/>
      <protection locked="0"/>
    </xf>
    <xf numFmtId="0" fontId="6" fillId="4" borderId="0" xfId="0" applyFont="1" applyFill="1" applyAlignment="1" applyProtection="1">
      <alignment horizontal="center"/>
      <protection locked="0"/>
    </xf>
    <xf numFmtId="0" fontId="6" fillId="4" borderId="1" xfId="0" applyFont="1" applyFill="1" applyBorder="1" applyAlignment="1" applyProtection="1">
      <alignment horizontal="center"/>
      <protection locked="0"/>
    </xf>
    <xf numFmtId="164" fontId="6" fillId="4" borderId="0" xfId="0" applyNumberFormat="1" applyFont="1" applyFill="1" applyAlignment="1" applyProtection="1">
      <alignment horizontal="center"/>
      <protection locked="0"/>
    </xf>
    <xf numFmtId="164" fontId="6" fillId="4" borderId="1" xfId="0" applyNumberFormat="1" applyFont="1" applyFill="1" applyBorder="1" applyAlignment="1" applyProtection="1">
      <alignment horizontal="center"/>
      <protection locked="0"/>
    </xf>
    <xf numFmtId="1" fontId="6" fillId="4" borderId="0" xfId="0" applyNumberFormat="1" applyFont="1" applyFill="1" applyAlignment="1" applyProtection="1">
      <alignment horizontal="center"/>
      <protection locked="0"/>
    </xf>
    <xf numFmtId="1" fontId="6" fillId="4" borderId="1" xfId="0" applyNumberFormat="1" applyFont="1" applyFill="1" applyBorder="1" applyAlignment="1" applyProtection="1">
      <alignment horizontal="center"/>
      <protection locked="0"/>
    </xf>
    <xf numFmtId="165" fontId="6" fillId="4" borderId="0" xfId="0" applyNumberFormat="1" applyFont="1" applyFill="1" applyAlignment="1" applyProtection="1">
      <alignment horizontal="center"/>
      <protection locked="0"/>
    </xf>
    <xf numFmtId="166" fontId="6" fillId="4" borderId="0" xfId="0" applyNumberFormat="1" applyFont="1" applyFill="1" applyAlignment="1" applyProtection="1">
      <alignment horizontal="center"/>
      <protection locked="0"/>
    </xf>
    <xf numFmtId="4" fontId="6" fillId="4" borderId="0" xfId="0" applyNumberFormat="1" applyFont="1" applyFill="1" applyAlignment="1" applyProtection="1">
      <alignment horizontal="center"/>
      <protection locked="0"/>
    </xf>
    <xf numFmtId="166" fontId="6" fillId="4" borderId="1" xfId="0" applyNumberFormat="1" applyFont="1" applyFill="1" applyBorder="1" applyAlignment="1" applyProtection="1">
      <alignment horizontal="center"/>
      <protection locked="0"/>
    </xf>
    <xf numFmtId="3" fontId="6" fillId="4" borderId="0" xfId="0" applyNumberFormat="1" applyFont="1" applyFill="1" applyAlignment="1" applyProtection="1">
      <alignment horizontal="center"/>
      <protection locked="0"/>
    </xf>
    <xf numFmtId="3" fontId="6" fillId="4" borderId="1" xfId="0" applyNumberFormat="1" applyFont="1" applyFill="1" applyBorder="1" applyAlignment="1" applyProtection="1">
      <alignment horizontal="center"/>
      <protection locked="0"/>
    </xf>
    <xf numFmtId="4" fontId="6" fillId="4" borderId="1" xfId="0" applyNumberFormat="1" applyFont="1" applyFill="1" applyBorder="1" applyAlignment="1" applyProtection="1">
      <alignment horizontal="center"/>
      <protection locked="0"/>
    </xf>
    <xf numFmtId="0" fontId="6" fillId="0" borderId="0" xfId="0" applyFont="1" applyAlignment="1" applyProtection="1">
      <alignment horizontal="center"/>
      <protection locked="0"/>
    </xf>
    <xf numFmtId="0" fontId="6" fillId="0" borderId="0" xfId="0" applyFont="1" applyProtection="1">
      <protection locked="0"/>
    </xf>
    <xf numFmtId="0" fontId="2" fillId="6" borderId="0" xfId="0" applyFont="1" applyFill="1" applyAlignment="1" applyProtection="1">
      <alignment horizontal="left"/>
      <protection locked="0"/>
    </xf>
    <xf numFmtId="0" fontId="6" fillId="0" borderId="1" xfId="0" applyFont="1" applyBorder="1" applyProtection="1">
      <protection locked="0"/>
    </xf>
    <xf numFmtId="0" fontId="6" fillId="7" borderId="0" xfId="0" applyFont="1" applyFill="1" applyAlignment="1" applyProtection="1">
      <alignment horizontal="center"/>
      <protection locked="0"/>
    </xf>
    <xf numFmtId="0" fontId="6" fillId="7" borderId="1" xfId="0" applyFont="1" applyFill="1" applyBorder="1" applyAlignment="1" applyProtection="1">
      <alignment horizontal="center"/>
      <protection locked="0"/>
    </xf>
    <xf numFmtId="1" fontId="6" fillId="7" borderId="0" xfId="0" applyNumberFormat="1" applyFont="1" applyFill="1" applyAlignment="1" applyProtection="1">
      <alignment horizontal="center"/>
      <protection locked="0"/>
    </xf>
    <xf numFmtId="1" fontId="6" fillId="7" borderId="1" xfId="0" applyNumberFormat="1" applyFont="1" applyFill="1" applyBorder="1" applyAlignment="1" applyProtection="1">
      <alignment horizontal="center"/>
      <protection locked="0"/>
    </xf>
    <xf numFmtId="164" fontId="6" fillId="7" borderId="0" xfId="0" applyNumberFormat="1" applyFont="1" applyFill="1" applyAlignment="1" applyProtection="1">
      <alignment horizontal="center"/>
      <protection locked="0"/>
    </xf>
    <xf numFmtId="164" fontId="6" fillId="7" borderId="1" xfId="0" applyNumberFormat="1" applyFont="1" applyFill="1" applyBorder="1" applyAlignment="1" applyProtection="1">
      <alignment horizontal="center"/>
      <protection locked="0"/>
    </xf>
    <xf numFmtId="165" fontId="6" fillId="7" borderId="0" xfId="0" applyNumberFormat="1" applyFont="1" applyFill="1" applyAlignment="1" applyProtection="1">
      <alignment horizontal="center"/>
      <protection locked="0"/>
    </xf>
    <xf numFmtId="166" fontId="6" fillId="7" borderId="0" xfId="0" applyNumberFormat="1" applyFont="1" applyFill="1" applyAlignment="1" applyProtection="1">
      <alignment horizontal="center"/>
      <protection locked="0"/>
    </xf>
    <xf numFmtId="2" fontId="6" fillId="7" borderId="0" xfId="0" applyNumberFormat="1" applyFont="1" applyFill="1" applyAlignment="1" applyProtection="1">
      <alignment horizontal="center"/>
      <protection locked="0"/>
    </xf>
    <xf numFmtId="2" fontId="6" fillId="0" borderId="0" xfId="0" applyNumberFormat="1" applyFont="1" applyProtection="1">
      <protection locked="0"/>
    </xf>
    <xf numFmtId="166" fontId="6" fillId="7" borderId="1" xfId="0" applyNumberFormat="1" applyFont="1" applyFill="1" applyBorder="1" applyAlignment="1" applyProtection="1">
      <alignment horizontal="center"/>
      <protection locked="0"/>
    </xf>
    <xf numFmtId="1" fontId="9" fillId="7" borderId="0" xfId="0" applyNumberFormat="1" applyFont="1" applyFill="1" applyAlignment="1" applyProtection="1">
      <alignment horizontal="center"/>
      <protection locked="0"/>
    </xf>
    <xf numFmtId="1" fontId="9" fillId="7" borderId="1" xfId="0" applyNumberFormat="1" applyFont="1" applyFill="1" applyBorder="1" applyAlignment="1" applyProtection="1">
      <alignment horizontal="center"/>
      <protection locked="0"/>
    </xf>
    <xf numFmtId="2" fontId="9" fillId="7" borderId="0" xfId="0" applyNumberFormat="1" applyFont="1" applyFill="1" applyAlignment="1" applyProtection="1">
      <alignment horizontal="center"/>
      <protection locked="0"/>
    </xf>
    <xf numFmtId="2" fontId="9" fillId="7" borderId="1" xfId="0" applyNumberFormat="1" applyFont="1" applyFill="1" applyBorder="1" applyAlignment="1" applyProtection="1">
      <alignment horizontal="center"/>
      <protection locked="0"/>
    </xf>
    <xf numFmtId="2" fontId="6" fillId="7" borderId="1" xfId="0" applyNumberFormat="1" applyFont="1" applyFill="1" applyBorder="1" applyAlignment="1" applyProtection="1">
      <alignment horizontal="center"/>
      <protection locked="0"/>
    </xf>
    <xf numFmtId="0" fontId="6" fillId="9" borderId="0" xfId="0" applyFont="1" applyFill="1" applyAlignment="1" applyProtection="1">
      <alignment horizontal="center"/>
      <protection locked="0"/>
    </xf>
    <xf numFmtId="0" fontId="6" fillId="9" borderId="1" xfId="0" applyFont="1" applyFill="1" applyBorder="1" applyAlignment="1" applyProtection="1">
      <alignment horizontal="center"/>
      <protection locked="0"/>
    </xf>
    <xf numFmtId="1" fontId="6" fillId="9" borderId="0" xfId="0" applyNumberFormat="1" applyFont="1" applyFill="1" applyAlignment="1" applyProtection="1">
      <alignment horizontal="center"/>
      <protection locked="0"/>
    </xf>
    <xf numFmtId="1" fontId="6" fillId="9" borderId="1" xfId="0" applyNumberFormat="1" applyFont="1" applyFill="1" applyBorder="1" applyAlignment="1" applyProtection="1">
      <alignment horizontal="center"/>
      <protection locked="0"/>
    </xf>
    <xf numFmtId="164" fontId="6" fillId="9" borderId="0" xfId="0" applyNumberFormat="1" applyFont="1" applyFill="1" applyAlignment="1" applyProtection="1">
      <alignment horizontal="center"/>
      <protection locked="0"/>
    </xf>
    <xf numFmtId="164" fontId="6" fillId="9" borderId="1" xfId="0" applyNumberFormat="1" applyFont="1" applyFill="1" applyBorder="1" applyAlignment="1" applyProtection="1">
      <alignment horizontal="center"/>
      <protection locked="0"/>
    </xf>
    <xf numFmtId="165" fontId="6" fillId="9" borderId="0" xfId="0" applyNumberFormat="1" applyFont="1" applyFill="1" applyAlignment="1" applyProtection="1">
      <alignment horizontal="center"/>
      <protection locked="0"/>
    </xf>
    <xf numFmtId="166" fontId="6" fillId="9" borderId="0" xfId="0" applyNumberFormat="1" applyFont="1" applyFill="1" applyAlignment="1" applyProtection="1">
      <alignment horizontal="center"/>
      <protection locked="0"/>
    </xf>
    <xf numFmtId="4" fontId="6" fillId="9" borderId="0" xfId="0" applyNumberFormat="1" applyFont="1" applyFill="1" applyAlignment="1" applyProtection="1">
      <alignment horizontal="center"/>
      <protection locked="0"/>
    </xf>
    <xf numFmtId="4" fontId="6" fillId="0" borderId="0" xfId="0" applyNumberFormat="1" applyFont="1" applyProtection="1">
      <protection locked="0"/>
    </xf>
    <xf numFmtId="166" fontId="6" fillId="9" borderId="1" xfId="0" applyNumberFormat="1" applyFont="1" applyFill="1" applyBorder="1" applyAlignment="1" applyProtection="1">
      <alignment horizontal="center"/>
      <protection locked="0"/>
    </xf>
    <xf numFmtId="3" fontId="6" fillId="9" borderId="0" xfId="0" applyNumberFormat="1" applyFont="1" applyFill="1" applyAlignment="1" applyProtection="1">
      <alignment horizontal="center"/>
      <protection locked="0"/>
    </xf>
    <xf numFmtId="3" fontId="6" fillId="9" borderId="1" xfId="0" applyNumberFormat="1" applyFont="1" applyFill="1" applyBorder="1" applyAlignment="1" applyProtection="1">
      <alignment horizontal="center"/>
      <protection locked="0"/>
    </xf>
    <xf numFmtId="4" fontId="6" fillId="9" borderId="1" xfId="0" applyNumberFormat="1" applyFont="1" applyFill="1" applyBorder="1" applyAlignment="1" applyProtection="1">
      <alignment horizontal="center"/>
      <protection locked="0"/>
    </xf>
    <xf numFmtId="4" fontId="6" fillId="0" borderId="0" xfId="0" applyNumberFormat="1" applyFont="1" applyAlignment="1" applyProtection="1">
      <alignment horizontal="center"/>
      <protection locked="0"/>
    </xf>
    <xf numFmtId="0" fontId="6" fillId="11" borderId="0" xfId="0" applyFont="1" applyFill="1" applyAlignment="1" applyProtection="1">
      <alignment horizontal="center"/>
      <protection locked="0"/>
    </xf>
    <xf numFmtId="0" fontId="6" fillId="11" borderId="1" xfId="0" applyFont="1" applyFill="1" applyBorder="1" applyAlignment="1" applyProtection="1">
      <alignment horizontal="center"/>
      <protection locked="0"/>
    </xf>
    <xf numFmtId="1" fontId="6" fillId="11" borderId="0" xfId="0" applyNumberFormat="1" applyFont="1" applyFill="1" applyAlignment="1" applyProtection="1">
      <alignment horizontal="center"/>
      <protection locked="0"/>
    </xf>
    <xf numFmtId="1" fontId="6" fillId="11" borderId="1" xfId="0" applyNumberFormat="1" applyFont="1" applyFill="1" applyBorder="1" applyAlignment="1" applyProtection="1">
      <alignment horizontal="center"/>
      <protection locked="0"/>
    </xf>
    <xf numFmtId="164" fontId="6" fillId="11" borderId="0" xfId="0" applyNumberFormat="1" applyFont="1" applyFill="1" applyAlignment="1" applyProtection="1">
      <alignment horizontal="center"/>
      <protection locked="0"/>
    </xf>
    <xf numFmtId="164" fontId="6" fillId="11" borderId="1" xfId="0" applyNumberFormat="1" applyFont="1" applyFill="1" applyBorder="1" applyAlignment="1" applyProtection="1">
      <alignment horizontal="center"/>
      <protection locked="0"/>
    </xf>
    <xf numFmtId="165" fontId="6" fillId="11" borderId="0" xfId="0" applyNumberFormat="1" applyFont="1" applyFill="1" applyAlignment="1" applyProtection="1">
      <alignment horizontal="center"/>
      <protection locked="0"/>
    </xf>
    <xf numFmtId="166" fontId="6" fillId="11" borderId="0" xfId="0" applyNumberFormat="1" applyFont="1" applyFill="1" applyAlignment="1" applyProtection="1">
      <alignment horizontal="center"/>
      <protection locked="0"/>
    </xf>
    <xf numFmtId="166" fontId="6" fillId="11" borderId="1" xfId="0" applyNumberFormat="1" applyFont="1" applyFill="1" applyBorder="1" applyAlignment="1" applyProtection="1">
      <alignment horizontal="center"/>
      <protection locked="0"/>
    </xf>
    <xf numFmtId="0" fontId="10" fillId="0" borderId="0" xfId="0" applyFont="1" applyProtection="1">
      <protection locked="0"/>
    </xf>
    <xf numFmtId="0" fontId="10" fillId="0" borderId="0" xfId="0" applyFont="1" applyAlignment="1">
      <alignment horizontal="center"/>
    </xf>
    <xf numFmtId="0" fontId="6" fillId="0" borderId="1" xfId="0" applyFont="1" applyBorder="1"/>
    <xf numFmtId="0" fontId="6" fillId="0" borderId="0" xfId="0" applyFont="1" applyAlignment="1">
      <alignment horizontal="center"/>
    </xf>
    <xf numFmtId="10" fontId="6" fillId="0" borderId="0" xfId="0" applyNumberFormat="1" applyFont="1" applyAlignment="1">
      <alignment horizontal="center"/>
    </xf>
    <xf numFmtId="10" fontId="6" fillId="0" borderId="1" xfId="0" applyNumberFormat="1" applyFont="1" applyBorder="1" applyAlignment="1">
      <alignment horizontal="center"/>
    </xf>
    <xf numFmtId="1" fontId="6" fillId="0" borderId="0" xfId="0" applyNumberFormat="1" applyFont="1" applyAlignment="1">
      <alignment horizontal="center"/>
    </xf>
    <xf numFmtId="1" fontId="6" fillId="0" borderId="1" xfId="0" applyNumberFormat="1" applyFont="1" applyBorder="1" applyAlignment="1">
      <alignment horizontal="center"/>
    </xf>
    <xf numFmtId="165" fontId="6" fillId="0" borderId="0" xfId="0" applyNumberFormat="1" applyFont="1" applyAlignment="1">
      <alignment horizontal="center"/>
    </xf>
    <xf numFmtId="165" fontId="6" fillId="0" borderId="1" xfId="0" applyNumberFormat="1" applyFont="1" applyBorder="1" applyAlignment="1">
      <alignment horizontal="center"/>
    </xf>
    <xf numFmtId="1" fontId="6" fillId="5" borderId="0" xfId="0" applyNumberFormat="1" applyFont="1" applyFill="1" applyAlignment="1">
      <alignment horizontal="center"/>
    </xf>
    <xf numFmtId="0" fontId="6" fillId="0" borderId="2" xfId="0" applyFont="1" applyBorder="1"/>
    <xf numFmtId="0" fontId="6" fillId="0" borderId="2" xfId="0" applyFont="1" applyBorder="1" applyAlignment="1">
      <alignment horizontal="center"/>
    </xf>
    <xf numFmtId="167" fontId="6" fillId="0" borderId="2" xfId="0" applyNumberFormat="1" applyFont="1" applyBorder="1" applyAlignment="1">
      <alignment horizontal="center"/>
    </xf>
    <xf numFmtId="167" fontId="6" fillId="0" borderId="3" xfId="0" applyNumberFormat="1" applyFont="1" applyBorder="1" applyAlignment="1">
      <alignment horizontal="center"/>
    </xf>
    <xf numFmtId="0" fontId="11" fillId="11" borderId="0" xfId="0" applyFont="1" applyFill="1"/>
    <xf numFmtId="0" fontId="11" fillId="11" borderId="0" xfId="0" applyFont="1" applyFill="1" applyAlignment="1">
      <alignment horizontal="center"/>
    </xf>
    <xf numFmtId="3" fontId="11" fillId="11" borderId="0" xfId="0" applyNumberFormat="1" applyFont="1" applyFill="1"/>
    <xf numFmtId="3" fontId="11" fillId="11" borderId="0" xfId="0" applyNumberFormat="1" applyFont="1" applyFill="1" applyAlignment="1">
      <alignment horizontal="center"/>
    </xf>
    <xf numFmtId="4" fontId="11" fillId="11" borderId="0" xfId="0" applyNumberFormat="1" applyFont="1" applyFill="1"/>
    <xf numFmtId="4" fontId="11" fillId="11" borderId="0" xfId="0" applyNumberFormat="1" applyFont="1" applyFill="1" applyAlignment="1">
      <alignment horizontal="center"/>
    </xf>
    <xf numFmtId="0" fontId="10" fillId="3" borderId="0" xfId="0" applyFont="1" applyFill="1" applyAlignment="1">
      <alignment horizontal="center"/>
    </xf>
    <xf numFmtId="1" fontId="6" fillId="5" borderId="1" xfId="0" applyNumberFormat="1" applyFont="1" applyFill="1" applyBorder="1" applyAlignment="1">
      <alignment horizontal="center"/>
    </xf>
    <xf numFmtId="0" fontId="6" fillId="11" borderId="0" xfId="0" applyFont="1" applyFill="1"/>
    <xf numFmtId="0" fontId="6" fillId="11" borderId="0" xfId="0" applyFont="1" applyFill="1" applyAlignment="1">
      <alignment horizontal="center"/>
    </xf>
    <xf numFmtId="4" fontId="6" fillId="0" borderId="0" xfId="0" applyNumberFormat="1" applyFont="1"/>
    <xf numFmtId="4" fontId="6" fillId="0" borderId="1" xfId="0" applyNumberFormat="1" applyFont="1" applyBorder="1"/>
    <xf numFmtId="4" fontId="6" fillId="11" borderId="0" xfId="0" applyNumberFormat="1" applyFont="1" applyFill="1"/>
    <xf numFmtId="0" fontId="5" fillId="3" borderId="0" xfId="0" applyFont="1" applyFill="1" applyAlignment="1">
      <alignment horizontal="center"/>
    </xf>
    <xf numFmtId="0" fontId="4" fillId="0" borderId="0" xfId="0" applyFont="1" applyAlignment="1">
      <alignment horizontal="center"/>
    </xf>
    <xf numFmtId="166" fontId="6" fillId="0" borderId="0" xfId="0" applyNumberFormat="1" applyFont="1" applyAlignment="1">
      <alignment horizontal="center"/>
    </xf>
    <xf numFmtId="166" fontId="6" fillId="0" borderId="1" xfId="0" applyNumberFormat="1" applyFont="1" applyBorder="1" applyAlignment="1">
      <alignment horizontal="center"/>
    </xf>
    <xf numFmtId="4" fontId="6" fillId="0" borderId="0" xfId="0" applyNumberFormat="1" applyFont="1" applyAlignment="1">
      <alignment horizontal="center"/>
    </xf>
    <xf numFmtId="10" fontId="6" fillId="5" borderId="0" xfId="0" applyNumberFormat="1" applyFont="1" applyFill="1" applyAlignment="1">
      <alignment horizontal="center"/>
    </xf>
    <xf numFmtId="4" fontId="6" fillId="0" borderId="2" xfId="0" applyNumberFormat="1" applyFont="1" applyBorder="1" applyAlignment="1">
      <alignment horizontal="center"/>
    </xf>
    <xf numFmtId="0" fontId="2" fillId="10" borderId="0" xfId="0" applyFont="1" applyFill="1" applyAlignment="1">
      <alignment horizontal="center"/>
    </xf>
    <xf numFmtId="3" fontId="6" fillId="0" borderId="0" xfId="0" applyNumberFormat="1" applyFont="1"/>
    <xf numFmtId="0" fontId="6" fillId="9" borderId="0" xfId="0" applyFont="1" applyFill="1"/>
    <xf numFmtId="0" fontId="6" fillId="9" borderId="0" xfId="0" applyFont="1" applyFill="1" applyAlignment="1">
      <alignment horizontal="center"/>
    </xf>
    <xf numFmtId="3" fontId="6" fillId="9" borderId="0" xfId="0" applyNumberFormat="1" applyFont="1" applyFill="1"/>
    <xf numFmtId="3" fontId="6" fillId="9" borderId="0" xfId="0" applyNumberFormat="1" applyFont="1" applyFill="1" applyAlignment="1">
      <alignment horizontal="center"/>
    </xf>
    <xf numFmtId="4" fontId="6" fillId="9" borderId="0" xfId="0" applyNumberFormat="1" applyFont="1" applyFill="1"/>
    <xf numFmtId="4" fontId="6" fillId="9" borderId="0" xfId="0" applyNumberFormat="1" applyFont="1" applyFill="1" applyAlignment="1">
      <alignment horizontal="center"/>
    </xf>
    <xf numFmtId="0" fontId="2" fillId="8" borderId="0" xfId="0" applyFont="1" applyFill="1" applyAlignment="1">
      <alignment horizontal="left"/>
    </xf>
    <xf numFmtId="2" fontId="6" fillId="0" borderId="0" xfId="0" applyNumberFormat="1" applyFont="1"/>
    <xf numFmtId="2" fontId="6" fillId="5" borderId="0" xfId="0" applyNumberFormat="1" applyFont="1" applyFill="1" applyAlignment="1">
      <alignment horizontal="center"/>
    </xf>
    <xf numFmtId="0" fontId="6" fillId="7" borderId="0" xfId="0" applyFont="1" applyFill="1"/>
    <xf numFmtId="0" fontId="6" fillId="7" borderId="0" xfId="0" applyFont="1" applyFill="1" applyAlignment="1">
      <alignment horizontal="center"/>
    </xf>
    <xf numFmtId="2" fontId="6" fillId="7" borderId="0" xfId="0" applyNumberFormat="1" applyFont="1" applyFill="1"/>
    <xf numFmtId="2" fontId="6" fillId="7" borderId="0" xfId="0" applyNumberFormat="1" applyFont="1" applyFill="1" applyAlignment="1">
      <alignment horizontal="center"/>
    </xf>
    <xf numFmtId="0" fontId="8" fillId="0" borderId="0" xfId="0" applyFont="1" applyAlignment="1">
      <alignment horizontal="center"/>
    </xf>
    <xf numFmtId="0" fontId="8" fillId="0" borderId="1" xfId="0" applyFont="1" applyBorder="1" applyAlignment="1">
      <alignment horizontal="center"/>
    </xf>
    <xf numFmtId="0" fontId="11" fillId="7" borderId="0" xfId="0" applyFont="1" applyFill="1"/>
    <xf numFmtId="0" fontId="6" fillId="3" borderId="1" xfId="0" applyFont="1" applyFill="1" applyBorder="1" applyAlignment="1">
      <alignment horizontal="center"/>
    </xf>
    <xf numFmtId="0" fontId="2" fillId="6" borderId="0" xfId="0" applyFont="1" applyFill="1" applyAlignment="1">
      <alignment horizontal="center"/>
    </xf>
    <xf numFmtId="0" fontId="6" fillId="3" borderId="0" xfId="0" applyFont="1" applyFill="1"/>
    <xf numFmtId="1" fontId="9" fillId="0" borderId="0" xfId="0" applyNumberFormat="1" applyFont="1" applyAlignment="1">
      <alignment horizontal="center"/>
    </xf>
    <xf numFmtId="1" fontId="9" fillId="0" borderId="1" xfId="0" applyNumberFormat="1" applyFont="1" applyBorder="1" applyAlignment="1">
      <alignment horizontal="center"/>
    </xf>
    <xf numFmtId="2" fontId="6" fillId="0" borderId="2" xfId="0" applyNumberFormat="1" applyFont="1" applyBorder="1" applyAlignment="1">
      <alignment horizontal="center"/>
    </xf>
    <xf numFmtId="3" fontId="6" fillId="5" borderId="0" xfId="0" applyNumberFormat="1" applyFont="1" applyFill="1" applyAlignment="1">
      <alignment horizontal="center"/>
    </xf>
    <xf numFmtId="4" fontId="6" fillId="5" borderId="0" xfId="0" applyNumberFormat="1" applyFont="1" applyFill="1" applyAlignment="1">
      <alignment horizontal="center"/>
    </xf>
    <xf numFmtId="0" fontId="6" fillId="4" borderId="0" xfId="0" applyFont="1" applyFill="1" applyAlignment="1">
      <alignment horizontal="left"/>
    </xf>
    <xf numFmtId="0" fontId="6" fillId="4" borderId="0" xfId="0" applyFont="1" applyFill="1" applyAlignment="1">
      <alignment horizontal="center"/>
    </xf>
    <xf numFmtId="0" fontId="6" fillId="4" borderId="0" xfId="0" applyFont="1" applyFill="1"/>
    <xf numFmtId="1" fontId="6" fillId="3" borderId="0" xfId="0" applyNumberFormat="1" applyFont="1" applyFill="1" applyAlignment="1">
      <alignment horizontal="center"/>
    </xf>
    <xf numFmtId="166" fontId="6" fillId="3" borderId="0" xfId="0" applyNumberFormat="1" applyFont="1" applyFill="1" applyAlignment="1">
      <alignment horizontal="center"/>
    </xf>
    <xf numFmtId="166" fontId="6" fillId="3" borderId="1" xfId="0" applyNumberFormat="1" applyFont="1" applyFill="1" applyBorder="1" applyAlignment="1">
      <alignment horizontal="center"/>
    </xf>
    <xf numFmtId="1" fontId="6" fillId="3" borderId="1" xfId="0" applyNumberFormat="1" applyFont="1" applyFill="1" applyBorder="1" applyAlignment="1">
      <alignment horizontal="center"/>
    </xf>
    <xf numFmtId="0" fontId="7" fillId="4" borderId="0" xfId="0" applyFont="1" applyFill="1"/>
    <xf numFmtId="0" fontId="4" fillId="3" borderId="0" xfId="0" applyFont="1" applyFill="1"/>
    <xf numFmtId="0" fontId="4" fillId="0" borderId="0" xfId="0" applyFont="1"/>
    <xf numFmtId="0" fontId="11" fillId="9" borderId="0" xfId="0" applyFont="1" applyFill="1"/>
    <xf numFmtId="0" fontId="8" fillId="0" borderId="0" xfId="0" applyFont="1" applyProtection="1">
      <protection locked="0"/>
    </xf>
    <xf numFmtId="0" fontId="12" fillId="0" borderId="0" xfId="0" applyFont="1" applyAlignment="1" applyProtection="1">
      <alignment horizontal="center"/>
      <protection locked="0"/>
    </xf>
    <xf numFmtId="2" fontId="9" fillId="0" borderId="9" xfId="0" applyNumberFormat="1" applyFont="1" applyBorder="1" applyAlignment="1" applyProtection="1">
      <alignment horizontal="center"/>
      <protection locked="0"/>
    </xf>
    <xf numFmtId="2" fontId="6" fillId="3" borderId="10" xfId="0" applyNumberFormat="1" applyFont="1" applyFill="1" applyBorder="1" applyAlignment="1" applyProtection="1">
      <alignment horizontal="center"/>
      <protection locked="0"/>
    </xf>
    <xf numFmtId="2" fontId="8" fillId="0" borderId="10" xfId="0" applyNumberFormat="1" applyFont="1" applyBorder="1" applyAlignment="1" applyProtection="1">
      <alignment horizontal="center"/>
      <protection locked="0"/>
    </xf>
    <xf numFmtId="2" fontId="6" fillId="0" borderId="10" xfId="0" applyNumberFormat="1" applyFont="1" applyBorder="1" applyAlignment="1" applyProtection="1">
      <alignment horizontal="center"/>
      <protection locked="0"/>
    </xf>
    <xf numFmtId="2" fontId="6" fillId="0" borderId="9" xfId="0" applyNumberFormat="1" applyFont="1" applyBorder="1" applyAlignment="1" applyProtection="1">
      <alignment horizontal="center"/>
      <protection locked="0"/>
    </xf>
    <xf numFmtId="2" fontId="6" fillId="0" borderId="11" xfId="0" applyNumberFormat="1" applyFont="1" applyBorder="1" applyAlignment="1" applyProtection="1">
      <alignment horizontal="center"/>
      <protection locked="0"/>
    </xf>
    <xf numFmtId="2" fontId="8" fillId="0" borderId="12" xfId="0" applyNumberFormat="1" applyFont="1" applyBorder="1" applyAlignment="1" applyProtection="1">
      <alignment horizontal="center"/>
      <protection locked="0"/>
    </xf>
    <xf numFmtId="2" fontId="8" fillId="0" borderId="0" xfId="0" applyNumberFormat="1" applyFont="1" applyAlignment="1" applyProtection="1">
      <alignment horizontal="center"/>
      <protection locked="0"/>
    </xf>
    <xf numFmtId="2" fontId="6" fillId="0" borderId="0" xfId="0" applyNumberFormat="1" applyFont="1" applyAlignment="1" applyProtection="1">
      <alignment horizontal="center"/>
      <protection locked="0"/>
    </xf>
    <xf numFmtId="2" fontId="9" fillId="0" borderId="0" xfId="0" applyNumberFormat="1" applyFont="1" applyAlignment="1" applyProtection="1">
      <alignment horizontal="center"/>
      <protection locked="0"/>
    </xf>
    <xf numFmtId="2" fontId="6" fillId="0" borderId="13" xfId="0" applyNumberFormat="1" applyFont="1" applyBorder="1" applyAlignment="1" applyProtection="1">
      <alignment horizontal="center"/>
      <protection locked="0"/>
    </xf>
    <xf numFmtId="2" fontId="6" fillId="0" borderId="4" xfId="0" applyNumberFormat="1" applyFont="1" applyBorder="1" applyAlignment="1" applyProtection="1">
      <alignment horizontal="center"/>
      <protection locked="0"/>
    </xf>
    <xf numFmtId="2" fontId="6" fillId="0" borderId="5" xfId="0" applyNumberFormat="1" applyFont="1" applyBorder="1" applyAlignment="1" applyProtection="1">
      <alignment horizontal="center"/>
      <protection locked="0"/>
    </xf>
    <xf numFmtId="164" fontId="6" fillId="0" borderId="4" xfId="0" applyNumberFormat="1" applyFont="1" applyBorder="1" applyAlignment="1" applyProtection="1">
      <alignment horizontal="center"/>
      <protection locked="0"/>
    </xf>
    <xf numFmtId="164" fontId="6" fillId="0" borderId="5" xfId="0" applyNumberFormat="1" applyFont="1" applyBorder="1" applyAlignment="1" applyProtection="1">
      <alignment horizontal="center"/>
      <protection locked="0"/>
    </xf>
    <xf numFmtId="2" fontId="6" fillId="0" borderId="6" xfId="0" applyNumberFormat="1" applyFont="1" applyBorder="1" applyAlignment="1" applyProtection="1">
      <alignment horizontal="center"/>
      <protection locked="0"/>
    </xf>
    <xf numFmtId="2" fontId="8" fillId="0" borderId="11" xfId="0" applyNumberFormat="1" applyFont="1" applyBorder="1" applyAlignment="1" applyProtection="1">
      <alignment horizontal="center"/>
      <protection locked="0"/>
    </xf>
    <xf numFmtId="2" fontId="9" fillId="0" borderId="10" xfId="0" applyNumberFormat="1" applyFont="1" applyBorder="1" applyAlignment="1" applyProtection="1">
      <alignment horizontal="center"/>
      <protection locked="0"/>
    </xf>
    <xf numFmtId="2" fontId="13" fillId="0" borderId="12" xfId="0" applyNumberFormat="1" applyFont="1" applyBorder="1" applyAlignment="1" applyProtection="1">
      <alignment horizontal="center"/>
      <protection locked="0"/>
    </xf>
    <xf numFmtId="2" fontId="9" fillId="0" borderId="11" xfId="0" applyNumberFormat="1" applyFont="1" applyBorder="1" applyAlignment="1" applyProtection="1">
      <alignment horizontal="center"/>
      <protection locked="0"/>
    </xf>
    <xf numFmtId="4" fontId="6" fillId="0" borderId="10" xfId="0" applyNumberFormat="1" applyFont="1" applyBorder="1" applyAlignment="1" applyProtection="1">
      <alignment horizontal="center"/>
      <protection locked="0"/>
    </xf>
    <xf numFmtId="4" fontId="9" fillId="0" borderId="9" xfId="0" applyNumberFormat="1" applyFont="1" applyBorder="1" applyAlignment="1" applyProtection="1">
      <alignment horizontal="center"/>
      <protection locked="0"/>
    </xf>
    <xf numFmtId="4" fontId="8" fillId="0" borderId="10" xfId="0" applyNumberFormat="1" applyFont="1" applyBorder="1" applyAlignment="1" applyProtection="1">
      <alignment horizontal="center"/>
      <protection locked="0"/>
    </xf>
    <xf numFmtId="4" fontId="6" fillId="0" borderId="13" xfId="0" applyNumberFormat="1" applyFont="1" applyBorder="1" applyAlignment="1" applyProtection="1">
      <alignment horizontal="center"/>
      <protection locked="0"/>
    </xf>
    <xf numFmtId="4" fontId="9" fillId="0" borderId="0" xfId="0" applyNumberFormat="1" applyFont="1" applyAlignment="1" applyProtection="1">
      <alignment horizontal="center"/>
      <protection locked="0"/>
    </xf>
    <xf numFmtId="4" fontId="6" fillId="0" borderId="14" xfId="0" applyNumberFormat="1" applyFont="1" applyBorder="1" applyAlignment="1" applyProtection="1">
      <alignment horizontal="center"/>
      <protection locked="0"/>
    </xf>
    <xf numFmtId="2" fontId="9" fillId="0" borderId="4" xfId="0" applyNumberFormat="1" applyFont="1" applyBorder="1" applyAlignment="1" applyProtection="1">
      <alignment horizontal="center"/>
      <protection locked="0"/>
    </xf>
    <xf numFmtId="2" fontId="9" fillId="0" borderId="5" xfId="0" applyNumberFormat="1" applyFont="1" applyBorder="1" applyAlignment="1" applyProtection="1">
      <alignment horizontal="center"/>
      <protection locked="0"/>
    </xf>
    <xf numFmtId="2" fontId="9" fillId="0" borderId="14" xfId="0" applyNumberFormat="1" applyFont="1" applyBorder="1" applyAlignment="1" applyProtection="1">
      <alignment horizontal="center"/>
      <protection locked="0"/>
    </xf>
    <xf numFmtId="0" fontId="11" fillId="0" borderId="0" xfId="0" applyFont="1" applyProtection="1">
      <protection locked="0"/>
    </xf>
    <xf numFmtId="0" fontId="11" fillId="0" borderId="0" xfId="0" applyFont="1" applyAlignment="1" applyProtection="1">
      <alignment horizontal="center"/>
      <protection locked="0"/>
    </xf>
    <xf numFmtId="0" fontId="15" fillId="0" borderId="0" xfId="0" applyFont="1" applyProtection="1">
      <protection locked="0"/>
    </xf>
    <xf numFmtId="0" fontId="11" fillId="0" borderId="13" xfId="0" applyFont="1" applyBorder="1" applyProtection="1">
      <protection locked="0"/>
    </xf>
    <xf numFmtId="0" fontId="11" fillId="0" borderId="13" xfId="0" applyFont="1" applyBorder="1" applyAlignment="1" applyProtection="1">
      <alignment horizontal="center"/>
      <protection locked="0"/>
    </xf>
    <xf numFmtId="0" fontId="11" fillId="3" borderId="14" xfId="0" applyFont="1" applyFill="1" applyBorder="1" applyProtection="1">
      <protection locked="0"/>
    </xf>
    <xf numFmtId="0" fontId="11" fillId="3" borderId="14" xfId="0" applyFont="1" applyFill="1" applyBorder="1" applyAlignment="1" applyProtection="1">
      <alignment horizontal="center"/>
      <protection locked="0"/>
    </xf>
    <xf numFmtId="0" fontId="11" fillId="0" borderId="14" xfId="0" applyFont="1" applyBorder="1" applyProtection="1">
      <protection locked="0"/>
    </xf>
    <xf numFmtId="0" fontId="11" fillId="0" borderId="14" xfId="0" applyFont="1" applyBorder="1" applyAlignment="1" applyProtection="1">
      <alignment horizontal="center"/>
      <protection locked="0"/>
    </xf>
    <xf numFmtId="0" fontId="11" fillId="0" borderId="15" xfId="0" applyFont="1" applyBorder="1" applyAlignment="1" applyProtection="1">
      <alignment horizontal="center"/>
      <protection locked="0"/>
    </xf>
    <xf numFmtId="0" fontId="6" fillId="0" borderId="7" xfId="0" applyFont="1" applyBorder="1"/>
    <xf numFmtId="0" fontId="6" fillId="0" borderId="4" xfId="0" applyFont="1" applyBorder="1" applyAlignment="1">
      <alignment horizontal="center"/>
    </xf>
    <xf numFmtId="0" fontId="10" fillId="0" borderId="7" xfId="0" applyFont="1" applyBorder="1" applyAlignment="1">
      <alignment horizontal="center"/>
    </xf>
    <xf numFmtId="2" fontId="6" fillId="0" borderId="14" xfId="0" applyNumberFormat="1" applyFont="1" applyBorder="1" applyAlignment="1">
      <alignment horizontal="center"/>
    </xf>
    <xf numFmtId="0" fontId="12" fillId="12" borderId="0" xfId="0" applyFont="1" applyFill="1" applyAlignment="1">
      <alignment horizontal="center"/>
    </xf>
    <xf numFmtId="0" fontId="12" fillId="3" borderId="0" xfId="0" applyFont="1" applyFill="1" applyAlignment="1">
      <alignment horizontal="center"/>
    </xf>
    <xf numFmtId="0" fontId="6" fillId="0" borderId="14" xfId="0" applyFont="1" applyBorder="1" applyProtection="1">
      <protection locked="0"/>
    </xf>
    <xf numFmtId="0" fontId="6" fillId="0" borderId="16" xfId="0" applyFont="1" applyBorder="1"/>
    <xf numFmtId="0" fontId="17" fillId="0" borderId="0" xfId="0" applyFont="1" applyAlignment="1">
      <alignment horizontal="right"/>
    </xf>
    <xf numFmtId="166" fontId="6" fillId="0" borderId="0" xfId="0" applyNumberFormat="1" applyFont="1" applyAlignment="1">
      <alignment horizontal="right"/>
    </xf>
    <xf numFmtId="166" fontId="6" fillId="3" borderId="0" xfId="0" applyNumberFormat="1" applyFont="1" applyFill="1" applyAlignment="1">
      <alignment horizontal="right"/>
    </xf>
    <xf numFmtId="0" fontId="6" fillId="0" borderId="0" xfId="0" applyFont="1" applyAlignment="1">
      <alignment horizontal="right"/>
    </xf>
    <xf numFmtId="0" fontId="6" fillId="0" borderId="14" xfId="0" applyFont="1" applyBorder="1"/>
    <xf numFmtId="166" fontId="6" fillId="0" borderId="14" xfId="0" applyNumberFormat="1" applyFont="1" applyBorder="1"/>
    <xf numFmtId="0" fontId="6" fillId="0" borderId="14" xfId="0" applyFont="1" applyBorder="1" applyAlignment="1">
      <alignment horizontal="left"/>
    </xf>
    <xf numFmtId="0" fontId="10" fillId="0" borderId="4" xfId="0" applyFont="1" applyBorder="1"/>
    <xf numFmtId="166" fontId="6" fillId="0" borderId="5" xfId="0" applyNumberFormat="1" applyFont="1" applyBorder="1"/>
    <xf numFmtId="0" fontId="6" fillId="0" borderId="0" xfId="0" applyFont="1" applyAlignment="1">
      <alignment horizontal="left"/>
    </xf>
    <xf numFmtId="0" fontId="6" fillId="0" borderId="5" xfId="0" applyFont="1" applyBorder="1"/>
    <xf numFmtId="0" fontId="10" fillId="0" borderId="9" xfId="0" applyFont="1" applyBorder="1"/>
    <xf numFmtId="0" fontId="6" fillId="0" borderId="10" xfId="0" applyFont="1" applyBorder="1"/>
    <xf numFmtId="166" fontId="6" fillId="0" borderId="10" xfId="0" applyNumberFormat="1" applyFont="1" applyBorder="1"/>
    <xf numFmtId="0" fontId="17" fillId="0" borderId="17" xfId="0" applyFont="1" applyBorder="1" applyAlignment="1">
      <alignment horizontal="right"/>
    </xf>
    <xf numFmtId="2" fontId="6" fillId="0" borderId="10" xfId="0" applyNumberFormat="1" applyFont="1" applyBorder="1"/>
    <xf numFmtId="0" fontId="17" fillId="0" borderId="14" xfId="0" applyFont="1" applyBorder="1" applyAlignment="1">
      <alignment horizontal="right"/>
    </xf>
    <xf numFmtId="2" fontId="6" fillId="0" borderId="14" xfId="0" applyNumberFormat="1" applyFont="1" applyBorder="1"/>
    <xf numFmtId="0" fontId="6" fillId="0" borderId="13" xfId="0" applyFont="1" applyBorder="1" applyProtection="1">
      <protection locked="0"/>
    </xf>
    <xf numFmtId="0" fontId="6" fillId="0" borderId="15" xfId="0" applyFont="1" applyBorder="1" applyProtection="1">
      <protection locked="0"/>
    </xf>
    <xf numFmtId="168" fontId="6" fillId="3" borderId="0" xfId="0" applyNumberFormat="1" applyFont="1" applyFill="1" applyAlignment="1" applyProtection="1">
      <alignment horizontal="center"/>
      <protection locked="0"/>
    </xf>
    <xf numFmtId="168" fontId="11" fillId="3" borderId="0" xfId="0" applyNumberFormat="1" applyFont="1" applyFill="1" applyAlignment="1" applyProtection="1">
      <alignment horizontal="center"/>
      <protection locked="0"/>
    </xf>
    <xf numFmtId="165" fontId="6" fillId="3" borderId="0" xfId="0" applyNumberFormat="1" applyFont="1" applyFill="1" applyAlignment="1" applyProtection="1">
      <alignment horizontal="center"/>
      <protection locked="0"/>
    </xf>
    <xf numFmtId="0" fontId="6" fillId="0" borderId="13" xfId="0" applyFont="1" applyBorder="1"/>
    <xf numFmtId="0" fontId="10" fillId="3" borderId="14" xfId="0" applyFont="1" applyFill="1" applyBorder="1"/>
    <xf numFmtId="166" fontId="10" fillId="3" borderId="14" xfId="0" applyNumberFormat="1" applyFont="1" applyFill="1" applyBorder="1" applyAlignment="1">
      <alignment horizontal="center"/>
    </xf>
    <xf numFmtId="0" fontId="6" fillId="3" borderId="14" xfId="0" applyFont="1" applyFill="1" applyBorder="1" applyAlignment="1">
      <alignment horizontal="center"/>
    </xf>
    <xf numFmtId="0" fontId="6" fillId="0" borderId="15" xfId="0" applyFont="1" applyBorder="1"/>
    <xf numFmtId="0" fontId="6" fillId="20" borderId="0" xfId="0" applyFont="1" applyFill="1"/>
    <xf numFmtId="0" fontId="6" fillId="20" borderId="13" xfId="0" applyFont="1" applyFill="1" applyBorder="1"/>
    <xf numFmtId="0" fontId="6" fillId="3" borderId="14" xfId="0" applyFont="1" applyFill="1" applyBorder="1"/>
    <xf numFmtId="1" fontId="10" fillId="3" borderId="14" xfId="0" applyNumberFormat="1" applyFont="1" applyFill="1" applyBorder="1" applyAlignment="1">
      <alignment horizontal="center"/>
    </xf>
    <xf numFmtId="0" fontId="10" fillId="0" borderId="14" xfId="0" applyFont="1" applyBorder="1" applyAlignment="1">
      <alignment horizontal="center"/>
    </xf>
    <xf numFmtId="0" fontId="6" fillId="3" borderId="13" xfId="0" applyFont="1" applyFill="1" applyBorder="1" applyAlignment="1">
      <alignment horizontal="center"/>
    </xf>
    <xf numFmtId="165" fontId="6" fillId="3" borderId="0" xfId="0" applyNumberFormat="1" applyFont="1" applyFill="1" applyAlignment="1">
      <alignment horizontal="center"/>
    </xf>
    <xf numFmtId="0" fontId="10" fillId="3" borderId="0" xfId="0" applyFont="1" applyFill="1"/>
    <xf numFmtId="166" fontId="10" fillId="3" borderId="0" xfId="0" applyNumberFormat="1" applyFont="1" applyFill="1" applyAlignment="1">
      <alignment horizontal="center"/>
    </xf>
    <xf numFmtId="0" fontId="6" fillId="3" borderId="15" xfId="0" applyFont="1" applyFill="1" applyBorder="1" applyAlignment="1">
      <alignment horizontal="center"/>
    </xf>
    <xf numFmtId="49" fontId="6" fillId="21" borderId="0" xfId="0" applyNumberFormat="1" applyFont="1" applyFill="1" applyAlignment="1">
      <alignment horizontal="center"/>
    </xf>
    <xf numFmtId="0" fontId="6" fillId="21" borderId="0" xfId="0" applyFont="1" applyFill="1"/>
    <xf numFmtId="49" fontId="6" fillId="3" borderId="0" xfId="0" applyNumberFormat="1" applyFont="1" applyFill="1" applyAlignment="1">
      <alignment horizontal="center"/>
    </xf>
    <xf numFmtId="165" fontId="6" fillId="21" borderId="0" xfId="0" applyNumberFormat="1" applyFont="1" applyFill="1" applyAlignment="1">
      <alignment horizontal="center"/>
    </xf>
    <xf numFmtId="0" fontId="2" fillId="3" borderId="0" xfId="0" applyFont="1" applyFill="1" applyAlignment="1">
      <alignment horizontal="center"/>
    </xf>
    <xf numFmtId="0" fontId="6" fillId="3" borderId="12" xfId="0" applyFont="1" applyFill="1" applyBorder="1"/>
    <xf numFmtId="1" fontId="10" fillId="0" borderId="0" xfId="0" applyNumberFormat="1" applyFont="1" applyAlignment="1">
      <alignment horizontal="center"/>
    </xf>
    <xf numFmtId="164" fontId="6" fillId="0" borderId="14" xfId="0" applyNumberFormat="1" applyFont="1" applyBorder="1" applyAlignment="1">
      <alignment horizontal="center"/>
    </xf>
    <xf numFmtId="0" fontId="6" fillId="0" borderId="14" xfId="0" applyFont="1" applyBorder="1" applyAlignment="1">
      <alignment horizontal="center"/>
    </xf>
    <xf numFmtId="0" fontId="2" fillId="3" borderId="12" xfId="0" applyFont="1" applyFill="1" applyBorder="1" applyAlignment="1">
      <alignment horizontal="center"/>
    </xf>
    <xf numFmtId="0" fontId="6" fillId="21" borderId="0" xfId="0" applyFont="1" applyFill="1" applyAlignment="1">
      <alignment horizontal="center"/>
    </xf>
    <xf numFmtId="165" fontId="10" fillId="3" borderId="14" xfId="0" applyNumberFormat="1" applyFont="1" applyFill="1" applyBorder="1" applyAlignment="1">
      <alignment horizontal="center"/>
    </xf>
    <xf numFmtId="0" fontId="6" fillId="22" borderId="0" xfId="0" applyFont="1" applyFill="1" applyAlignment="1" applyProtection="1">
      <alignment horizontal="center"/>
      <protection locked="0"/>
    </xf>
    <xf numFmtId="164" fontId="6" fillId="0" borderId="0" xfId="0" applyNumberFormat="1" applyFont="1" applyAlignment="1">
      <alignment horizontal="center"/>
    </xf>
    <xf numFmtId="166" fontId="10" fillId="0" borderId="14" xfId="0" applyNumberFormat="1" applyFont="1" applyBorder="1" applyAlignment="1">
      <alignment horizontal="center"/>
    </xf>
    <xf numFmtId="0" fontId="11" fillId="3" borderId="0" xfId="0" applyFont="1" applyFill="1"/>
    <xf numFmtId="0" fontId="20" fillId="3" borderId="14" xfId="0" applyFont="1" applyFill="1" applyBorder="1"/>
    <xf numFmtId="0" fontId="6" fillId="22" borderId="14" xfId="0" applyFont="1" applyFill="1" applyBorder="1" applyAlignment="1">
      <alignment horizontal="center"/>
    </xf>
    <xf numFmtId="1" fontId="6" fillId="0" borderId="14" xfId="0" applyNumberFormat="1" applyFont="1" applyBorder="1" applyAlignment="1">
      <alignment horizontal="center"/>
    </xf>
    <xf numFmtId="1" fontId="10" fillId="0" borderId="14" xfId="0" applyNumberFormat="1" applyFont="1" applyBorder="1" applyAlignment="1">
      <alignment horizontal="center"/>
    </xf>
    <xf numFmtId="166" fontId="20" fillId="3" borderId="0" xfId="0" applyNumberFormat="1" applyFont="1" applyFill="1" applyAlignment="1">
      <alignment horizontal="center"/>
    </xf>
    <xf numFmtId="0" fontId="6" fillId="3" borderId="13" xfId="0" applyFont="1" applyFill="1" applyBorder="1"/>
    <xf numFmtId="165" fontId="6" fillId="7" borderId="1" xfId="0" applyNumberFormat="1" applyFont="1" applyFill="1" applyBorder="1" applyAlignment="1" applyProtection="1">
      <alignment horizontal="center"/>
      <protection locked="0"/>
    </xf>
    <xf numFmtId="0" fontId="6" fillId="25" borderId="0" xfId="0" applyFont="1" applyFill="1" applyAlignment="1" applyProtection="1">
      <alignment horizontal="center"/>
      <protection locked="0"/>
    </xf>
    <xf numFmtId="1" fontId="6" fillId="25" borderId="0" xfId="0" applyNumberFormat="1" applyFont="1" applyFill="1" applyAlignment="1" applyProtection="1">
      <alignment horizontal="center"/>
      <protection locked="0"/>
    </xf>
    <xf numFmtId="0" fontId="6" fillId="25" borderId="0" xfId="0" applyFont="1" applyFill="1" applyProtection="1">
      <protection locked="0"/>
    </xf>
    <xf numFmtId="9" fontId="6" fillId="26" borderId="0" xfId="0" applyNumberFormat="1" applyFont="1" applyFill="1" applyAlignment="1" applyProtection="1">
      <alignment horizontal="center"/>
      <protection locked="0"/>
    </xf>
    <xf numFmtId="0" fontId="2" fillId="10" borderId="0" xfId="0" applyFont="1" applyFill="1" applyAlignment="1">
      <alignment horizontal="left"/>
    </xf>
    <xf numFmtId="0" fontId="0" fillId="0" borderId="0" xfId="0"/>
    <xf numFmtId="0" fontId="1" fillId="10" borderId="0" xfId="0" applyFont="1" applyFill="1" applyAlignment="1" applyProtection="1">
      <alignment horizontal="center"/>
      <protection locked="0"/>
    </xf>
    <xf numFmtId="0" fontId="0" fillId="0" borderId="0" xfId="0" applyProtection="1">
      <protection locked="0"/>
    </xf>
    <xf numFmtId="0" fontId="2" fillId="10" borderId="0" xfId="0" applyFont="1" applyFill="1" applyAlignment="1" applyProtection="1">
      <alignment horizontal="center"/>
      <protection locked="0"/>
    </xf>
    <xf numFmtId="0" fontId="3" fillId="0" borderId="1" xfId="0" applyFont="1" applyBorder="1" applyProtection="1">
      <protection locked="0"/>
    </xf>
    <xf numFmtId="0" fontId="2" fillId="10" borderId="0" xfId="0" applyFont="1" applyFill="1" applyAlignment="1" applyProtection="1">
      <alignment horizontal="left"/>
      <protection locked="0"/>
    </xf>
    <xf numFmtId="0" fontId="1" fillId="10" borderId="0" xfId="0" applyFont="1" applyFill="1" applyAlignment="1">
      <alignment horizontal="center"/>
    </xf>
    <xf numFmtId="0" fontId="2" fillId="10" borderId="0" xfId="0" applyFont="1" applyFill="1" applyAlignment="1">
      <alignment horizontal="center"/>
    </xf>
    <xf numFmtId="0" fontId="3" fillId="0" borderId="1" xfId="0" applyFont="1" applyBorder="1"/>
    <xf numFmtId="0" fontId="1" fillId="6" borderId="0" xfId="0" applyFont="1" applyFill="1" applyAlignment="1" applyProtection="1">
      <alignment horizontal="center"/>
      <protection locked="0"/>
    </xf>
    <xf numFmtId="0" fontId="2" fillId="6" borderId="0" xfId="0" applyFont="1" applyFill="1" applyAlignment="1" applyProtection="1">
      <alignment horizontal="center"/>
      <protection locked="0"/>
    </xf>
    <xf numFmtId="0" fontId="1" fillId="8" borderId="0" xfId="0" applyFont="1" applyFill="1" applyAlignment="1">
      <alignment horizontal="center"/>
    </xf>
    <xf numFmtId="0" fontId="2" fillId="8" borderId="0" xfId="0" applyFont="1" applyFill="1" applyAlignment="1">
      <alignment horizontal="center"/>
    </xf>
    <xf numFmtId="0" fontId="2" fillId="8" borderId="0" xfId="0" applyFont="1" applyFill="1" applyAlignment="1">
      <alignment horizontal="left"/>
    </xf>
    <xf numFmtId="0" fontId="1" fillId="8" borderId="0" xfId="0" applyFont="1" applyFill="1" applyAlignment="1" applyProtection="1">
      <alignment horizontal="center"/>
      <protection locked="0"/>
    </xf>
    <xf numFmtId="0" fontId="2" fillId="8" borderId="0" xfId="0" applyFont="1" applyFill="1" applyAlignment="1" applyProtection="1">
      <alignment horizontal="center"/>
      <protection locked="0"/>
    </xf>
    <xf numFmtId="0" fontId="2" fillId="8" borderId="0" xfId="0" applyFont="1" applyFill="1" applyAlignment="1" applyProtection="1">
      <alignment horizontal="left"/>
      <protection locked="0"/>
    </xf>
    <xf numFmtId="0" fontId="1" fillId="6" borderId="0" xfId="0" applyFont="1" applyFill="1" applyAlignment="1">
      <alignment horizontal="center"/>
    </xf>
    <xf numFmtId="0" fontId="2" fillId="6" borderId="0" xfId="0" applyFont="1" applyFill="1" applyAlignment="1">
      <alignment horizontal="center"/>
    </xf>
    <xf numFmtId="0" fontId="2" fillId="6" borderId="0" xfId="0" applyFont="1" applyFill="1" applyAlignment="1">
      <alignment horizontal="left"/>
    </xf>
    <xf numFmtId="0" fontId="1" fillId="2" borderId="0" xfId="0" applyFont="1" applyFill="1" applyAlignment="1" applyProtection="1">
      <alignment horizontal="center"/>
      <protection locked="0"/>
    </xf>
    <xf numFmtId="0" fontId="2" fillId="2" borderId="0" xfId="0" applyFont="1" applyFill="1" applyAlignment="1" applyProtection="1">
      <alignment horizontal="center"/>
      <protection locked="0"/>
    </xf>
    <xf numFmtId="0" fontId="2" fillId="2" borderId="0" xfId="0" applyFont="1" applyFill="1" applyAlignment="1" applyProtection="1">
      <alignment horizontal="left"/>
      <protection locked="0"/>
    </xf>
    <xf numFmtId="0" fontId="1" fillId="2" borderId="0" xfId="0" applyFont="1" applyFill="1" applyAlignment="1">
      <alignment horizontal="center"/>
    </xf>
    <xf numFmtId="0" fontId="2" fillId="2" borderId="0" xfId="0" applyFont="1" applyFill="1" applyAlignment="1">
      <alignment horizontal="center"/>
    </xf>
    <xf numFmtId="0" fontId="2" fillId="2" borderId="0" xfId="0" applyFont="1" applyFill="1" applyAlignment="1">
      <alignment horizontal="left"/>
    </xf>
    <xf numFmtId="0" fontId="6" fillId="7" borderId="4" xfId="0" applyFont="1" applyFill="1" applyBorder="1" applyAlignment="1">
      <alignment horizontal="center"/>
    </xf>
    <xf numFmtId="0" fontId="3" fillId="0" borderId="5" xfId="0" applyFont="1" applyBorder="1"/>
    <xf numFmtId="0" fontId="3" fillId="0" borderId="6" xfId="0" applyFont="1" applyBorder="1"/>
    <xf numFmtId="0" fontId="6" fillId="19" borderId="4" xfId="0" applyFont="1" applyFill="1" applyBorder="1" applyAlignment="1">
      <alignment horizontal="center"/>
    </xf>
    <xf numFmtId="0" fontId="14" fillId="12" borderId="0" xfId="0" applyFont="1" applyFill="1" applyAlignment="1" applyProtection="1">
      <alignment horizontal="center"/>
      <protection locked="0"/>
    </xf>
    <xf numFmtId="0" fontId="3" fillId="0" borderId="13" xfId="0" applyFont="1" applyBorder="1" applyProtection="1">
      <protection locked="0"/>
    </xf>
    <xf numFmtId="0" fontId="6" fillId="17" borderId="4" xfId="0" applyFont="1" applyFill="1" applyBorder="1" applyAlignment="1">
      <alignment horizontal="center"/>
    </xf>
    <xf numFmtId="0" fontId="2" fillId="12" borderId="0" xfId="0" applyFont="1" applyFill="1" applyAlignment="1">
      <alignment horizontal="left"/>
    </xf>
    <xf numFmtId="0" fontId="12" fillId="13" borderId="0" xfId="0" applyFont="1" applyFill="1" applyAlignment="1">
      <alignment horizontal="center"/>
    </xf>
    <xf numFmtId="0" fontId="6" fillId="14" borderId="4" xfId="0" applyFont="1" applyFill="1" applyBorder="1" applyAlignment="1">
      <alignment horizontal="center"/>
    </xf>
    <xf numFmtId="0" fontId="23" fillId="23" borderId="0" xfId="0" applyFont="1" applyFill="1" applyAlignment="1">
      <alignment vertical="center" wrapText="1"/>
    </xf>
    <xf numFmtId="0" fontId="24" fillId="24" borderId="0" xfId="0" applyFont="1" applyFill="1" applyAlignment="1">
      <alignment vertical="center" wrapText="1"/>
    </xf>
    <xf numFmtId="0" fontId="24" fillId="24" borderId="0" xfId="0" applyFont="1" applyFill="1" applyAlignment="1">
      <alignment vertical="center"/>
    </xf>
    <xf numFmtId="0" fontId="24" fillId="24" borderId="0" xfId="0" applyFont="1" applyFill="1"/>
    <xf numFmtId="0" fontId="16" fillId="13" borderId="5" xfId="0" applyFont="1" applyFill="1" applyBorder="1" applyAlignment="1">
      <alignment horizontal="center"/>
    </xf>
    <xf numFmtId="0" fontId="12" fillId="6" borderId="0" xfId="0" applyFont="1" applyFill="1" applyAlignment="1">
      <alignment horizontal="center"/>
    </xf>
    <xf numFmtId="0" fontId="6" fillId="14" borderId="5" xfId="0" applyFont="1" applyFill="1" applyBorder="1" applyAlignment="1">
      <alignment horizontal="center"/>
    </xf>
    <xf numFmtId="0" fontId="2" fillId="12" borderId="0" xfId="0" applyFont="1" applyFill="1" applyAlignment="1">
      <alignment horizontal="center" wrapText="1"/>
    </xf>
    <xf numFmtId="0" fontId="0" fillId="0" borderId="0" xfId="0" applyAlignment="1">
      <alignment wrapText="1"/>
    </xf>
    <xf numFmtId="0" fontId="3" fillId="0" borderId="13" xfId="0" applyFont="1" applyBorder="1" applyAlignment="1">
      <alignment wrapText="1"/>
    </xf>
    <xf numFmtId="0" fontId="2" fillId="12" borderId="0" xfId="0" applyFont="1" applyFill="1" applyAlignment="1">
      <alignment horizontal="center"/>
    </xf>
    <xf numFmtId="0" fontId="3" fillId="0" borderId="13" xfId="0" applyFont="1" applyBorder="1"/>
    <xf numFmtId="0" fontId="6" fillId="0" borderId="0" xfId="0" applyFont="1" applyProtection="1">
      <protection locked="0"/>
    </xf>
    <xf numFmtId="0" fontId="18" fillId="0" borderId="0" xfId="0" applyFont="1" applyProtection="1">
      <protection locked="0"/>
    </xf>
    <xf numFmtId="0" fontId="3" fillId="0" borderId="14" xfId="0" applyFont="1" applyBorder="1" applyProtection="1">
      <protection locked="0"/>
    </xf>
    <xf numFmtId="0" fontId="6" fillId="20" borderId="0" xfId="0" applyFont="1" applyFill="1" applyAlignment="1">
      <alignment horizontal="center"/>
    </xf>
    <xf numFmtId="0" fontId="18" fillId="3" borderId="0" xfId="0" applyFont="1" applyFill="1" applyAlignment="1" applyProtection="1">
      <alignment horizontal="left" vertical="center" wrapText="1"/>
      <protection locked="0"/>
    </xf>
    <xf numFmtId="0" fontId="14" fillId="12" borderId="0" xfId="0" applyFont="1" applyFill="1" applyAlignment="1">
      <alignment horizontal="center" wrapText="1"/>
    </xf>
    <xf numFmtId="0" fontId="19" fillId="3" borderId="0" xfId="0" applyFont="1" applyFill="1" applyAlignment="1" applyProtection="1">
      <alignment horizontal="left" vertical="center" wrapText="1"/>
      <protection locked="0"/>
    </xf>
    <xf numFmtId="0" fontId="27" fillId="0" borderId="0" xfId="0" applyFont="1"/>
    <xf numFmtId="0" fontId="28" fillId="0" borderId="0" xfId="1" applyFont="1"/>
  </cellXfs>
  <cellStyles count="2">
    <cellStyle name="Hyperlink" xfId="1" builtinId="8"/>
    <cellStyle name="Normal" xfId="0" builtinId="0"/>
  </cellStyles>
  <dxfs count="9">
    <dxf>
      <fill>
        <patternFill patternType="solid">
          <fgColor rgb="FFEA9999"/>
          <bgColor rgb="FFEA9999"/>
        </patternFill>
      </fill>
    </dxf>
    <dxf>
      <fill>
        <patternFill patternType="solid">
          <fgColor rgb="FFB7E1CD"/>
          <bgColor rgb="FFB7E1CD"/>
        </patternFill>
      </fill>
    </dxf>
    <dxf>
      <fill>
        <patternFill patternType="solid">
          <fgColor rgb="FFEA9999"/>
          <bgColor rgb="FFEA9999"/>
        </patternFill>
      </fill>
    </dxf>
    <dxf>
      <fill>
        <patternFill patternType="solid">
          <fgColor rgb="FFFFE599"/>
          <bgColor rgb="FFFFE599"/>
        </patternFill>
      </fill>
    </dxf>
    <dxf>
      <fill>
        <patternFill patternType="solid">
          <fgColor rgb="FFB7E1CD"/>
          <bgColor rgb="FFB7E1CD"/>
        </patternFill>
      </fill>
    </dxf>
    <dxf>
      <font>
        <color rgb="FF000000"/>
      </font>
      <fill>
        <patternFill patternType="solid">
          <fgColor rgb="FFFFE599"/>
          <bgColor rgb="FFFFE599"/>
        </patternFill>
      </fill>
    </dxf>
    <dxf>
      <font>
        <color rgb="FF000000"/>
      </font>
      <fill>
        <patternFill patternType="solid">
          <fgColor rgb="FFEA9999"/>
          <bgColor rgb="FFEA9999"/>
        </patternFill>
      </fill>
    </dxf>
    <dxf>
      <fill>
        <patternFill patternType="solid">
          <fgColor rgb="FFB7E1CD"/>
          <bgColor rgb="FFB7E1CD"/>
        </patternFill>
      </fill>
    </dxf>
    <dxf>
      <fill>
        <patternFill patternType="solid">
          <fgColor rgb="FFEA9999"/>
          <bgColor rgb="FFEA999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7</xdr:col>
      <xdr:colOff>774700</xdr:colOff>
      <xdr:row>1</xdr:row>
      <xdr:rowOff>25400</xdr:rowOff>
    </xdr:from>
    <xdr:to>
      <xdr:col>22</xdr:col>
      <xdr:colOff>419100</xdr:colOff>
      <xdr:row>41</xdr:row>
      <xdr:rowOff>0</xdr:rowOff>
    </xdr:to>
    <xdr:sp macro="" textlink="">
      <xdr:nvSpPr>
        <xdr:cNvPr id="2" name="TextBox 1">
          <a:extLst>
            <a:ext uri="{FF2B5EF4-FFF2-40B4-BE49-F238E27FC236}">
              <a16:creationId xmlns:a16="http://schemas.microsoft.com/office/drawing/2014/main" id="{9E6047F5-D1D2-5E65-BA9F-89338EA66417}"/>
            </a:ext>
          </a:extLst>
        </xdr:cNvPr>
        <xdr:cNvSpPr txBox="1"/>
      </xdr:nvSpPr>
      <xdr:spPr>
        <a:xfrm>
          <a:off x="6553200" y="190500"/>
          <a:ext cx="12026900" cy="661670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ZA" sz="1200" b="1" i="0" u="none" strike="noStrike">
              <a:solidFill>
                <a:schemeClr val="dk1"/>
              </a:solidFill>
              <a:effectLst/>
              <a:latin typeface="+mn-lt"/>
              <a:ea typeface="+mn-ea"/>
              <a:cs typeface="+mn-cs"/>
            </a:rPr>
            <a:t>Context and</a:t>
          </a:r>
          <a:r>
            <a:rPr lang="en-ZA" sz="1200" b="1" i="0" u="none" strike="noStrike" baseline="0">
              <a:solidFill>
                <a:schemeClr val="dk1"/>
              </a:solidFill>
              <a:effectLst/>
              <a:latin typeface="+mn-lt"/>
              <a:ea typeface="+mn-ea"/>
              <a:cs typeface="+mn-cs"/>
            </a:rPr>
            <a:t> instructions</a:t>
          </a:r>
          <a:endParaRPr lang="en-ZA" sz="1200" b="1" i="0" u="none" strike="noStrike">
            <a:solidFill>
              <a:schemeClr val="dk1"/>
            </a:solidFill>
            <a:effectLst/>
            <a:latin typeface="+mn-lt"/>
            <a:ea typeface="+mn-ea"/>
            <a:cs typeface="+mn-cs"/>
          </a:endParaRPr>
        </a:p>
        <a:p>
          <a:pPr rtl="0"/>
          <a:endParaRPr lang="en-ZA" sz="1200" b="0" i="0" u="none" strike="noStrike">
            <a:solidFill>
              <a:schemeClr val="dk1"/>
            </a:solidFill>
            <a:effectLst/>
            <a:latin typeface="+mn-lt"/>
            <a:ea typeface="+mn-ea"/>
            <a:cs typeface="+mn-cs"/>
          </a:endParaRPr>
        </a:p>
        <a:p>
          <a:pPr rtl="0"/>
          <a:r>
            <a:rPr lang="en-ZA" sz="1200" b="0" i="0" u="none" strike="noStrike">
              <a:solidFill>
                <a:schemeClr val="dk1"/>
              </a:solidFill>
              <a:effectLst/>
              <a:latin typeface="+mn-lt"/>
              <a:ea typeface="+mn-ea"/>
              <a:cs typeface="+mn-cs"/>
            </a:rPr>
            <a:t>The first sheet, </a:t>
          </a:r>
          <a:r>
            <a:rPr lang="en-ZA" sz="1200" b="1" i="0" u="none" strike="noStrike">
              <a:solidFill>
                <a:schemeClr val="dk1"/>
              </a:solidFill>
              <a:effectLst/>
              <a:latin typeface="+mn-lt"/>
              <a:ea typeface="+mn-ea"/>
              <a:cs typeface="+mn-cs"/>
            </a:rPr>
            <a:t>main inputs</a:t>
          </a:r>
          <a:r>
            <a:rPr lang="en-ZA" sz="1200" b="0" i="0" u="none" strike="noStrike">
              <a:solidFill>
                <a:schemeClr val="dk1"/>
              </a:solidFill>
              <a:effectLst/>
              <a:latin typeface="+mn-lt"/>
              <a:ea typeface="+mn-ea"/>
              <a:cs typeface="+mn-cs"/>
            </a:rPr>
            <a:t>, is where users populate the model with input data. This data is automatically used by the model to calculate the outputs. The sheet is structured to ingest data of three staple crop value chains and one horticulture value chain in up to four countries. Colour coded data cells are those that users can edit. For example, users are requested to modify the number of hours that the equipment will be operational, the number of months per year that it will be operational and so forth. Users</a:t>
          </a:r>
          <a:r>
            <a:rPr lang="en-ZA" sz="1200" b="0" i="0" u="none" strike="noStrike" baseline="0">
              <a:solidFill>
                <a:schemeClr val="dk1"/>
              </a:solidFill>
              <a:effectLst/>
              <a:latin typeface="+mn-lt"/>
              <a:ea typeface="+mn-ea"/>
              <a:cs typeface="+mn-cs"/>
            </a:rPr>
            <a:t> can also insert the names of the countries and crops. </a:t>
          </a:r>
          <a:r>
            <a:rPr lang="en-ZA" sz="1200" b="0" i="0" u="none" strike="noStrike">
              <a:solidFill>
                <a:schemeClr val="dk1"/>
              </a:solidFill>
              <a:effectLst/>
              <a:latin typeface="+mn-lt"/>
              <a:ea typeface="+mn-ea"/>
              <a:cs typeface="+mn-cs"/>
            </a:rPr>
            <a:t>Cells that are white are automatic calculations that, in turn, automatically feed into the output sheets. All modifiable cells must be accurately populated by the user to ensure accurate outputs in the respective output sheets (e.g. "payback period</a:t>
          </a:r>
          <a:r>
            <a:rPr lang="en-ZA" sz="1200" b="0" i="0" u="none" strike="noStrike" baseline="0">
              <a:solidFill>
                <a:schemeClr val="dk1"/>
              </a:solidFill>
              <a:effectLst/>
              <a:latin typeface="+mn-lt"/>
              <a:ea typeface="+mn-ea"/>
              <a:cs typeface="+mn-cs"/>
            </a:rPr>
            <a:t> results" and "IRR results"</a:t>
          </a:r>
          <a:r>
            <a:rPr lang="en-ZA" sz="1200" b="0" i="0" u="none" strike="noStrike">
              <a:solidFill>
                <a:schemeClr val="dk1"/>
              </a:solidFill>
              <a:effectLst/>
              <a:latin typeface="+mn-lt"/>
              <a:ea typeface="+mn-ea"/>
              <a:cs typeface="+mn-cs"/>
            </a:rPr>
            <a:t>).</a:t>
          </a:r>
        </a:p>
        <a:p>
          <a:pPr rtl="0"/>
          <a:endParaRPr lang="en-ZA" sz="1200" b="0" i="0" u="none" strike="noStrike">
            <a:solidFill>
              <a:schemeClr val="dk1"/>
            </a:solidFill>
            <a:effectLst/>
            <a:latin typeface="+mn-lt"/>
            <a:ea typeface="+mn-ea"/>
            <a:cs typeface="+mn-cs"/>
          </a:endParaRPr>
        </a:p>
        <a:p>
          <a:pPr rtl="0"/>
          <a:r>
            <a:rPr lang="en-ZA" sz="1200" b="0" i="0" u="none" strike="noStrike">
              <a:solidFill>
                <a:schemeClr val="dk1"/>
              </a:solidFill>
              <a:effectLst/>
              <a:latin typeface="+mn-lt"/>
              <a:ea typeface="+mn-ea"/>
              <a:cs typeface="+mn-cs"/>
            </a:rPr>
            <a:t>The second</a:t>
          </a:r>
          <a:r>
            <a:rPr lang="en-ZA" sz="1200" b="0" i="0" u="none" strike="noStrike" baseline="0">
              <a:solidFill>
                <a:schemeClr val="dk1"/>
              </a:solidFill>
              <a:effectLst/>
              <a:latin typeface="+mn-lt"/>
              <a:ea typeface="+mn-ea"/>
              <a:cs typeface="+mn-cs"/>
            </a:rPr>
            <a:t> sheet,</a:t>
          </a:r>
          <a:r>
            <a:rPr lang="en-ZA" sz="1200" b="0" i="0" u="none" strike="noStrike">
              <a:solidFill>
                <a:schemeClr val="dk1"/>
              </a:solidFill>
              <a:effectLst/>
              <a:latin typeface="+mn-lt"/>
              <a:ea typeface="+mn-ea"/>
              <a:cs typeface="+mn-cs"/>
            </a:rPr>
            <a:t> </a:t>
          </a:r>
          <a:r>
            <a:rPr lang="en-ZA" sz="1200" b="1" i="0" u="none" strike="noStrike">
              <a:solidFill>
                <a:schemeClr val="dk1"/>
              </a:solidFill>
              <a:effectLst/>
              <a:latin typeface="+mn-lt"/>
              <a:ea typeface="+mn-ea"/>
              <a:cs typeface="+mn-cs"/>
            </a:rPr>
            <a:t>price margin inputs</a:t>
          </a:r>
          <a:r>
            <a:rPr lang="en-ZA" sz="1200" b="0" i="0" u="none" strike="noStrike">
              <a:solidFill>
                <a:schemeClr val="dk1"/>
              </a:solidFill>
              <a:effectLst/>
              <a:latin typeface="+mn-lt"/>
              <a:ea typeface="+mn-ea"/>
              <a:cs typeface="+mn-cs"/>
            </a:rPr>
            <a:t>, collects information about the price margin that the smallholder farmer generates as a result of operating the solar water pump (in the case of irrigation), dryer (in the case of drying) and so forth. Users can populate this data in one of two ways: Either by subtracting the price (per kilogram)</a:t>
          </a:r>
          <a:r>
            <a:rPr lang="en-ZA" sz="1200" b="0" i="0" u="none" strike="noStrike" baseline="0">
              <a:solidFill>
                <a:schemeClr val="dk1"/>
              </a:solidFill>
              <a:effectLst/>
              <a:latin typeface="+mn-lt"/>
              <a:ea typeface="+mn-ea"/>
              <a:cs typeface="+mn-cs"/>
            </a:rPr>
            <a:t> of a crop that has not been irrigated or processed </a:t>
          </a:r>
          <a:r>
            <a:rPr lang="en-ZA" sz="1200" b="0" i="0" u="none" strike="noStrike">
              <a:solidFill>
                <a:schemeClr val="dk1"/>
              </a:solidFill>
              <a:effectLst/>
              <a:latin typeface="+mn-lt"/>
              <a:ea typeface="+mn-ea"/>
              <a:cs typeface="+mn-cs"/>
            </a:rPr>
            <a:t>from the crop price </a:t>
          </a:r>
          <a:r>
            <a:rPr lang="en-ZA" sz="1200" b="1" i="0" u="none" strike="noStrike">
              <a:solidFill>
                <a:schemeClr val="dk1"/>
              </a:solidFill>
              <a:effectLst/>
              <a:latin typeface="+mn-lt"/>
              <a:ea typeface="+mn-ea"/>
              <a:cs typeface="+mn-cs"/>
            </a:rPr>
            <a:t>with </a:t>
          </a:r>
          <a:r>
            <a:rPr lang="en-ZA" sz="1200" b="0" i="0" u="none" strike="noStrike">
              <a:solidFill>
                <a:schemeClr val="dk1"/>
              </a:solidFill>
              <a:effectLst/>
              <a:latin typeface="+mn-lt"/>
              <a:ea typeface="+mn-ea"/>
              <a:cs typeface="+mn-cs"/>
            </a:rPr>
            <a:t>access to the pump or machine, or by skipping this calculation and directly inserting the margin.</a:t>
          </a:r>
          <a:r>
            <a:rPr lang="en-ZA" sz="1200" b="0" i="0" u="none" strike="noStrike" baseline="0">
              <a:solidFill>
                <a:schemeClr val="dk1"/>
              </a:solidFill>
              <a:effectLst/>
              <a:latin typeface="+mn-lt"/>
              <a:ea typeface="+mn-ea"/>
              <a:cs typeface="+mn-cs"/>
            </a:rPr>
            <a:t> </a:t>
          </a:r>
          <a:r>
            <a:rPr lang="en-ZA" sz="1200" b="0" i="0" u="none" strike="noStrike">
              <a:solidFill>
                <a:schemeClr val="dk1"/>
              </a:solidFill>
              <a:effectLst/>
              <a:latin typeface="+mn-lt"/>
              <a:ea typeface="+mn-ea"/>
              <a:cs typeface="+mn-cs"/>
            </a:rPr>
            <a:t>The price margin serves as an input into the annual marginal revenue calculations in the payback period results sheet.  </a:t>
          </a:r>
          <a:endParaRPr lang="en-ZA" sz="1200" b="0">
            <a:effectLst/>
          </a:endParaRPr>
        </a:p>
        <a:p>
          <a:endParaRPr lang="en-ZA" sz="1200"/>
        </a:p>
        <a:p>
          <a:pPr rtl="0"/>
          <a:r>
            <a:rPr lang="en-ZA" sz="1200" b="0" i="0" u="none" strike="noStrike">
              <a:solidFill>
                <a:schemeClr val="dk1"/>
              </a:solidFill>
              <a:effectLst/>
              <a:latin typeface="+mn-lt"/>
              <a:ea typeface="+mn-ea"/>
              <a:cs typeface="+mn-cs"/>
            </a:rPr>
            <a:t>The third</a:t>
          </a:r>
          <a:r>
            <a:rPr lang="en-ZA" sz="1200" b="0" i="0" u="none" strike="noStrike" baseline="0">
              <a:solidFill>
                <a:schemeClr val="dk1"/>
              </a:solidFill>
              <a:effectLst/>
              <a:latin typeface="+mn-lt"/>
              <a:ea typeface="+mn-ea"/>
              <a:cs typeface="+mn-cs"/>
            </a:rPr>
            <a:t> sheet </a:t>
          </a:r>
          <a:r>
            <a:rPr lang="en-ZA" sz="1200" b="0" i="0" u="none" strike="noStrike">
              <a:solidFill>
                <a:schemeClr val="dk1"/>
              </a:solidFill>
              <a:effectLst/>
              <a:latin typeface="+mn-lt"/>
              <a:ea typeface="+mn-ea"/>
              <a:cs typeface="+mn-cs"/>
            </a:rPr>
            <a:t>presents </a:t>
          </a:r>
          <a:r>
            <a:rPr lang="en-ZA" sz="1200" b="1" i="0" u="none" strike="noStrike">
              <a:solidFill>
                <a:schemeClr val="dk1"/>
              </a:solidFill>
              <a:effectLst/>
              <a:latin typeface="+mn-lt"/>
              <a:ea typeface="+mn-ea"/>
              <a:cs typeface="+mn-cs"/>
            </a:rPr>
            <a:t>payback period results</a:t>
          </a:r>
          <a:r>
            <a:rPr lang="en-ZA" sz="1200" b="0" i="0" u="none" strike="noStrike">
              <a:solidFill>
                <a:schemeClr val="dk1"/>
              </a:solidFill>
              <a:effectLst/>
              <a:latin typeface="+mn-lt"/>
              <a:ea typeface="+mn-ea"/>
              <a:cs typeface="+mn-cs"/>
            </a:rPr>
            <a:t>. “Payback (months)” (row 27) expresses the number of months it would take the smallholder farmer to recover the cost of the equipment. For agro-processing activities, the user can select whether the equipment is powered by a mini-grid or by the grid (row 30). As our report explained, standalone solar agro-processing is still nascent, so selection of “standalone” as an electricity source for agro-processing activities will lead to an error message. In the case of irrigation, only “standalone” is regarded by the model as a valid input, due to this being the preferable power source for irrigation (see section 1.1 of</a:t>
          </a:r>
          <a:r>
            <a:rPr lang="en-ZA" sz="1200" b="0" i="0" u="none" strike="noStrike" baseline="0">
              <a:solidFill>
                <a:schemeClr val="dk1"/>
              </a:solidFill>
              <a:effectLst/>
              <a:latin typeface="+mn-lt"/>
              <a:ea typeface="+mn-ea"/>
              <a:cs typeface="+mn-cs"/>
            </a:rPr>
            <a:t> our report</a:t>
          </a:r>
          <a:r>
            <a:rPr lang="en-ZA" sz="1200" b="0" i="0" u="none" strike="noStrike">
              <a:solidFill>
                <a:schemeClr val="dk1"/>
              </a:solidFill>
              <a:effectLst/>
              <a:latin typeface="+mn-lt"/>
              <a:ea typeface="+mn-ea"/>
              <a:cs typeface="+mn-cs"/>
            </a:rPr>
            <a:t> for an explanation).</a:t>
          </a:r>
          <a:r>
            <a:rPr lang="en-ZA" sz="1200" b="0" i="0" u="none" strike="noStrike" baseline="0">
              <a:solidFill>
                <a:schemeClr val="dk1"/>
              </a:solidFill>
              <a:effectLst/>
              <a:latin typeface="+mn-lt"/>
              <a:ea typeface="+mn-ea"/>
              <a:cs typeface="+mn-cs"/>
            </a:rPr>
            <a:t> </a:t>
          </a:r>
          <a:r>
            <a:rPr lang="en-ZA" sz="1200" b="0" i="0" u="none" strike="noStrike">
              <a:solidFill>
                <a:schemeClr val="dk1"/>
              </a:solidFill>
              <a:effectLst/>
              <a:latin typeface="+mn-lt"/>
              <a:ea typeface="+mn-ea"/>
              <a:cs typeface="+mn-cs"/>
            </a:rPr>
            <a:t>In row 32, the user is asked to select an irrigation scenario. Users are presented with four options as follows: </a:t>
          </a:r>
          <a:endParaRPr lang="en-ZA" sz="1200" b="0">
            <a:effectLst/>
          </a:endParaRPr>
        </a:p>
        <a:p>
          <a:pPr rtl="0" fontAlgn="base"/>
          <a:r>
            <a:rPr lang="en-ZA" sz="1200" b="1" i="0" u="none" strike="noStrike">
              <a:solidFill>
                <a:schemeClr val="dk1"/>
              </a:solidFill>
              <a:effectLst/>
              <a:latin typeface="+mn-lt"/>
              <a:ea typeface="+mn-ea"/>
              <a:cs typeface="+mn-cs"/>
            </a:rPr>
            <a:t> - No:</a:t>
          </a:r>
          <a:r>
            <a:rPr lang="en-ZA" sz="1200" b="0" i="0" u="none" strike="noStrike">
              <a:solidFill>
                <a:schemeClr val="dk1"/>
              </a:solidFill>
              <a:effectLst/>
              <a:latin typeface="+mn-lt"/>
              <a:ea typeface="+mn-ea"/>
              <a:cs typeface="+mn-cs"/>
            </a:rPr>
            <a:t> No second season irrigation. Thus only irrigation during rainy season</a:t>
          </a:r>
        </a:p>
        <a:p>
          <a:pPr rtl="0" fontAlgn="base"/>
          <a:r>
            <a:rPr lang="en-ZA" sz="1200" b="1" i="0" u="none" strike="noStrike">
              <a:solidFill>
                <a:schemeClr val="dk1"/>
              </a:solidFill>
              <a:effectLst/>
              <a:latin typeface="+mn-lt"/>
              <a:ea typeface="+mn-ea"/>
              <a:cs typeface="+mn-cs"/>
            </a:rPr>
            <a:t> - Mono-cultivation:</a:t>
          </a:r>
          <a:r>
            <a:rPr lang="en-ZA" sz="1200" b="0" i="0" u="none" strike="noStrike">
              <a:solidFill>
                <a:schemeClr val="dk1"/>
              </a:solidFill>
              <a:effectLst/>
              <a:latin typeface="+mn-lt"/>
              <a:ea typeface="+mn-ea"/>
              <a:cs typeface="+mn-cs"/>
            </a:rPr>
            <a:t> Two seasons of staple crop cultivation enabled by year-round access to irrigation.</a:t>
          </a:r>
        </a:p>
        <a:p>
          <a:pPr rtl="0" fontAlgn="base"/>
          <a:r>
            <a:rPr lang="en-ZA" sz="1200" b="1" i="0" u="none" strike="noStrike">
              <a:solidFill>
                <a:schemeClr val="dk1"/>
              </a:solidFill>
              <a:effectLst/>
              <a:latin typeface="+mn-lt"/>
              <a:ea typeface="+mn-ea"/>
              <a:cs typeface="+mn-cs"/>
            </a:rPr>
            <a:t> - Crop rotation:</a:t>
          </a:r>
          <a:r>
            <a:rPr lang="en-ZA" sz="1200" b="0" i="0" u="none" strike="noStrike">
              <a:solidFill>
                <a:schemeClr val="dk1"/>
              </a:solidFill>
              <a:effectLst/>
              <a:latin typeface="+mn-lt"/>
              <a:ea typeface="+mn-ea"/>
              <a:cs typeface="+mn-cs"/>
            </a:rPr>
            <a:t> Again year-round irrigation, but diversifying through one season with staple crop and the other with horticulture (tomato used as test case)</a:t>
          </a:r>
        </a:p>
        <a:p>
          <a:r>
            <a:rPr lang="en-ZA" sz="1200" b="1" i="0" u="none" strike="noStrike">
              <a:solidFill>
                <a:schemeClr val="dk1"/>
              </a:solidFill>
              <a:effectLst/>
              <a:latin typeface="+mn-lt"/>
              <a:ea typeface="+mn-ea"/>
              <a:cs typeface="+mn-cs"/>
            </a:rPr>
            <a:t> - Year-round horticulture</a:t>
          </a:r>
          <a:r>
            <a:rPr lang="en-ZA" sz="1200" b="0" i="0" u="none" strike="noStrike">
              <a:solidFill>
                <a:schemeClr val="dk1"/>
              </a:solidFill>
              <a:effectLst/>
              <a:latin typeface="+mn-lt"/>
              <a:ea typeface="+mn-ea"/>
              <a:cs typeface="+mn-cs"/>
            </a:rPr>
            <a:t>: Again year-round irrigation, but no cultivation of staple crops, only horticulture (year-round horticulture only selectable in horticulture columns - P, AB, AQ &amp; BE).</a:t>
          </a:r>
          <a:br>
            <a:rPr lang="en-ZA" sz="1200"/>
          </a:br>
          <a:endParaRPr lang="en-ZA" sz="1200"/>
        </a:p>
        <a:p>
          <a:r>
            <a:rPr lang="en-ZA" sz="1200" b="0" i="0" u="none" strike="noStrike">
              <a:solidFill>
                <a:schemeClr val="dk1"/>
              </a:solidFill>
              <a:effectLst/>
              <a:latin typeface="+mn-lt"/>
              <a:ea typeface="+mn-ea"/>
              <a:cs typeface="+mn-cs"/>
            </a:rPr>
            <a:t>The fourth sheet runs in parallel to sheet 3 and serves as an output sheet. The sheet calculates the </a:t>
          </a:r>
          <a:r>
            <a:rPr lang="en-ZA" sz="1200" b="1" i="0" u="none" strike="noStrike">
              <a:solidFill>
                <a:schemeClr val="dk1"/>
              </a:solidFill>
              <a:effectLst/>
              <a:latin typeface="+mn-lt"/>
              <a:ea typeface="+mn-ea"/>
              <a:cs typeface="+mn-cs"/>
            </a:rPr>
            <a:t>NPV and IRR </a:t>
          </a:r>
          <a:r>
            <a:rPr lang="en-ZA" sz="1200" b="0" i="0" u="none" strike="noStrike">
              <a:solidFill>
                <a:schemeClr val="dk1"/>
              </a:solidFill>
              <a:effectLst/>
              <a:latin typeface="+mn-lt"/>
              <a:ea typeface="+mn-ea"/>
              <a:cs typeface="+mn-cs"/>
            </a:rPr>
            <a:t>from the initial capital outlay and the subsequent income year-on-year for 10 years. If the NPV is positive, the investment is regarded as profitable. </a:t>
          </a:r>
        </a:p>
        <a:p>
          <a:endParaRPr lang="en-ZA" sz="1200" b="0" i="0" u="none" strike="noStrike">
            <a:solidFill>
              <a:schemeClr val="dk1"/>
            </a:solidFill>
            <a:effectLst/>
            <a:latin typeface="+mn-lt"/>
            <a:ea typeface="+mn-ea"/>
            <a:cs typeface="+mn-cs"/>
          </a:endParaRPr>
        </a:p>
        <a:p>
          <a:pPr rtl="0"/>
          <a:r>
            <a:rPr lang="en-ZA" sz="1200" b="0" i="0" u="none" strike="noStrike">
              <a:solidFill>
                <a:schemeClr val="dk1"/>
              </a:solidFill>
              <a:effectLst/>
              <a:latin typeface="+mn-lt"/>
              <a:ea typeface="+mn-ea"/>
              <a:cs typeface="+mn-cs"/>
            </a:rPr>
            <a:t>The</a:t>
          </a:r>
          <a:r>
            <a:rPr lang="en-ZA" sz="1200" b="0" i="0" u="none" strike="noStrike" baseline="0">
              <a:solidFill>
                <a:schemeClr val="dk1"/>
              </a:solidFill>
              <a:effectLst/>
              <a:latin typeface="+mn-lt"/>
              <a:ea typeface="+mn-ea"/>
              <a:cs typeface="+mn-cs"/>
            </a:rPr>
            <a:t> remaining sheets are designed to ingest data for</a:t>
          </a:r>
          <a:r>
            <a:rPr lang="en-ZA" sz="1200" b="1" i="0" u="none" strike="noStrike" baseline="0">
              <a:solidFill>
                <a:schemeClr val="dk1"/>
              </a:solidFill>
              <a:effectLst/>
              <a:latin typeface="+mn-lt"/>
              <a:ea typeface="+mn-ea"/>
              <a:cs typeface="+mn-cs"/>
            </a:rPr>
            <a:t> irrigation </a:t>
          </a:r>
          <a:r>
            <a:rPr lang="en-ZA" sz="1200" b="0" i="0" u="none" strike="noStrike" baseline="0">
              <a:solidFill>
                <a:schemeClr val="dk1"/>
              </a:solidFill>
              <a:effectLst/>
              <a:latin typeface="+mn-lt"/>
              <a:ea typeface="+mn-ea"/>
              <a:cs typeface="+mn-cs"/>
            </a:rPr>
            <a:t>calculations. </a:t>
          </a:r>
          <a:r>
            <a:rPr lang="en-ZA" sz="1200" b="0" i="0" u="none" strike="noStrike">
              <a:solidFill>
                <a:schemeClr val="dk1"/>
              </a:solidFill>
              <a:effectLst/>
              <a:latin typeface="+mn-lt"/>
              <a:ea typeface="+mn-ea"/>
              <a:cs typeface="+mn-cs"/>
            </a:rPr>
            <a:t>The first table on each</a:t>
          </a:r>
          <a:r>
            <a:rPr lang="en-ZA" sz="1200" b="0" i="0" u="none" strike="noStrike" baseline="0">
              <a:solidFill>
                <a:schemeClr val="dk1"/>
              </a:solidFill>
              <a:effectLst/>
              <a:latin typeface="+mn-lt"/>
              <a:ea typeface="+mn-ea"/>
              <a:cs typeface="+mn-cs"/>
            </a:rPr>
            <a:t> </a:t>
          </a:r>
          <a:r>
            <a:rPr lang="en-ZA" sz="1200" b="0" i="0" u="none" strike="noStrike">
              <a:solidFill>
                <a:schemeClr val="dk1"/>
              </a:solidFill>
              <a:effectLst/>
              <a:latin typeface="+mn-lt"/>
              <a:ea typeface="+mn-ea"/>
              <a:cs typeface="+mn-cs"/>
            </a:rPr>
            <a:t>sheet is for information only, where users can insert data pertaining to technical specifications and other details about the solar water pump being modeled. The next section automatically calculates yield increases in staple crops as a result of irrigation, drawing on user inputs pertaining to how many months in the year the farmer uses the pump in the mono-cultivation and crop rotation scenarios respectively, whether there is only one season or two seasons in the year during which irrigation is carried out, estimated differences between rainfed yield and irrigated yield, and so forth. The sheet then displays auto-calculations towards generating outputs for the marginal annual revenue that the smallholder farmer will experience as a result of irrigation in each irrigation scenario: No second season, mono-cultivation, crop rotation and year-round irrigated horticulture. Users are only required to insert the average yield and price of irrigated crop in the horticulture scenario, seeing that data for these indicators in the other three scenarios are already inserted one step earlier. </a:t>
          </a:r>
          <a:r>
            <a:rPr lang="en-ZA" sz="1200" b="0" i="0" u="none" strike="noStrike" baseline="0">
              <a:solidFill>
                <a:schemeClr val="dk1"/>
              </a:solidFill>
              <a:effectLst/>
              <a:latin typeface="+mn-lt"/>
              <a:ea typeface="+mn-ea"/>
              <a:cs typeface="+mn-cs"/>
            </a:rPr>
            <a:t> </a:t>
          </a:r>
          <a:endParaRPr lang="en-GB" sz="1200"/>
        </a:p>
      </xdr:txBody>
    </xdr:sp>
    <xdr:clientData/>
  </xdr:twoCellAnchor>
  <xdr:twoCellAnchor>
    <xdr:from>
      <xdr:col>0</xdr:col>
      <xdr:colOff>38100</xdr:colOff>
      <xdr:row>1</xdr:row>
      <xdr:rowOff>25400</xdr:rowOff>
    </xdr:from>
    <xdr:to>
      <xdr:col>7</xdr:col>
      <xdr:colOff>660400</xdr:colOff>
      <xdr:row>38</xdr:row>
      <xdr:rowOff>76200</xdr:rowOff>
    </xdr:to>
    <xdr:sp macro="" textlink="">
      <xdr:nvSpPr>
        <xdr:cNvPr id="3" name="TextBox 2">
          <a:extLst>
            <a:ext uri="{FF2B5EF4-FFF2-40B4-BE49-F238E27FC236}">
              <a16:creationId xmlns:a16="http://schemas.microsoft.com/office/drawing/2014/main" id="{4670760C-9DB5-0ED7-655B-1E101BD04017}"/>
            </a:ext>
          </a:extLst>
        </xdr:cNvPr>
        <xdr:cNvSpPr txBox="1"/>
      </xdr:nvSpPr>
      <xdr:spPr>
        <a:xfrm>
          <a:off x="38100" y="190500"/>
          <a:ext cx="6400800" cy="6159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ZA" sz="1600" b="1" i="0" u="none" strike="noStrike">
              <a:solidFill>
                <a:schemeClr val="dk1"/>
              </a:solidFill>
              <a:effectLst/>
              <a:latin typeface="+mn-lt"/>
              <a:ea typeface="+mn-ea"/>
              <a:cs typeface="+mn-cs"/>
            </a:rPr>
            <a:t>Introduction</a:t>
          </a:r>
        </a:p>
        <a:p>
          <a:pPr marL="0" marR="0" lvl="0" indent="0" defTabSz="914400" eaLnBrk="1" fontAlgn="auto" latinLnBrk="0" hangingPunct="1">
            <a:lnSpc>
              <a:spcPct val="100000"/>
            </a:lnSpc>
            <a:spcBef>
              <a:spcPts val="0"/>
            </a:spcBef>
            <a:spcAft>
              <a:spcPts val="0"/>
            </a:spcAft>
            <a:buClrTx/>
            <a:buSzTx/>
            <a:buFontTx/>
            <a:buNone/>
            <a:tabLst/>
            <a:defRPr/>
          </a:pPr>
          <a:endParaRPr lang="en-ZA" sz="1400" b="0" i="0" u="none" strike="noStrike">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ZA" sz="1400" b="0" i="0" u="none" strike="noStrike">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ZA" sz="1400" b="0" i="0" u="none" strike="noStrike">
              <a:solidFill>
                <a:schemeClr val="dk1"/>
              </a:solidFill>
              <a:effectLst/>
              <a:latin typeface="+mn-lt"/>
              <a:ea typeface="+mn-ea"/>
              <a:cs typeface="+mn-cs"/>
            </a:rPr>
            <a:t>This agro-processing and irrigation techno-economic model was developed by experts from TFE; André Troost</a:t>
          </a:r>
          <a:r>
            <a:rPr lang="en-ZA" sz="1400" b="0" i="0" u="none" strike="noStrike" baseline="0">
              <a:solidFill>
                <a:schemeClr val="dk1"/>
              </a:solidFill>
              <a:effectLst/>
              <a:latin typeface="+mn-lt"/>
              <a:ea typeface="+mn-ea"/>
              <a:cs typeface="+mn-cs"/>
            </a:rPr>
            <a:t> and Matias Küstner. Development of the model formed part of the Renewable Energy for African Agriculture project under the European Union - African Union Partnership on Renewable Energy (LEAP-RE). Its results are presented in our report </a:t>
          </a:r>
          <a:r>
            <a:rPr lang="en-ZA" sz="1400" b="1" i="1" u="none" strike="noStrike" baseline="0">
              <a:solidFill>
                <a:schemeClr val="dk1"/>
              </a:solidFill>
              <a:effectLst/>
              <a:latin typeface="+mn-lt"/>
              <a:ea typeface="+mn-ea"/>
              <a:cs typeface="+mn-cs"/>
            </a:rPr>
            <a:t>Business Models for Electrification of Smallholder Agriculture in sub-Saharan Africa</a:t>
          </a:r>
          <a:r>
            <a:rPr lang="en-ZA" sz="1400" b="0" i="1" u="none" strike="noStrike" baseline="0">
              <a:solidFill>
                <a:schemeClr val="dk1"/>
              </a:solidFill>
              <a:effectLst/>
              <a:latin typeface="+mn-lt"/>
              <a:ea typeface="+mn-ea"/>
              <a:cs typeface="+mn-cs"/>
            </a:rPr>
            <a:t>, </a:t>
          </a:r>
          <a:r>
            <a:rPr lang="en-ZA" sz="1400" b="0" i="0" u="none" strike="noStrike" baseline="0">
              <a:solidFill>
                <a:schemeClr val="dk1"/>
              </a:solidFill>
              <a:effectLst/>
              <a:latin typeface="+mn-lt"/>
              <a:ea typeface="+mn-ea"/>
              <a:cs typeface="+mn-cs"/>
            </a:rPr>
            <a:t>accessible at the link below. The report also covers factors that affect business model implementation. </a:t>
          </a:r>
        </a:p>
        <a:p>
          <a:pPr marL="0" marR="0" lvl="0" indent="0" defTabSz="914400" eaLnBrk="1" fontAlgn="auto" latinLnBrk="0" hangingPunct="1">
            <a:lnSpc>
              <a:spcPct val="100000"/>
            </a:lnSpc>
            <a:spcBef>
              <a:spcPts val="0"/>
            </a:spcBef>
            <a:spcAft>
              <a:spcPts val="0"/>
            </a:spcAft>
            <a:buClrTx/>
            <a:buSzTx/>
            <a:buFontTx/>
            <a:buNone/>
            <a:tabLst/>
            <a:defRPr/>
          </a:pPr>
          <a:endParaRPr lang="en-ZA" sz="1400" b="0" i="0" u="none" strike="noStrike"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ZA" sz="1400" b="0" i="0" u="none" strike="noStrike" baseline="0">
              <a:solidFill>
                <a:schemeClr val="dk1"/>
              </a:solidFill>
              <a:effectLst/>
              <a:latin typeface="+mn-lt"/>
              <a:ea typeface="+mn-ea"/>
              <a:cs typeface="+mn-cs"/>
            </a:rPr>
            <a:t>This model </a:t>
          </a:r>
          <a:r>
            <a:rPr lang="en-ZA" sz="1400" b="0" i="0" u="none" strike="noStrike">
              <a:solidFill>
                <a:schemeClr val="dk1"/>
              </a:solidFill>
              <a:effectLst/>
              <a:latin typeface="+mn-lt"/>
              <a:ea typeface="+mn-ea"/>
              <a:cs typeface="+mn-cs"/>
            </a:rPr>
            <a:t>is designed to measure the financial viability of purchasing and operating solar water pumps and agro-processing machinery among smallholder farmers. The model has been pre-populated with data from the main agricultural value chains in Nigeria, Rwanda, Zambia</a:t>
          </a:r>
          <a:r>
            <a:rPr lang="en-ZA" sz="1400" b="0" i="0" u="none" strike="noStrike" baseline="0">
              <a:solidFill>
                <a:schemeClr val="dk1"/>
              </a:solidFill>
              <a:effectLst/>
              <a:latin typeface="+mn-lt"/>
              <a:ea typeface="+mn-ea"/>
              <a:cs typeface="+mn-cs"/>
            </a:rPr>
            <a:t> and Zimbabwe. </a:t>
          </a:r>
        </a:p>
        <a:p>
          <a:pPr marL="0" marR="0" lvl="0" indent="0" defTabSz="914400" eaLnBrk="1" fontAlgn="auto" latinLnBrk="0" hangingPunct="1">
            <a:lnSpc>
              <a:spcPct val="100000"/>
            </a:lnSpc>
            <a:spcBef>
              <a:spcPts val="0"/>
            </a:spcBef>
            <a:spcAft>
              <a:spcPts val="0"/>
            </a:spcAft>
            <a:buClrTx/>
            <a:buSzTx/>
            <a:buFontTx/>
            <a:buNone/>
            <a:tabLst/>
            <a:defRPr/>
          </a:pPr>
          <a:endParaRPr lang="en-ZA" sz="1400" b="0" i="0" u="none" strike="noStrike"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ZA" sz="1400"/>
            <a:t>For any questions or</a:t>
          </a:r>
          <a:r>
            <a:rPr lang="en-ZA" sz="1400" baseline="0"/>
            <a:t> feedback, get in touch at </a:t>
          </a:r>
          <a:r>
            <a:rPr lang="en-ZA" sz="1400" b="1" baseline="0"/>
            <a:t>hello@tfe.energy. </a:t>
          </a:r>
        </a:p>
        <a:p>
          <a:pPr marL="0" marR="0" lvl="0" indent="0" defTabSz="914400" eaLnBrk="1" fontAlgn="auto" latinLnBrk="0" hangingPunct="1">
            <a:lnSpc>
              <a:spcPct val="100000"/>
            </a:lnSpc>
            <a:spcBef>
              <a:spcPts val="0"/>
            </a:spcBef>
            <a:spcAft>
              <a:spcPts val="0"/>
            </a:spcAft>
            <a:buClrTx/>
            <a:buSzTx/>
            <a:buFontTx/>
            <a:buNone/>
            <a:tabLst/>
            <a:defRPr/>
          </a:pPr>
          <a:endParaRPr lang="en-ZA" sz="1400" b="1" i="0" u="none" strike="noStrike"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ZA" sz="1400" b="1" i="0" u="none" strike="noStrike"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ZA" sz="1400" b="1" i="0" u="none" strike="noStrike"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ZA" sz="1400" b="1" i="0" u="none" strike="noStrike">
            <a:solidFill>
              <a:schemeClr val="dk1"/>
            </a:solidFill>
            <a:effectLst/>
            <a:latin typeface="+mn-lt"/>
            <a:ea typeface="+mn-ea"/>
            <a:cs typeface="+mn-cs"/>
          </a:endParaRPr>
        </a:p>
        <a:p>
          <a:endParaRPr lang="en-GB" sz="1100"/>
        </a:p>
      </xdr:txBody>
    </xdr:sp>
    <xdr:clientData/>
  </xdr:twoCellAnchor>
  <xdr:twoCellAnchor editAs="oneCell">
    <xdr:from>
      <xdr:col>0</xdr:col>
      <xdr:colOff>711199</xdr:colOff>
      <xdr:row>27</xdr:row>
      <xdr:rowOff>50800</xdr:rowOff>
    </xdr:from>
    <xdr:to>
      <xdr:col>3</xdr:col>
      <xdr:colOff>259442</xdr:colOff>
      <xdr:row>29</xdr:row>
      <xdr:rowOff>114300</xdr:rowOff>
    </xdr:to>
    <xdr:pic>
      <xdr:nvPicPr>
        <xdr:cNvPr id="4" name="Picture 3">
          <a:extLst>
            <a:ext uri="{FF2B5EF4-FFF2-40B4-BE49-F238E27FC236}">
              <a16:creationId xmlns:a16="http://schemas.microsoft.com/office/drawing/2014/main" id="{526124BA-3691-39C7-2D46-57CCD838BB3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11199" y="4508500"/>
          <a:ext cx="2024743" cy="393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482600</xdr:colOff>
      <xdr:row>25</xdr:row>
      <xdr:rowOff>0</xdr:rowOff>
    </xdr:from>
    <xdr:to>
      <xdr:col>6</xdr:col>
      <xdr:colOff>685800</xdr:colOff>
      <xdr:row>31</xdr:row>
      <xdr:rowOff>139700</xdr:rowOff>
    </xdr:to>
    <xdr:pic>
      <xdr:nvPicPr>
        <xdr:cNvPr id="5" name="Picture 4">
          <a:extLst>
            <a:ext uri="{FF2B5EF4-FFF2-40B4-BE49-F238E27FC236}">
              <a16:creationId xmlns:a16="http://schemas.microsoft.com/office/drawing/2014/main" id="{29BAD202-BF4D-71D3-F47A-C82208E5BF75}"/>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784600" y="4127500"/>
          <a:ext cx="1854200" cy="1130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139700</xdr:colOff>
      <xdr:row>32</xdr:row>
      <xdr:rowOff>25400</xdr:rowOff>
    </xdr:from>
    <xdr:to>
      <xdr:col>7</xdr:col>
      <xdr:colOff>558800</xdr:colOff>
      <xdr:row>36</xdr:row>
      <xdr:rowOff>156807</xdr:rowOff>
    </xdr:to>
    <xdr:pic>
      <xdr:nvPicPr>
        <xdr:cNvPr id="7" name="Picture 6">
          <a:extLst>
            <a:ext uri="{FF2B5EF4-FFF2-40B4-BE49-F238E27FC236}">
              <a16:creationId xmlns:a16="http://schemas.microsoft.com/office/drawing/2014/main" id="{4DC7D08D-022C-DEBF-965B-0C8007C5FB96}"/>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39700" y="5308600"/>
          <a:ext cx="6197600" cy="791807"/>
        </a:xfrm>
        <a:prstGeom prst="rect">
          <a:avLst/>
        </a:prstGeom>
        <a:ln>
          <a:noFill/>
        </a:ln>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rive.google.com/file/d/11w_tQopUCgLEaOIoq3D6GzgnnJrcwPeN/view?usp=drive_link"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hyperlink" Target="https://www.howmany.wiki/wv/How-many--ml--of--peanut+butter--in--1--kg" TargetMode="External"/><Relationship Id="rId2" Type="http://schemas.openxmlformats.org/officeDocument/2006/relationships/hyperlink" Target="https://www.quora.com/How-many-kg-of-peanuts-give-1-kg-of-peanut-butter" TargetMode="External"/><Relationship Id="rId1" Type="http://schemas.openxmlformats.org/officeDocument/2006/relationships/hyperlink" Target="https://zimpricecheck.com/market-intelligence/shops-hike-the-prices-of-sugar-and-peanut-butter/"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hyperlink" Target="https://upcommons.upc.edu/bitstream/handle/2117/371758/master-thesis-matias-k-stner-msc-energy-engineering.pdf?sequence=1"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hyperlink" Target="https://futurepump.com/solar-water-pump-datasheet-sf2/" TargetMode="External"/></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hyperlink" Target="https://futurepump.com/solar-water-pump-datasheet-sf2/" TargetMode="External"/></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hyperlink" Target="https://shinkoafrika.net/solar-and-hybrid-pumpsets-packag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DEC2D-072A-7349-9016-BD03F6576125}">
  <dimension ref="A41:D41"/>
  <sheetViews>
    <sheetView tabSelected="1" workbookViewId="0">
      <selection activeCell="M46" sqref="M46"/>
    </sheetView>
  </sheetViews>
  <sheetFormatPr baseColWidth="10" defaultRowHeight="13" x14ac:dyDescent="0.15"/>
  <sheetData>
    <row r="41" spans="1:4" ht="16" x14ac:dyDescent="0.2">
      <c r="A41" s="325" t="s">
        <v>227</v>
      </c>
      <c r="B41" s="325"/>
      <c r="C41" s="325"/>
      <c r="D41" s="326" t="s">
        <v>228</v>
      </c>
    </row>
  </sheetData>
  <sheetProtection algorithmName="SHA-512" hashValue="oDjy0jfAJi8Al5lGLCWURXzq0e99ZZwA4L2178q4/Eukv7MUyvtFP+9BFN9Mg7uO7f4ozROEcoErjKsQl8zuKg==" saltValue="Zgc/Xfee4QMqakJGK7C1eg==" spinCount="100000" sheet="1" objects="1" scenarios="1"/>
  <hyperlinks>
    <hyperlink ref="D41" r:id="rId1" xr:uid="{AC6245E0-95B6-1B40-B3D7-CA83780E6BC9}"/>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21"/>
  <sheetViews>
    <sheetView zoomScale="110" zoomScaleNormal="110" workbookViewId="0">
      <pane xSplit="2" topLeftCell="C1" activePane="topRight" state="frozen"/>
      <selection pane="topRight" activeCell="A7" sqref="A7"/>
    </sheetView>
  </sheetViews>
  <sheetFormatPr baseColWidth="10" defaultColWidth="12.6640625" defaultRowHeight="15.75" customHeight="1" x14ac:dyDescent="0.15"/>
  <cols>
    <col min="1" max="1" width="55" customWidth="1"/>
  </cols>
  <sheetData>
    <row r="1" spans="1:26" ht="15.75" customHeight="1" x14ac:dyDescent="0.15">
      <c r="A1" s="293" t="s">
        <v>56</v>
      </c>
      <c r="B1" s="270"/>
      <c r="C1" s="294" t="s">
        <v>0</v>
      </c>
      <c r="D1" s="270"/>
      <c r="E1" s="270"/>
      <c r="F1" s="278"/>
      <c r="G1" s="294" t="s">
        <v>1</v>
      </c>
      <c r="H1" s="270"/>
      <c r="I1" s="270"/>
      <c r="J1" s="270"/>
      <c r="K1" s="278"/>
      <c r="L1" s="294" t="s">
        <v>2</v>
      </c>
      <c r="M1" s="270"/>
      <c r="N1" s="270"/>
      <c r="O1" s="278"/>
      <c r="P1" s="295" t="s">
        <v>3</v>
      </c>
      <c r="Q1" s="270"/>
      <c r="R1" s="270"/>
      <c r="S1" s="270"/>
    </row>
    <row r="2" spans="1:26" ht="15.75" customHeight="1" x14ac:dyDescent="0.15">
      <c r="A2" s="290" t="s">
        <v>4</v>
      </c>
      <c r="B2" s="272"/>
      <c r="C2" s="291" t="s">
        <v>5</v>
      </c>
      <c r="D2" s="272"/>
      <c r="E2" s="272"/>
      <c r="F2" s="274"/>
      <c r="G2" s="291" t="s">
        <v>6</v>
      </c>
      <c r="H2" s="272"/>
      <c r="I2" s="272"/>
      <c r="J2" s="272"/>
      <c r="K2" s="274"/>
      <c r="L2" s="291" t="s">
        <v>7</v>
      </c>
      <c r="M2" s="272"/>
      <c r="N2" s="272"/>
      <c r="O2" s="274"/>
      <c r="P2" s="292" t="s">
        <v>8</v>
      </c>
      <c r="Q2" s="272"/>
      <c r="R2" s="272"/>
      <c r="S2" s="272"/>
    </row>
    <row r="3" spans="1:26" ht="15.75" customHeight="1" x14ac:dyDescent="0.15">
      <c r="A3" s="112" t="s">
        <v>223</v>
      </c>
      <c r="B3" s="112" t="s">
        <v>9</v>
      </c>
      <c r="C3" s="22" t="s">
        <v>10</v>
      </c>
      <c r="D3" s="22" t="s">
        <v>11</v>
      </c>
      <c r="E3" s="22" t="s">
        <v>12</v>
      </c>
      <c r="F3" s="23" t="s">
        <v>13</v>
      </c>
      <c r="G3" s="22" t="s">
        <v>10</v>
      </c>
      <c r="H3" s="22" t="s">
        <v>14</v>
      </c>
      <c r="I3" s="22" t="s">
        <v>15</v>
      </c>
      <c r="J3" s="22" t="s">
        <v>13</v>
      </c>
      <c r="K3" s="23" t="s">
        <v>16</v>
      </c>
      <c r="L3" s="22" t="s">
        <v>10</v>
      </c>
      <c r="M3" s="22" t="s">
        <v>17</v>
      </c>
      <c r="N3" s="22" t="s">
        <v>11</v>
      </c>
      <c r="O3" s="23" t="s">
        <v>13</v>
      </c>
      <c r="P3" s="22" t="s">
        <v>10</v>
      </c>
      <c r="Q3" s="152"/>
      <c r="R3" s="152"/>
      <c r="S3" s="152"/>
      <c r="T3" s="153"/>
      <c r="U3" s="153"/>
      <c r="V3" s="153"/>
      <c r="W3" s="153"/>
      <c r="X3" s="153"/>
      <c r="Y3" s="153"/>
      <c r="Z3" s="153"/>
    </row>
    <row r="4" spans="1:26" ht="15.75" customHeight="1" x14ac:dyDescent="0.15">
      <c r="A4" s="111" t="s">
        <v>18</v>
      </c>
      <c r="B4" s="1"/>
      <c r="C4" s="1"/>
      <c r="D4" s="1"/>
      <c r="E4" s="1"/>
      <c r="F4" s="136"/>
      <c r="G4" s="1"/>
      <c r="H4" s="1"/>
      <c r="I4" s="1"/>
      <c r="J4" s="1"/>
      <c r="K4" s="136"/>
      <c r="L4" s="1"/>
      <c r="M4" s="1"/>
      <c r="N4" s="1"/>
      <c r="O4" s="136"/>
      <c r="P4" s="1"/>
      <c r="Q4" s="138"/>
      <c r="R4" s="138"/>
      <c r="S4" s="138"/>
      <c r="T4" s="138"/>
      <c r="U4" s="138"/>
      <c r="V4" s="138"/>
      <c r="W4" s="138"/>
      <c r="X4" s="138"/>
      <c r="Y4" s="138"/>
      <c r="Z4" s="138"/>
    </row>
    <row r="5" spans="1:26" ht="15.75" customHeight="1" x14ac:dyDescent="0.15">
      <c r="A5" s="151" t="s">
        <v>19</v>
      </c>
      <c r="B5" s="145" t="s">
        <v>20</v>
      </c>
      <c r="C5" s="26">
        <v>6</v>
      </c>
      <c r="D5" s="26">
        <v>6</v>
      </c>
      <c r="E5" s="26">
        <v>5</v>
      </c>
      <c r="F5" s="27">
        <v>5</v>
      </c>
      <c r="G5" s="26">
        <v>6</v>
      </c>
      <c r="H5" s="26">
        <v>5</v>
      </c>
      <c r="I5" s="26">
        <v>5</v>
      </c>
      <c r="J5" s="26">
        <v>5</v>
      </c>
      <c r="K5" s="27">
        <v>5</v>
      </c>
      <c r="L5" s="26">
        <v>6</v>
      </c>
      <c r="M5" s="26">
        <v>5</v>
      </c>
      <c r="N5" s="26">
        <v>6</v>
      </c>
      <c r="O5" s="27">
        <v>5</v>
      </c>
      <c r="P5" s="26">
        <v>6</v>
      </c>
    </row>
    <row r="6" spans="1:26" ht="15.75" customHeight="1" x14ac:dyDescent="0.15">
      <c r="A6" s="146" t="s">
        <v>21</v>
      </c>
      <c r="B6" s="145" t="s">
        <v>22</v>
      </c>
      <c r="C6" s="26">
        <v>6</v>
      </c>
      <c r="D6" s="26">
        <v>2</v>
      </c>
      <c r="E6" s="26">
        <v>2</v>
      </c>
      <c r="F6" s="27">
        <v>6</v>
      </c>
      <c r="G6" s="26">
        <v>12</v>
      </c>
      <c r="H6" s="26">
        <v>12</v>
      </c>
      <c r="I6" s="26">
        <v>12</v>
      </c>
      <c r="J6" s="26">
        <v>12</v>
      </c>
      <c r="K6" s="27">
        <v>12</v>
      </c>
      <c r="L6" s="26">
        <v>5</v>
      </c>
      <c r="M6" s="26">
        <v>2</v>
      </c>
      <c r="N6" s="26">
        <v>2</v>
      </c>
      <c r="O6" s="27">
        <v>4</v>
      </c>
      <c r="P6" s="26">
        <v>5</v>
      </c>
    </row>
    <row r="7" spans="1:26" ht="15.75" customHeight="1" x14ac:dyDescent="0.15">
      <c r="A7" s="146" t="s">
        <v>23</v>
      </c>
      <c r="B7" s="145" t="s">
        <v>24</v>
      </c>
      <c r="C7" s="28">
        <f t="shared" ref="C7:P7" si="0">35.6/415</f>
        <v>8.5783132530120487E-2</v>
      </c>
      <c r="D7" s="28">
        <f t="shared" si="0"/>
        <v>8.5783132530120487E-2</v>
      </c>
      <c r="E7" s="28">
        <f t="shared" si="0"/>
        <v>8.5783132530120487E-2</v>
      </c>
      <c r="F7" s="29">
        <f t="shared" si="0"/>
        <v>8.5783132530120487E-2</v>
      </c>
      <c r="G7" s="28">
        <f t="shared" si="0"/>
        <v>8.5783132530120487E-2</v>
      </c>
      <c r="H7" s="28">
        <f t="shared" si="0"/>
        <v>8.5783132530120487E-2</v>
      </c>
      <c r="I7" s="28">
        <f t="shared" si="0"/>
        <v>8.5783132530120487E-2</v>
      </c>
      <c r="J7" s="28">
        <f t="shared" si="0"/>
        <v>8.5783132530120487E-2</v>
      </c>
      <c r="K7" s="29">
        <f t="shared" si="0"/>
        <v>8.5783132530120487E-2</v>
      </c>
      <c r="L7" s="28">
        <f t="shared" si="0"/>
        <v>8.5783132530120487E-2</v>
      </c>
      <c r="M7" s="28">
        <f t="shared" si="0"/>
        <v>8.5783132530120487E-2</v>
      </c>
      <c r="N7" s="28">
        <f t="shared" si="0"/>
        <v>8.5783132530120487E-2</v>
      </c>
      <c r="O7" s="29">
        <f t="shared" si="0"/>
        <v>8.5783132530120487E-2</v>
      </c>
      <c r="P7" s="28">
        <f t="shared" si="0"/>
        <v>8.5783132530120487E-2</v>
      </c>
    </row>
    <row r="8" spans="1:26" ht="15.75" customHeight="1" x14ac:dyDescent="0.15">
      <c r="A8" s="146" t="s">
        <v>25</v>
      </c>
      <c r="B8" s="145" t="s">
        <v>24</v>
      </c>
      <c r="C8" s="28">
        <v>0.57799999999999996</v>
      </c>
      <c r="D8" s="28">
        <v>0.57799999999999996</v>
      </c>
      <c r="E8" s="28">
        <v>0.57799999999999996</v>
      </c>
      <c r="F8" s="29">
        <v>0.57799999999999996</v>
      </c>
      <c r="G8" s="28">
        <v>0.57799999999999996</v>
      </c>
      <c r="H8" s="28">
        <v>0.57799999999999996</v>
      </c>
      <c r="I8" s="28">
        <v>0.57799999999999996</v>
      </c>
      <c r="J8" s="28">
        <v>0.57799999999999996</v>
      </c>
      <c r="K8" s="29">
        <v>0.57799999999999996</v>
      </c>
      <c r="L8" s="28">
        <v>0.57799999999999996</v>
      </c>
      <c r="M8" s="28">
        <v>0.57799999999999996</v>
      </c>
      <c r="N8" s="28">
        <v>0.57799999999999996</v>
      </c>
      <c r="O8" s="29">
        <v>0.57799999999999996</v>
      </c>
      <c r="P8" s="28">
        <v>0.57799999999999996</v>
      </c>
    </row>
    <row r="9" spans="1:26" ht="15.75" customHeight="1" x14ac:dyDescent="0.15">
      <c r="A9" s="146" t="s">
        <v>26</v>
      </c>
      <c r="B9" s="145" t="s">
        <v>27</v>
      </c>
      <c r="C9" s="28">
        <f t="shared" ref="C9:P9" si="1">850/415</f>
        <v>2.0481927710843375</v>
      </c>
      <c r="D9" s="28">
        <f t="shared" si="1"/>
        <v>2.0481927710843375</v>
      </c>
      <c r="E9" s="28">
        <f t="shared" si="1"/>
        <v>2.0481927710843375</v>
      </c>
      <c r="F9" s="29">
        <f t="shared" si="1"/>
        <v>2.0481927710843375</v>
      </c>
      <c r="G9" s="28">
        <f t="shared" si="1"/>
        <v>2.0481927710843375</v>
      </c>
      <c r="H9" s="28">
        <f t="shared" si="1"/>
        <v>2.0481927710843375</v>
      </c>
      <c r="I9" s="28">
        <f t="shared" si="1"/>
        <v>2.0481927710843375</v>
      </c>
      <c r="J9" s="28">
        <f t="shared" si="1"/>
        <v>2.0481927710843375</v>
      </c>
      <c r="K9" s="29">
        <f t="shared" si="1"/>
        <v>2.0481927710843375</v>
      </c>
      <c r="L9" s="28">
        <f t="shared" si="1"/>
        <v>2.0481927710843375</v>
      </c>
      <c r="M9" s="28">
        <f t="shared" si="1"/>
        <v>2.0481927710843375</v>
      </c>
      <c r="N9" s="28">
        <f t="shared" si="1"/>
        <v>2.0481927710843375</v>
      </c>
      <c r="O9" s="29">
        <f t="shared" si="1"/>
        <v>2.0481927710843375</v>
      </c>
      <c r="P9" s="28">
        <f t="shared" si="1"/>
        <v>2.0481927710843375</v>
      </c>
    </row>
    <row r="10" spans="1:26" ht="15.75" customHeight="1" x14ac:dyDescent="0.15">
      <c r="A10" s="146" t="s">
        <v>28</v>
      </c>
      <c r="B10" s="145" t="s">
        <v>29</v>
      </c>
      <c r="C10" s="30">
        <v>50</v>
      </c>
      <c r="D10" s="30">
        <v>50</v>
      </c>
      <c r="E10" s="30">
        <v>50</v>
      </c>
      <c r="F10" s="31">
        <v>50</v>
      </c>
      <c r="G10" s="30">
        <v>50</v>
      </c>
      <c r="H10" s="30">
        <v>50</v>
      </c>
      <c r="I10" s="30">
        <v>50</v>
      </c>
      <c r="J10" s="30">
        <v>50</v>
      </c>
      <c r="K10" s="31">
        <v>50</v>
      </c>
      <c r="L10" s="30">
        <v>50</v>
      </c>
      <c r="M10" s="30">
        <v>50</v>
      </c>
      <c r="N10" s="30">
        <v>50</v>
      </c>
      <c r="O10" s="31">
        <v>50</v>
      </c>
      <c r="P10" s="30">
        <v>50</v>
      </c>
    </row>
    <row r="11" spans="1:26" ht="15.75" customHeight="1" x14ac:dyDescent="0.15">
      <c r="A11" s="146" t="s">
        <v>30</v>
      </c>
      <c r="B11" s="145" t="s">
        <v>31</v>
      </c>
      <c r="C11" s="28">
        <v>5.8999999999999997E-2</v>
      </c>
      <c r="D11" s="28">
        <v>5.8999999999999997E-2</v>
      </c>
      <c r="E11" s="28">
        <v>5.8999999999999997E-2</v>
      </c>
      <c r="F11" s="29">
        <v>5.8999999999999997E-2</v>
      </c>
      <c r="G11" s="28">
        <v>5.8999999999999997E-2</v>
      </c>
      <c r="H11" s="28">
        <v>5.8999999999999997E-2</v>
      </c>
      <c r="I11" s="28">
        <v>5.8999999999999997E-2</v>
      </c>
      <c r="J11" s="28">
        <v>5.8999999999999997E-2</v>
      </c>
      <c r="K11" s="29">
        <v>5.8999999999999997E-2</v>
      </c>
      <c r="L11" s="28">
        <v>5.8999999999999997E-2</v>
      </c>
      <c r="M11" s="28">
        <v>5.8999999999999997E-2</v>
      </c>
      <c r="N11" s="28">
        <v>5.8999999999999997E-2</v>
      </c>
      <c r="O11" s="29">
        <v>5.8999999999999997E-2</v>
      </c>
      <c r="P11" s="28">
        <v>5.8999999999999997E-2</v>
      </c>
    </row>
    <row r="12" spans="1:26" ht="15.75" customHeight="1" x14ac:dyDescent="0.15">
      <c r="A12" s="146" t="s">
        <v>32</v>
      </c>
      <c r="B12" s="145" t="s">
        <v>33</v>
      </c>
      <c r="C12" s="26">
        <v>33</v>
      </c>
      <c r="D12" s="26">
        <f>F12*0.3</f>
        <v>15</v>
      </c>
      <c r="E12" s="26">
        <v>50</v>
      </c>
      <c r="F12" s="27">
        <v>50</v>
      </c>
      <c r="G12" s="26">
        <v>33</v>
      </c>
      <c r="H12" s="26">
        <f>I12</f>
        <v>94</v>
      </c>
      <c r="I12" s="26">
        <v>94</v>
      </c>
      <c r="J12" s="26">
        <f t="shared" ref="J12:K12" si="2">I12</f>
        <v>94</v>
      </c>
      <c r="K12" s="27">
        <f t="shared" si="2"/>
        <v>94</v>
      </c>
      <c r="L12" s="26">
        <v>33</v>
      </c>
      <c r="M12" s="26">
        <f>O12*0.3</f>
        <v>24</v>
      </c>
      <c r="N12" s="26">
        <f>O12*0.1</f>
        <v>8</v>
      </c>
      <c r="O12" s="27">
        <v>80</v>
      </c>
      <c r="P12" s="26">
        <v>33</v>
      </c>
    </row>
    <row r="13" spans="1:26" ht="15.75" customHeight="1" x14ac:dyDescent="0.15">
      <c r="A13" s="146" t="s">
        <v>34</v>
      </c>
      <c r="B13" s="32">
        <f>65000/415</f>
        <v>156.62650602409639</v>
      </c>
      <c r="C13" s="148"/>
      <c r="D13" s="147"/>
      <c r="E13" s="147"/>
      <c r="F13" s="150"/>
      <c r="G13" s="148"/>
      <c r="H13" s="147"/>
      <c r="I13" s="147"/>
      <c r="J13" s="147"/>
      <c r="K13" s="150"/>
      <c r="L13" s="148"/>
      <c r="M13" s="147"/>
      <c r="N13" s="147"/>
      <c r="O13" s="150"/>
      <c r="P13" s="148"/>
      <c r="Q13" s="138"/>
      <c r="R13" s="138"/>
      <c r="S13" s="138"/>
      <c r="T13" s="138"/>
      <c r="U13" s="138"/>
      <c r="V13" s="138"/>
      <c r="W13" s="138"/>
      <c r="X13" s="138"/>
      <c r="Y13" s="138"/>
      <c r="Z13" s="138"/>
    </row>
    <row r="14" spans="1:26" ht="15.75" customHeight="1" x14ac:dyDescent="0.15">
      <c r="A14" s="104" t="s">
        <v>35</v>
      </c>
      <c r="B14" s="1"/>
      <c r="C14" s="148"/>
      <c r="D14" s="147"/>
      <c r="E14" s="147"/>
      <c r="F14" s="150"/>
      <c r="G14" s="148"/>
      <c r="H14" s="147"/>
      <c r="I14" s="147"/>
      <c r="J14" s="147"/>
      <c r="K14" s="150"/>
      <c r="L14" s="148"/>
      <c r="M14" s="147"/>
      <c r="N14" s="147"/>
      <c r="O14" s="150"/>
      <c r="P14" s="148"/>
      <c r="Q14" s="138"/>
      <c r="R14" s="138"/>
      <c r="S14" s="138"/>
      <c r="T14" s="138"/>
      <c r="U14" s="138"/>
      <c r="V14" s="138"/>
      <c r="W14" s="138"/>
      <c r="X14" s="138"/>
      <c r="Y14" s="138"/>
      <c r="Z14" s="138"/>
    </row>
    <row r="15" spans="1:26" ht="15.75" customHeight="1" x14ac:dyDescent="0.15">
      <c r="A15" s="144" t="s">
        <v>36</v>
      </c>
      <c r="B15" s="145" t="s">
        <v>37</v>
      </c>
      <c r="C15" s="33">
        <v>2361</v>
      </c>
      <c r="D15" s="93"/>
      <c r="E15" s="93"/>
      <c r="F15" s="105"/>
      <c r="G15" s="33">
        <v>2361</v>
      </c>
      <c r="H15" s="93"/>
      <c r="I15" s="93"/>
      <c r="J15" s="93"/>
      <c r="K15" s="105"/>
      <c r="L15" s="33">
        <v>2361</v>
      </c>
      <c r="M15" s="93"/>
      <c r="N15" s="93"/>
      <c r="O15" s="105"/>
      <c r="P15" s="33">
        <v>2361</v>
      </c>
      <c r="Q15" s="138"/>
      <c r="R15" s="138"/>
      <c r="S15" s="138"/>
      <c r="T15" s="138"/>
      <c r="U15" s="138"/>
      <c r="V15" s="138"/>
      <c r="W15" s="138"/>
      <c r="X15" s="138"/>
      <c r="Y15" s="138"/>
      <c r="Z15" s="138"/>
    </row>
    <row r="16" spans="1:26" ht="15.75" customHeight="1" x14ac:dyDescent="0.15">
      <c r="A16" s="144" t="s">
        <v>38</v>
      </c>
      <c r="B16" s="145" t="s">
        <v>39</v>
      </c>
      <c r="C16" s="34">
        <v>0.36</v>
      </c>
      <c r="D16" s="93"/>
      <c r="E16" s="93"/>
      <c r="F16" s="105"/>
      <c r="G16" s="34">
        <v>0.36</v>
      </c>
      <c r="H16" s="93"/>
      <c r="I16" s="93"/>
      <c r="J16" s="93"/>
      <c r="K16" s="105"/>
      <c r="L16" s="34">
        <v>0.36</v>
      </c>
      <c r="M16" s="93"/>
      <c r="N16" s="93"/>
      <c r="O16" s="105"/>
      <c r="P16" s="34">
        <v>0.36</v>
      </c>
      <c r="Q16" s="138"/>
      <c r="R16" s="138"/>
      <c r="S16" s="138"/>
      <c r="T16" s="138"/>
      <c r="U16" s="138"/>
      <c r="V16" s="138"/>
      <c r="W16" s="138"/>
      <c r="X16" s="138"/>
      <c r="Y16" s="138"/>
      <c r="Z16" s="138"/>
    </row>
    <row r="17" spans="1:26" ht="15.75" customHeight="1" x14ac:dyDescent="0.15">
      <c r="A17" s="104" t="s">
        <v>40</v>
      </c>
      <c r="B17" s="1"/>
      <c r="C17" s="147"/>
      <c r="D17" s="148"/>
      <c r="E17" s="148"/>
      <c r="F17" s="149"/>
      <c r="G17" s="147"/>
      <c r="H17" s="148"/>
      <c r="I17" s="148"/>
      <c r="J17" s="148"/>
      <c r="K17" s="149"/>
      <c r="L17" s="147"/>
      <c r="M17" s="148"/>
      <c r="N17" s="148"/>
      <c r="O17" s="149"/>
      <c r="P17" s="147"/>
      <c r="Q17" s="138"/>
      <c r="R17" s="138"/>
      <c r="S17" s="138"/>
      <c r="T17" s="138"/>
      <c r="U17" s="138"/>
      <c r="V17" s="138"/>
      <c r="W17" s="138"/>
      <c r="X17" s="138"/>
      <c r="Y17" s="138"/>
      <c r="Z17" s="138"/>
    </row>
    <row r="18" spans="1:26" ht="15.75" customHeight="1" x14ac:dyDescent="0.15">
      <c r="A18" s="144" t="s">
        <v>41</v>
      </c>
      <c r="B18" s="145" t="s">
        <v>37</v>
      </c>
      <c r="C18" s="93"/>
      <c r="D18" s="33">
        <v>1566</v>
      </c>
      <c r="E18" s="33">
        <v>2420</v>
      </c>
      <c r="F18" s="35">
        <v>3000</v>
      </c>
      <c r="G18" s="93"/>
      <c r="H18" s="33">
        <v>3250</v>
      </c>
      <c r="I18" s="33">
        <v>2000</v>
      </c>
      <c r="J18" s="33">
        <v>285</v>
      </c>
      <c r="K18" s="35">
        <v>2000</v>
      </c>
      <c r="L18" s="93"/>
      <c r="M18" s="33">
        <v>1473</v>
      </c>
      <c r="N18" s="33">
        <v>3614</v>
      </c>
      <c r="O18" s="35">
        <v>1807</v>
      </c>
      <c r="P18" s="93"/>
      <c r="Q18" s="138"/>
      <c r="R18" s="138"/>
      <c r="S18" s="138"/>
      <c r="T18" s="138"/>
      <c r="U18" s="138"/>
      <c r="V18" s="138"/>
      <c r="W18" s="138"/>
      <c r="X18" s="138"/>
      <c r="Y18" s="138"/>
      <c r="Z18" s="138"/>
    </row>
    <row r="19" spans="1:26" ht="15.75" customHeight="1" x14ac:dyDescent="0.15">
      <c r="A19" s="146" t="s">
        <v>42</v>
      </c>
      <c r="B19" s="145" t="s">
        <v>43</v>
      </c>
      <c r="C19" s="93"/>
      <c r="D19" s="36">
        <v>83</v>
      </c>
      <c r="E19" s="36">
        <v>400</v>
      </c>
      <c r="F19" s="37">
        <v>1000</v>
      </c>
      <c r="G19" s="142"/>
      <c r="H19" s="36">
        <v>800</v>
      </c>
      <c r="I19" s="36">
        <v>1000</v>
      </c>
      <c r="J19" s="36">
        <v>1300</v>
      </c>
      <c r="K19" s="37">
        <v>600</v>
      </c>
      <c r="L19" s="142"/>
      <c r="M19" s="36">
        <v>1000</v>
      </c>
      <c r="N19" s="36">
        <v>250</v>
      </c>
      <c r="O19" s="37">
        <v>1000</v>
      </c>
      <c r="P19" s="142"/>
      <c r="Q19" s="138"/>
      <c r="R19" s="138"/>
      <c r="S19" s="138"/>
      <c r="T19" s="138"/>
      <c r="U19" s="138"/>
      <c r="V19" s="138"/>
      <c r="W19" s="138"/>
      <c r="X19" s="138"/>
      <c r="Y19" s="138"/>
      <c r="Z19" s="138"/>
    </row>
    <row r="20" spans="1:26" ht="15.75" customHeight="1" x14ac:dyDescent="0.15">
      <c r="A20" s="146" t="s">
        <v>44</v>
      </c>
      <c r="B20" s="145" t="s">
        <v>39</v>
      </c>
      <c r="C20" s="93"/>
      <c r="D20" s="34">
        <v>0.2</v>
      </c>
      <c r="E20" s="34">
        <v>2.2000000000000002</v>
      </c>
      <c r="F20" s="38">
        <v>30</v>
      </c>
      <c r="G20" s="143"/>
      <c r="H20" s="34">
        <v>1.1000000000000001</v>
      </c>
      <c r="I20" s="34">
        <v>4.75</v>
      </c>
      <c r="J20" s="34">
        <v>11</v>
      </c>
      <c r="K20" s="38">
        <v>0.75</v>
      </c>
      <c r="L20" s="143"/>
      <c r="M20" s="34">
        <v>0.75</v>
      </c>
      <c r="N20" s="34">
        <v>0.2</v>
      </c>
      <c r="O20" s="38">
        <v>15</v>
      </c>
      <c r="P20" s="143"/>
      <c r="Q20" s="138"/>
      <c r="R20" s="138"/>
      <c r="S20" s="138"/>
      <c r="T20" s="138"/>
      <c r="U20" s="138"/>
      <c r="V20" s="138"/>
      <c r="W20" s="138"/>
      <c r="X20" s="138"/>
      <c r="Y20" s="138"/>
      <c r="Z20" s="138"/>
    </row>
    <row r="21" spans="1:26" ht="15.75" customHeight="1" x14ac:dyDescent="0.15">
      <c r="A21" s="84" t="s">
        <v>45</v>
      </c>
      <c r="B21" s="86"/>
      <c r="C21" s="87"/>
      <c r="D21" s="87"/>
      <c r="E21" s="87"/>
      <c r="F21" s="88"/>
      <c r="G21" s="87"/>
      <c r="H21" s="87"/>
      <c r="I21" s="87"/>
      <c r="J21" s="87"/>
      <c r="K21" s="88"/>
      <c r="L21" s="87"/>
      <c r="M21" s="87"/>
      <c r="N21" s="87"/>
      <c r="O21" s="88"/>
      <c r="P21" s="87"/>
      <c r="Q21" s="138"/>
      <c r="R21" s="138"/>
      <c r="S21" s="138"/>
      <c r="T21" s="138"/>
      <c r="U21" s="138"/>
      <c r="V21" s="138"/>
      <c r="W21" s="138"/>
      <c r="X21" s="138"/>
      <c r="Y21" s="138"/>
      <c r="Z21" s="138"/>
    </row>
    <row r="22" spans="1:26" ht="15.75" customHeight="1" x14ac:dyDescent="0.15">
      <c r="A22" s="2" t="s">
        <v>46</v>
      </c>
      <c r="B22" s="86" t="s">
        <v>47</v>
      </c>
      <c r="C22" s="87">
        <f>C5*$B$115*C6/8760</f>
        <v>0.12499315068493151</v>
      </c>
      <c r="D22" s="87">
        <f t="shared" ref="D22:F22" si="3">D5*$C$115*D6/8760</f>
        <v>1.7856164383561645E-2</v>
      </c>
      <c r="E22" s="87">
        <f t="shared" si="3"/>
        <v>1.4880136986301369E-2</v>
      </c>
      <c r="F22" s="88">
        <f t="shared" si="3"/>
        <v>4.4640410958904107E-2</v>
      </c>
      <c r="G22" s="87">
        <f>G5*$B$115*G6/8760</f>
        <v>0.24998630136986302</v>
      </c>
      <c r="H22" s="87">
        <f t="shared" ref="H22:K22" si="4">H5*$C$115*H6/8760</f>
        <v>8.9280821917808215E-2</v>
      </c>
      <c r="I22" s="87">
        <f t="shared" si="4"/>
        <v>8.9280821917808215E-2</v>
      </c>
      <c r="J22" s="87">
        <f t="shared" si="4"/>
        <v>8.9280821917808215E-2</v>
      </c>
      <c r="K22" s="88">
        <f t="shared" si="4"/>
        <v>8.9280821917808215E-2</v>
      </c>
      <c r="L22" s="87">
        <f>L5*$B$115*L6/8760</f>
        <v>0.10416095890410959</v>
      </c>
      <c r="M22" s="87">
        <f t="shared" ref="M22:O22" si="5">M5*$C$115*M6/8760</f>
        <v>1.4880136986301369E-2</v>
      </c>
      <c r="N22" s="87">
        <f t="shared" si="5"/>
        <v>1.7856164383561645E-2</v>
      </c>
      <c r="O22" s="88">
        <f t="shared" si="5"/>
        <v>2.9760273972602738E-2</v>
      </c>
      <c r="P22" s="87">
        <f>P5*$B$115*P6/8760</f>
        <v>0.10416095890410959</v>
      </c>
      <c r="Q22" s="138"/>
      <c r="R22" s="138"/>
      <c r="S22" s="138"/>
      <c r="T22" s="138"/>
      <c r="U22" s="138"/>
      <c r="V22" s="138"/>
      <c r="W22" s="138"/>
      <c r="X22" s="138"/>
      <c r="Y22" s="138"/>
      <c r="Z22" s="138"/>
    </row>
    <row r="23" spans="1:26" ht="15.75" customHeight="1" x14ac:dyDescent="0.15">
      <c r="A23" s="2" t="s">
        <v>48</v>
      </c>
      <c r="B23" s="86" t="s">
        <v>49</v>
      </c>
      <c r="C23" s="89">
        <f>'Main inputs'!C22*8760</f>
        <v>1094.94</v>
      </c>
      <c r="D23" s="89">
        <f>'Main inputs'!D22*8760</f>
        <v>156.42000000000002</v>
      </c>
      <c r="E23" s="89">
        <f>'Main inputs'!E22*8760</f>
        <v>130.35</v>
      </c>
      <c r="F23" s="90">
        <f>'Main inputs'!F22*8760</f>
        <v>391.04999999999995</v>
      </c>
      <c r="G23" s="89">
        <f>'Main inputs'!G22*8760</f>
        <v>2189.88</v>
      </c>
      <c r="H23" s="89">
        <f>'Main inputs'!H22*8760</f>
        <v>782.09999999999991</v>
      </c>
      <c r="I23" s="89">
        <f>'Main inputs'!I22*8760</f>
        <v>782.09999999999991</v>
      </c>
      <c r="J23" s="89">
        <f>'Main inputs'!J22*8760</f>
        <v>782.09999999999991</v>
      </c>
      <c r="K23" s="90">
        <f>'Main inputs'!K22*8760</f>
        <v>782.09999999999991</v>
      </c>
      <c r="L23" s="89">
        <f>'Main inputs'!L22*8760</f>
        <v>912.45</v>
      </c>
      <c r="M23" s="89">
        <f>'Main inputs'!M22*8760</f>
        <v>130.35</v>
      </c>
      <c r="N23" s="89">
        <f>'Main inputs'!N22*8760</f>
        <v>156.42000000000002</v>
      </c>
      <c r="O23" s="90">
        <f>'Main inputs'!O22*8760</f>
        <v>260.7</v>
      </c>
      <c r="P23" s="89">
        <f>'Main inputs'!P22*8760</f>
        <v>912.45</v>
      </c>
      <c r="Q23" s="138"/>
      <c r="R23" s="138"/>
      <c r="S23" s="138"/>
      <c r="T23" s="138"/>
      <c r="U23" s="138"/>
      <c r="V23" s="138"/>
      <c r="W23" s="138"/>
      <c r="X23" s="138"/>
      <c r="Y23" s="138"/>
      <c r="Z23" s="138"/>
    </row>
    <row r="24" spans="1:26" ht="15.75" customHeight="1" x14ac:dyDescent="0.15">
      <c r="A24" s="2" t="s">
        <v>50</v>
      </c>
      <c r="B24" s="86" t="s">
        <v>33</v>
      </c>
      <c r="C24" s="91">
        <f>$B$13*C6*$B$116</f>
        <v>469.87951807228916</v>
      </c>
      <c r="D24" s="91">
        <f t="shared" ref="D24:F24" si="6">$B$13*D6*$C$116</f>
        <v>313.25301204819277</v>
      </c>
      <c r="E24" s="91">
        <f t="shared" si="6"/>
        <v>313.25301204819277</v>
      </c>
      <c r="F24" s="92">
        <f t="shared" si="6"/>
        <v>939.75903614457832</v>
      </c>
      <c r="G24" s="91">
        <f>$B$13*G6*$B$116</f>
        <v>939.75903614457832</v>
      </c>
      <c r="H24" s="91">
        <f t="shared" ref="H24:K24" si="7">$B$13*H6*$C$116</f>
        <v>1879.5180722891566</v>
      </c>
      <c r="I24" s="91">
        <f t="shared" si="7"/>
        <v>1879.5180722891566</v>
      </c>
      <c r="J24" s="91">
        <f t="shared" si="7"/>
        <v>1879.5180722891566</v>
      </c>
      <c r="K24" s="92">
        <f t="shared" si="7"/>
        <v>1879.5180722891566</v>
      </c>
      <c r="L24" s="91">
        <f>$B$13*L6*$B$116</f>
        <v>391.56626506024099</v>
      </c>
      <c r="M24" s="91">
        <f t="shared" ref="M24:O24" si="8">$B$13*M6*$C$116</f>
        <v>313.25301204819277</v>
      </c>
      <c r="N24" s="91">
        <f t="shared" si="8"/>
        <v>313.25301204819277</v>
      </c>
      <c r="O24" s="92">
        <f t="shared" si="8"/>
        <v>626.50602409638554</v>
      </c>
      <c r="P24" s="91">
        <f>$B$13*P6*$B$116</f>
        <v>391.56626506024099</v>
      </c>
      <c r="Q24" s="138"/>
      <c r="R24" s="138"/>
      <c r="S24" s="138"/>
      <c r="T24" s="138"/>
      <c r="U24" s="138"/>
      <c r="V24" s="138"/>
      <c r="W24" s="138"/>
      <c r="X24" s="138"/>
      <c r="Y24" s="138"/>
      <c r="Z24" s="138"/>
    </row>
    <row r="25" spans="1:26" ht="15.75" customHeight="1" x14ac:dyDescent="0.15">
      <c r="A25" s="2" t="s">
        <v>51</v>
      </c>
      <c r="B25" s="86" t="s">
        <v>52</v>
      </c>
      <c r="C25" s="93"/>
      <c r="D25" s="89">
        <f>D19</f>
        <v>83</v>
      </c>
      <c r="E25" s="139">
        <f t="shared" ref="E25:F25" si="9">E19*0.5</f>
        <v>200</v>
      </c>
      <c r="F25" s="140">
        <f t="shared" si="9"/>
        <v>500</v>
      </c>
      <c r="G25" s="93"/>
      <c r="H25" s="139">
        <f t="shared" ref="H25:K25" si="10">H19*0.5</f>
        <v>400</v>
      </c>
      <c r="I25" s="139">
        <f t="shared" si="10"/>
        <v>500</v>
      </c>
      <c r="J25" s="139">
        <f t="shared" si="10"/>
        <v>650</v>
      </c>
      <c r="K25" s="140">
        <f t="shared" si="10"/>
        <v>300</v>
      </c>
      <c r="L25" s="93"/>
      <c r="M25" s="139">
        <f t="shared" ref="M25:O25" si="11">M19*0.5</f>
        <v>500</v>
      </c>
      <c r="N25" s="139">
        <f t="shared" si="11"/>
        <v>125</v>
      </c>
      <c r="O25" s="140">
        <f t="shared" si="11"/>
        <v>500</v>
      </c>
      <c r="P25" s="93"/>
    </row>
    <row r="26" spans="1:26" ht="15.75" customHeight="1" x14ac:dyDescent="0.15">
      <c r="A26" s="2" t="s">
        <v>53</v>
      </c>
      <c r="B26" s="86" t="s">
        <v>54</v>
      </c>
      <c r="C26" s="89">
        <f>C16*'Main inputs'!C23</f>
        <v>394.17840000000001</v>
      </c>
      <c r="D26" s="89">
        <f>D20*'Main inputs'!D23</f>
        <v>31.284000000000006</v>
      </c>
      <c r="E26" s="89">
        <f>E20*'Main inputs'!E23</f>
        <v>286.77000000000004</v>
      </c>
      <c r="F26" s="90">
        <f>F20*'Main inputs'!F23</f>
        <v>11731.499999999998</v>
      </c>
      <c r="G26" s="89">
        <f>G16*'Main inputs'!G23</f>
        <v>788.35680000000002</v>
      </c>
      <c r="H26" s="89">
        <f>H20*'Main inputs'!H23</f>
        <v>860.31</v>
      </c>
      <c r="I26" s="89">
        <f>I20*'Main inputs'!I23</f>
        <v>3714.9749999999995</v>
      </c>
      <c r="J26" s="89">
        <f>J20*'Main inputs'!J23</f>
        <v>8603.0999999999985</v>
      </c>
      <c r="K26" s="90">
        <f>K20*'Main inputs'!K23</f>
        <v>586.57499999999993</v>
      </c>
      <c r="L26" s="89">
        <f>L16*'Main inputs'!L23</f>
        <v>328.48200000000003</v>
      </c>
      <c r="M26" s="89">
        <f>M20*'Main inputs'!M23</f>
        <v>97.762499999999989</v>
      </c>
      <c r="N26" s="89">
        <f>N20*'Main inputs'!N23</f>
        <v>31.284000000000006</v>
      </c>
      <c r="O26" s="90">
        <f>O20*'Main inputs'!O23</f>
        <v>3910.5</v>
      </c>
      <c r="P26" s="89">
        <f>P16*'Main inputs'!P23</f>
        <v>328.48200000000003</v>
      </c>
    </row>
    <row r="27" spans="1:26" ht="15.75" customHeight="1" x14ac:dyDescent="0.15">
      <c r="A27" s="94" t="s">
        <v>55</v>
      </c>
      <c r="B27" s="95" t="s">
        <v>39</v>
      </c>
      <c r="C27" s="141">
        <f>C26/'Main inputs'!C23</f>
        <v>0.36</v>
      </c>
      <c r="D27" s="96">
        <f>D26/'Main inputs'!D23</f>
        <v>0.2</v>
      </c>
      <c r="E27" s="96">
        <f>E26/'Main inputs'!E23</f>
        <v>2.2000000000000002</v>
      </c>
      <c r="F27" s="97">
        <f>F26/'Main inputs'!F23</f>
        <v>30</v>
      </c>
      <c r="G27" s="96">
        <f>G26/'Main inputs'!G23</f>
        <v>0.36</v>
      </c>
      <c r="H27" s="96">
        <f>H26/'Main inputs'!H23</f>
        <v>1.1000000000000001</v>
      </c>
      <c r="I27" s="96">
        <f>I26/'Main inputs'!I23</f>
        <v>4.75</v>
      </c>
      <c r="J27" s="96">
        <f>J26/'Main inputs'!J23</f>
        <v>11</v>
      </c>
      <c r="K27" s="97">
        <f>K26/'Main inputs'!K23</f>
        <v>0.75</v>
      </c>
      <c r="L27" s="96">
        <f>L26/'Main inputs'!L23</f>
        <v>0.36</v>
      </c>
      <c r="M27" s="96">
        <f>M26/'Main inputs'!M23</f>
        <v>0.75</v>
      </c>
      <c r="N27" s="96">
        <f>N26/'Main inputs'!N23</f>
        <v>0.2</v>
      </c>
      <c r="O27" s="97">
        <f>O26/'Main inputs'!O23</f>
        <v>15</v>
      </c>
      <c r="P27" s="96">
        <f>P26/'Main inputs'!P23</f>
        <v>0.36</v>
      </c>
    </row>
    <row r="29" spans="1:26" ht="15.75" customHeight="1" x14ac:dyDescent="0.15">
      <c r="A29" s="287" t="s">
        <v>56</v>
      </c>
      <c r="B29" s="270"/>
      <c r="C29" s="288" t="s">
        <v>57</v>
      </c>
      <c r="D29" s="270"/>
      <c r="E29" s="270"/>
      <c r="F29" s="270"/>
      <c r="G29" s="278"/>
      <c r="H29" s="288" t="s">
        <v>58</v>
      </c>
      <c r="I29" s="278"/>
      <c r="J29" s="288" t="s">
        <v>59</v>
      </c>
      <c r="K29" s="270"/>
      <c r="L29" s="270"/>
      <c r="M29" s="278"/>
      <c r="N29" s="289" t="s">
        <v>60</v>
      </c>
      <c r="O29" s="270"/>
    </row>
    <row r="30" spans="1:26" ht="15.75" customHeight="1" x14ac:dyDescent="0.15">
      <c r="A30" s="279" t="s">
        <v>61</v>
      </c>
      <c r="B30" s="272"/>
      <c r="C30" s="280" t="s">
        <v>5</v>
      </c>
      <c r="D30" s="272"/>
      <c r="E30" s="272"/>
      <c r="F30" s="272"/>
      <c r="G30" s="274"/>
      <c r="H30" s="280" t="s">
        <v>6</v>
      </c>
      <c r="I30" s="274"/>
      <c r="J30" s="280" t="s">
        <v>62</v>
      </c>
      <c r="K30" s="272"/>
      <c r="L30" s="272"/>
      <c r="M30" s="274"/>
      <c r="N30" s="41" t="s">
        <v>8</v>
      </c>
      <c r="O30" s="137"/>
    </row>
    <row r="31" spans="1:26" ht="15.75" customHeight="1" x14ac:dyDescent="0.15">
      <c r="A31" s="112" t="s">
        <v>63</v>
      </c>
      <c r="B31" s="84"/>
      <c r="C31" s="24" t="s">
        <v>10</v>
      </c>
      <c r="D31" s="24" t="s">
        <v>11</v>
      </c>
      <c r="E31" s="24" t="s">
        <v>12</v>
      </c>
      <c r="F31" s="24" t="s">
        <v>64</v>
      </c>
      <c r="G31" s="25" t="s">
        <v>13</v>
      </c>
      <c r="H31" s="24" t="s">
        <v>10</v>
      </c>
      <c r="I31" s="25" t="s">
        <v>13</v>
      </c>
      <c r="J31" s="24" t="s">
        <v>10</v>
      </c>
      <c r="K31" s="24" t="s">
        <v>11</v>
      </c>
      <c r="L31" s="24" t="s">
        <v>17</v>
      </c>
      <c r="M31" s="42" t="s">
        <v>65</v>
      </c>
      <c r="N31" s="24" t="s">
        <v>10</v>
      </c>
    </row>
    <row r="32" spans="1:26" ht="15.75" customHeight="1" x14ac:dyDescent="0.15">
      <c r="A32" s="111" t="s">
        <v>18</v>
      </c>
      <c r="B32" s="84" t="s">
        <v>9</v>
      </c>
      <c r="C32" s="1"/>
      <c r="D32" s="1"/>
      <c r="E32" s="1"/>
      <c r="F32" s="1"/>
      <c r="G32" s="136"/>
      <c r="H32" s="1"/>
      <c r="I32" s="136"/>
      <c r="J32" s="1"/>
      <c r="K32" s="1"/>
      <c r="L32" s="1"/>
      <c r="M32" s="85"/>
      <c r="N32" s="1"/>
    </row>
    <row r="33" spans="1:26" ht="15.75" customHeight="1" x14ac:dyDescent="0.15">
      <c r="A33" s="135" t="s">
        <v>19</v>
      </c>
      <c r="B33" s="130" t="s">
        <v>20</v>
      </c>
      <c r="C33" s="43">
        <v>6</v>
      </c>
      <c r="D33" s="43">
        <v>6</v>
      </c>
      <c r="E33" s="43">
        <v>5</v>
      </c>
      <c r="F33" s="43">
        <v>5</v>
      </c>
      <c r="G33" s="44">
        <v>5</v>
      </c>
      <c r="H33" s="43">
        <v>6</v>
      </c>
      <c r="I33" s="44">
        <v>5</v>
      </c>
      <c r="J33" s="43">
        <v>6</v>
      </c>
      <c r="K33" s="43">
        <v>6</v>
      </c>
      <c r="L33" s="43">
        <v>5</v>
      </c>
      <c r="M33" s="44">
        <v>5</v>
      </c>
      <c r="N33" s="43">
        <v>6</v>
      </c>
    </row>
    <row r="34" spans="1:26" ht="15.75" customHeight="1" x14ac:dyDescent="0.15">
      <c r="A34" s="129" t="s">
        <v>21</v>
      </c>
      <c r="B34" s="130" t="s">
        <v>22</v>
      </c>
      <c r="C34" s="43">
        <v>4</v>
      </c>
      <c r="D34" s="43">
        <v>2</v>
      </c>
      <c r="E34" s="43">
        <v>2</v>
      </c>
      <c r="F34" s="43">
        <v>6</v>
      </c>
      <c r="G34" s="44">
        <v>6</v>
      </c>
      <c r="H34" s="43">
        <v>12</v>
      </c>
      <c r="I34" s="44">
        <v>12</v>
      </c>
      <c r="J34" s="43">
        <v>3</v>
      </c>
      <c r="K34" s="43">
        <v>2</v>
      </c>
      <c r="L34" s="43">
        <v>2</v>
      </c>
      <c r="M34" s="44">
        <v>2</v>
      </c>
      <c r="N34" s="43">
        <v>3</v>
      </c>
    </row>
    <row r="35" spans="1:26" ht="15.75" customHeight="1" x14ac:dyDescent="0.15">
      <c r="A35" s="129" t="s">
        <v>23</v>
      </c>
      <c r="B35" s="130" t="s">
        <v>24</v>
      </c>
      <c r="C35" s="43">
        <v>0.23</v>
      </c>
      <c r="D35" s="43">
        <v>0.23</v>
      </c>
      <c r="E35" s="43">
        <v>0.23</v>
      </c>
      <c r="F35" s="43">
        <v>0.23</v>
      </c>
      <c r="G35" s="44">
        <v>0.23</v>
      </c>
      <c r="H35" s="43">
        <v>0.23</v>
      </c>
      <c r="I35" s="44">
        <v>0.23</v>
      </c>
      <c r="J35" s="43">
        <v>0.23</v>
      </c>
      <c r="K35" s="43">
        <v>0.23</v>
      </c>
      <c r="L35" s="43">
        <v>0.23</v>
      </c>
      <c r="M35" s="44">
        <v>0.23</v>
      </c>
      <c r="N35" s="43">
        <v>0.23</v>
      </c>
    </row>
    <row r="36" spans="1:26" ht="15.75" customHeight="1" x14ac:dyDescent="0.15">
      <c r="A36" s="129" t="s">
        <v>25</v>
      </c>
      <c r="B36" s="130" t="s">
        <v>24</v>
      </c>
      <c r="C36" s="43">
        <v>0.52500000000000002</v>
      </c>
      <c r="D36" s="43">
        <v>0.52500000000000002</v>
      </c>
      <c r="E36" s="43">
        <v>0.52500000000000002</v>
      </c>
      <c r="F36" s="43">
        <v>0.52500000000000002</v>
      </c>
      <c r="G36" s="44">
        <v>0.52500000000000002</v>
      </c>
      <c r="H36" s="43">
        <v>0.52500000000000002</v>
      </c>
      <c r="I36" s="44">
        <v>0.52500000000000002</v>
      </c>
      <c r="J36" s="43">
        <v>0.52500000000000002</v>
      </c>
      <c r="K36" s="43">
        <v>0.52500000000000002</v>
      </c>
      <c r="L36" s="43">
        <v>0.52500000000000002</v>
      </c>
      <c r="M36" s="44">
        <v>0.52500000000000002</v>
      </c>
      <c r="N36" s="43">
        <v>0.52500000000000002</v>
      </c>
    </row>
    <row r="37" spans="1:26" ht="15.75" customHeight="1" x14ac:dyDescent="0.15">
      <c r="A37" s="129" t="s">
        <v>26</v>
      </c>
      <c r="B37" s="130" t="s">
        <v>27</v>
      </c>
      <c r="C37" s="43">
        <v>1.48</v>
      </c>
      <c r="D37" s="43">
        <v>1.48</v>
      </c>
      <c r="E37" s="43">
        <v>1.48</v>
      </c>
      <c r="F37" s="43">
        <v>1.48</v>
      </c>
      <c r="G37" s="44">
        <v>1.48</v>
      </c>
      <c r="H37" s="43">
        <v>1.48</v>
      </c>
      <c r="I37" s="44">
        <v>1.48</v>
      </c>
      <c r="J37" s="43">
        <v>1.48</v>
      </c>
      <c r="K37" s="43">
        <v>1.48</v>
      </c>
      <c r="L37" s="43">
        <v>1.48</v>
      </c>
      <c r="M37" s="44">
        <v>1.48</v>
      </c>
      <c r="N37" s="43">
        <v>1.48</v>
      </c>
    </row>
    <row r="38" spans="1:26" ht="15.75" customHeight="1" x14ac:dyDescent="0.15">
      <c r="A38" s="129" t="s">
        <v>28</v>
      </c>
      <c r="B38" s="130" t="s">
        <v>29</v>
      </c>
      <c r="C38" s="45">
        <v>50</v>
      </c>
      <c r="D38" s="45">
        <v>50</v>
      </c>
      <c r="E38" s="45">
        <v>50</v>
      </c>
      <c r="F38" s="45">
        <v>50</v>
      </c>
      <c r="G38" s="46">
        <v>50</v>
      </c>
      <c r="H38" s="45">
        <v>50</v>
      </c>
      <c r="I38" s="46">
        <v>50</v>
      </c>
      <c r="J38" s="45">
        <v>50</v>
      </c>
      <c r="K38" s="45">
        <v>50</v>
      </c>
      <c r="L38" s="45">
        <v>50</v>
      </c>
      <c r="M38" s="46">
        <v>50</v>
      </c>
      <c r="N38" s="45">
        <v>50</v>
      </c>
    </row>
    <row r="39" spans="1:26" ht="15.75" customHeight="1" x14ac:dyDescent="0.15">
      <c r="A39" s="129" t="s">
        <v>30</v>
      </c>
      <c r="B39" s="130" t="s">
        <v>31</v>
      </c>
      <c r="C39" s="47">
        <v>5.8999999999999997E-2</v>
      </c>
      <c r="D39" s="47">
        <v>5.8999999999999997E-2</v>
      </c>
      <c r="E39" s="47">
        <v>5.8999999999999997E-2</v>
      </c>
      <c r="F39" s="47">
        <v>5.8999999999999997E-2</v>
      </c>
      <c r="G39" s="48">
        <v>5.8999999999999997E-2</v>
      </c>
      <c r="H39" s="47">
        <v>5.8999999999999997E-2</v>
      </c>
      <c r="I39" s="48">
        <v>5.8999999999999997E-2</v>
      </c>
      <c r="J39" s="47">
        <v>5.8999999999999997E-2</v>
      </c>
      <c r="K39" s="47">
        <v>5.8999999999999997E-2</v>
      </c>
      <c r="L39" s="47">
        <v>5.8999999999999997E-2</v>
      </c>
      <c r="M39" s="48">
        <v>5.8999999999999997E-2</v>
      </c>
      <c r="N39" s="47">
        <v>5.8999999999999997E-2</v>
      </c>
    </row>
    <row r="40" spans="1:26" ht="15.75" customHeight="1" x14ac:dyDescent="0.15">
      <c r="A40" s="129" t="s">
        <v>32</v>
      </c>
      <c r="B40" s="130" t="s">
        <v>33</v>
      </c>
      <c r="C40" s="49">
        <v>33</v>
      </c>
      <c r="D40" s="49">
        <f>D12</f>
        <v>15</v>
      </c>
      <c r="E40" s="49">
        <f>E12*0.5</f>
        <v>25</v>
      </c>
      <c r="F40" s="49">
        <f>F12*0.9</f>
        <v>45</v>
      </c>
      <c r="G40" s="264">
        <f>F12*0.5</f>
        <v>25</v>
      </c>
      <c r="H40" s="49">
        <v>33</v>
      </c>
      <c r="I40" s="264">
        <f>J12</f>
        <v>94</v>
      </c>
      <c r="J40" s="49">
        <v>33</v>
      </c>
      <c r="K40" s="49">
        <f>N12</f>
        <v>8</v>
      </c>
      <c r="L40" s="49">
        <f>M12*1.4</f>
        <v>33.599999999999994</v>
      </c>
      <c r="M40" s="264">
        <f>M12*1.4</f>
        <v>33.599999999999994</v>
      </c>
      <c r="N40" s="49">
        <v>33</v>
      </c>
    </row>
    <row r="41" spans="1:26" ht="15.75" customHeight="1" x14ac:dyDescent="0.15">
      <c r="A41" s="129" t="s">
        <v>34</v>
      </c>
      <c r="B41" s="49">
        <f>202000/1017</f>
        <v>198.62340216322517</v>
      </c>
      <c r="C41" s="86"/>
      <c r="D41" s="133"/>
      <c r="E41" s="133"/>
      <c r="F41" s="133"/>
      <c r="G41" s="134"/>
      <c r="H41" s="86"/>
      <c r="I41" s="134"/>
      <c r="J41" s="86"/>
      <c r="K41" s="133"/>
      <c r="L41" s="133"/>
      <c r="M41" s="85"/>
      <c r="N41" s="86"/>
    </row>
    <row r="42" spans="1:26" ht="15.75" customHeight="1" x14ac:dyDescent="0.15">
      <c r="A42" s="104" t="s">
        <v>35</v>
      </c>
      <c r="B42" s="91"/>
      <c r="C42" s="86"/>
      <c r="D42" s="133"/>
      <c r="E42" s="133"/>
      <c r="F42" s="133"/>
      <c r="G42" s="134"/>
      <c r="H42" s="86"/>
      <c r="I42" s="134"/>
      <c r="J42" s="86"/>
      <c r="K42" s="133"/>
      <c r="L42" s="133"/>
      <c r="M42" s="85"/>
      <c r="N42" s="86"/>
    </row>
    <row r="43" spans="1:26" ht="15.75" customHeight="1" x14ac:dyDescent="0.15">
      <c r="A43" s="129" t="s">
        <v>36</v>
      </c>
      <c r="B43" s="130" t="s">
        <v>37</v>
      </c>
      <c r="C43" s="50">
        <v>738</v>
      </c>
      <c r="D43" s="93"/>
      <c r="E43" s="93"/>
      <c r="F43" s="93"/>
      <c r="G43" s="105"/>
      <c r="H43" s="50">
        <v>738</v>
      </c>
      <c r="I43" s="105"/>
      <c r="J43" s="50">
        <v>738</v>
      </c>
      <c r="K43" s="93"/>
      <c r="L43" s="93"/>
      <c r="M43" s="105"/>
      <c r="N43" s="50">
        <v>738</v>
      </c>
    </row>
    <row r="44" spans="1:26" ht="15.75" customHeight="1" x14ac:dyDescent="0.15">
      <c r="A44" s="131" t="s">
        <v>38</v>
      </c>
      <c r="B44" s="132" t="s">
        <v>39</v>
      </c>
      <c r="C44" s="51">
        <v>0.12</v>
      </c>
      <c r="D44" s="93"/>
      <c r="E44" s="93"/>
      <c r="F44" s="93"/>
      <c r="G44" s="105"/>
      <c r="H44" s="51">
        <v>0.12</v>
      </c>
      <c r="I44" s="105"/>
      <c r="J44" s="51">
        <v>0.12</v>
      </c>
      <c r="K44" s="93"/>
      <c r="L44" s="93"/>
      <c r="M44" s="105"/>
      <c r="N44" s="51">
        <v>0.12</v>
      </c>
      <c r="O44" s="127"/>
      <c r="P44" s="127"/>
      <c r="Q44" s="127"/>
      <c r="R44" s="127"/>
      <c r="S44" s="127"/>
      <c r="T44" s="127"/>
      <c r="U44" s="127"/>
      <c r="V44" s="127"/>
      <c r="W44" s="127"/>
      <c r="X44" s="127"/>
      <c r="Y44" s="127"/>
      <c r="Z44" s="127"/>
    </row>
    <row r="45" spans="1:26" ht="15.75" customHeight="1" x14ac:dyDescent="0.15">
      <c r="A45" s="104" t="s">
        <v>40</v>
      </c>
      <c r="G45" s="85"/>
      <c r="I45" s="85"/>
      <c r="M45" s="85"/>
    </row>
    <row r="46" spans="1:26" ht="15.75" customHeight="1" x14ac:dyDescent="0.15">
      <c r="A46" s="129" t="s">
        <v>41</v>
      </c>
      <c r="B46" s="130" t="s">
        <v>37</v>
      </c>
      <c r="C46" s="93"/>
      <c r="D46" s="50">
        <v>1660</v>
      </c>
      <c r="E46" s="50">
        <v>2500</v>
      </c>
      <c r="F46" s="50">
        <v>2662</v>
      </c>
      <c r="G46" s="53">
        <v>1597</v>
      </c>
      <c r="H46" s="93"/>
      <c r="I46" s="53">
        <v>885</v>
      </c>
      <c r="J46" s="93"/>
      <c r="K46" s="50">
        <v>1200</v>
      </c>
      <c r="L46" s="50">
        <v>2263</v>
      </c>
      <c r="M46" s="53">
        <v>879</v>
      </c>
      <c r="N46" s="93"/>
    </row>
    <row r="47" spans="1:26" ht="13" x14ac:dyDescent="0.15">
      <c r="A47" s="129" t="s">
        <v>42</v>
      </c>
      <c r="B47" s="130" t="s">
        <v>43</v>
      </c>
      <c r="C47" s="93"/>
      <c r="D47" s="45">
        <v>167</v>
      </c>
      <c r="E47" s="45">
        <v>2000</v>
      </c>
      <c r="F47" s="54">
        <v>500</v>
      </c>
      <c r="G47" s="55">
        <v>500</v>
      </c>
      <c r="H47" s="93"/>
      <c r="I47" s="46">
        <v>160</v>
      </c>
      <c r="J47" s="93"/>
      <c r="K47" s="45">
        <v>125</v>
      </c>
      <c r="L47" s="45">
        <v>500</v>
      </c>
      <c r="M47" s="46">
        <v>250</v>
      </c>
      <c r="N47" s="93"/>
    </row>
    <row r="48" spans="1:26" ht="13" x14ac:dyDescent="0.15">
      <c r="A48" s="131" t="s">
        <v>44</v>
      </c>
      <c r="B48" s="132" t="s">
        <v>39</v>
      </c>
      <c r="C48" s="128"/>
      <c r="D48" s="51">
        <v>1</v>
      </c>
      <c r="E48" s="51">
        <v>7.5</v>
      </c>
      <c r="F48" s="56">
        <v>5</v>
      </c>
      <c r="G48" s="57">
        <v>2</v>
      </c>
      <c r="H48" s="128"/>
      <c r="I48" s="58">
        <v>2.2000000000000002</v>
      </c>
      <c r="J48" s="93"/>
      <c r="K48" s="51">
        <v>0.2</v>
      </c>
      <c r="L48" s="51">
        <v>6</v>
      </c>
      <c r="M48" s="58">
        <v>2.4</v>
      </c>
      <c r="N48" s="93"/>
      <c r="O48" s="127"/>
      <c r="P48" s="127"/>
      <c r="Q48" s="127"/>
      <c r="R48" s="127"/>
      <c r="S48" s="127"/>
      <c r="T48" s="127"/>
      <c r="U48" s="127"/>
      <c r="V48" s="127"/>
      <c r="W48" s="127"/>
      <c r="X48" s="127"/>
      <c r="Y48" s="127"/>
      <c r="Z48" s="127"/>
    </row>
    <row r="49" spans="1:21" ht="13" x14ac:dyDescent="0.15">
      <c r="A49" s="84" t="s">
        <v>45</v>
      </c>
      <c r="G49" s="85"/>
      <c r="I49" s="85"/>
      <c r="M49" s="85"/>
    </row>
    <row r="50" spans="1:21" ht="13" x14ac:dyDescent="0.15">
      <c r="A50" s="2" t="s">
        <v>46</v>
      </c>
      <c r="B50" s="86" t="s">
        <v>47</v>
      </c>
      <c r="C50" s="87">
        <f>C33*$B$115*C34/8760</f>
        <v>8.332876712328767E-2</v>
      </c>
      <c r="D50" s="87">
        <f>D33*$C$115*D34/8760</f>
        <v>1.7856164383561645E-2</v>
      </c>
      <c r="E50" s="87">
        <f t="shared" ref="E50:G50" si="12">E33*$C$115*E34/8760</f>
        <v>1.4880136986301369E-2</v>
      </c>
      <c r="F50" s="87">
        <f t="shared" si="12"/>
        <v>4.4640410958904107E-2</v>
      </c>
      <c r="G50" s="88">
        <f t="shared" si="12"/>
        <v>4.4640410958904107E-2</v>
      </c>
      <c r="H50" s="87">
        <f>H33*$B$115*H34/8760</f>
        <v>0.24998630136986302</v>
      </c>
      <c r="I50" s="88">
        <f>I33*$C$115*I34/8760</f>
        <v>8.9280821917808215E-2</v>
      </c>
      <c r="J50" s="87">
        <f>J33*$B$115*J34/8760</f>
        <v>6.2496575342465756E-2</v>
      </c>
      <c r="K50" s="87">
        <f t="shared" ref="K50:M50" si="13">K33*$C$115*K34/8760</f>
        <v>1.7856164383561645E-2</v>
      </c>
      <c r="L50" s="87">
        <f t="shared" si="13"/>
        <v>1.4880136986301369E-2</v>
      </c>
      <c r="M50" s="88">
        <f t="shared" si="13"/>
        <v>1.4880136986301369E-2</v>
      </c>
      <c r="N50" s="87">
        <f>N33*$B$115*N34/8760</f>
        <v>6.2496575342465756E-2</v>
      </c>
    </row>
    <row r="51" spans="1:21" ht="13" x14ac:dyDescent="0.15">
      <c r="A51" s="2" t="s">
        <v>48</v>
      </c>
      <c r="B51" s="86" t="s">
        <v>49</v>
      </c>
      <c r="C51" s="89">
        <f>'Main inputs'!C50*8760</f>
        <v>729.96</v>
      </c>
      <c r="D51" s="89">
        <f>'Main inputs'!D50*8760</f>
        <v>156.42000000000002</v>
      </c>
      <c r="E51" s="89">
        <f>'Main inputs'!E50*8760</f>
        <v>130.35</v>
      </c>
      <c r="F51" s="89">
        <f>'Main inputs'!F50*8760</f>
        <v>391.04999999999995</v>
      </c>
      <c r="G51" s="90">
        <f>'Main inputs'!G50*8760</f>
        <v>391.04999999999995</v>
      </c>
      <c r="H51" s="89">
        <f>'Main inputs'!H50*8760</f>
        <v>2189.88</v>
      </c>
      <c r="I51" s="90">
        <f>'Main inputs'!I50*8760</f>
        <v>782.09999999999991</v>
      </c>
      <c r="J51" s="89">
        <f>'Main inputs'!J50*8760</f>
        <v>547.47</v>
      </c>
      <c r="K51" s="89">
        <f>'Main inputs'!K50*8760</f>
        <v>156.42000000000002</v>
      </c>
      <c r="L51" s="89">
        <f>'Main inputs'!L50*8760</f>
        <v>130.35</v>
      </c>
      <c r="M51" s="90">
        <f>'Main inputs'!M50*8760</f>
        <v>130.35</v>
      </c>
      <c r="N51" s="89">
        <f>'Main inputs'!N50*8760</f>
        <v>547.47</v>
      </c>
    </row>
    <row r="52" spans="1:21" ht="13" x14ac:dyDescent="0.15">
      <c r="A52" s="2" t="s">
        <v>50</v>
      </c>
      <c r="B52" s="86" t="s">
        <v>33</v>
      </c>
      <c r="C52" s="91">
        <f>$B$41*C34*$B$116</f>
        <v>397.24680432645033</v>
      </c>
      <c r="D52" s="91">
        <f t="shared" ref="D52:G52" si="14">$B$41*D34*$C$116</f>
        <v>397.24680432645033</v>
      </c>
      <c r="E52" s="91">
        <f t="shared" si="14"/>
        <v>397.24680432645033</v>
      </c>
      <c r="F52" s="91">
        <f t="shared" si="14"/>
        <v>1191.740412979351</v>
      </c>
      <c r="G52" s="92">
        <f t="shared" si="14"/>
        <v>1191.740412979351</v>
      </c>
      <c r="H52" s="91">
        <f>$B$41*H34*$B$116</f>
        <v>1191.740412979351</v>
      </c>
      <c r="I52" s="92">
        <f>$B$41*I34*$C$116</f>
        <v>2383.4808259587021</v>
      </c>
      <c r="J52" s="91">
        <f>$B$41*J34*$B$116</f>
        <v>297.93510324483776</v>
      </c>
      <c r="K52" s="91">
        <f t="shared" ref="K52:M52" si="15">$B$41*K34*$C$116</f>
        <v>397.24680432645033</v>
      </c>
      <c r="L52" s="91">
        <f t="shared" si="15"/>
        <v>397.24680432645033</v>
      </c>
      <c r="M52" s="92">
        <f t="shared" si="15"/>
        <v>397.24680432645033</v>
      </c>
      <c r="N52" s="91">
        <f>$B$41*N34*$B$116</f>
        <v>297.93510324483776</v>
      </c>
    </row>
    <row r="53" spans="1:21" ht="13" x14ac:dyDescent="0.15">
      <c r="A53" s="2" t="s">
        <v>51</v>
      </c>
      <c r="B53" s="86" t="s">
        <v>52</v>
      </c>
      <c r="C53" s="93"/>
      <c r="D53" s="89">
        <f t="shared" ref="D53:G53" si="16">D47*0.5</f>
        <v>83.5</v>
      </c>
      <c r="E53" s="89">
        <f t="shared" si="16"/>
        <v>1000</v>
      </c>
      <c r="F53" s="89">
        <f t="shared" si="16"/>
        <v>250</v>
      </c>
      <c r="G53" s="90">
        <f t="shared" si="16"/>
        <v>250</v>
      </c>
      <c r="H53" s="93"/>
      <c r="I53" s="90">
        <f>I47*0.5</f>
        <v>80</v>
      </c>
      <c r="J53" s="93"/>
      <c r="K53" s="89">
        <f t="shared" ref="K53:M53" si="17">K47*0.5</f>
        <v>62.5</v>
      </c>
      <c r="L53" s="89">
        <f t="shared" si="17"/>
        <v>250</v>
      </c>
      <c r="M53" s="90">
        <f t="shared" si="17"/>
        <v>125</v>
      </c>
      <c r="N53" s="93"/>
    </row>
    <row r="54" spans="1:21" ht="13" x14ac:dyDescent="0.15">
      <c r="A54" s="2" t="s">
        <v>53</v>
      </c>
      <c r="B54" s="86" t="s">
        <v>54</v>
      </c>
      <c r="C54" s="89">
        <f>C44*'Main inputs'!C51</f>
        <v>87.595200000000006</v>
      </c>
      <c r="D54" s="89">
        <f>D48*'Main inputs'!D51</f>
        <v>156.42000000000002</v>
      </c>
      <c r="E54" s="89">
        <f>E48*'Main inputs'!E51</f>
        <v>977.625</v>
      </c>
      <c r="F54" s="89">
        <f>F48*'Main inputs'!F51</f>
        <v>1955.2499999999998</v>
      </c>
      <c r="G54" s="90">
        <f>G48*'Main inputs'!G51</f>
        <v>782.09999999999991</v>
      </c>
      <c r="H54" s="89">
        <f>H44*'Main inputs'!H51</f>
        <v>262.78559999999999</v>
      </c>
      <c r="I54" s="90">
        <f>I48*'Main inputs'!I51</f>
        <v>1720.62</v>
      </c>
      <c r="J54" s="89">
        <f>J44*'Main inputs'!J51</f>
        <v>65.696399999999997</v>
      </c>
      <c r="K54" s="89">
        <f>K48*'Main inputs'!K51</f>
        <v>31.284000000000006</v>
      </c>
      <c r="L54" s="89">
        <f>L48*'Main inputs'!L51</f>
        <v>782.09999999999991</v>
      </c>
      <c r="M54" s="90">
        <f>M48*'Main inputs'!M51</f>
        <v>312.83999999999997</v>
      </c>
      <c r="N54" s="89">
        <f>N44*'Main inputs'!N51</f>
        <v>65.696399999999997</v>
      </c>
    </row>
    <row r="55" spans="1:21" ht="13" x14ac:dyDescent="0.15">
      <c r="A55" s="94" t="s">
        <v>55</v>
      </c>
      <c r="B55" s="95" t="s">
        <v>39</v>
      </c>
      <c r="C55" s="96">
        <f>C54/'Main inputs'!C51</f>
        <v>0.12</v>
      </c>
      <c r="D55" s="96">
        <f>D54/'Main inputs'!D51</f>
        <v>1</v>
      </c>
      <c r="E55" s="96">
        <f>E54/'Main inputs'!E51</f>
        <v>7.5</v>
      </c>
      <c r="F55" s="96">
        <f>F54/'Main inputs'!F51</f>
        <v>5</v>
      </c>
      <c r="G55" s="97">
        <f>G54/'Main inputs'!G51</f>
        <v>2</v>
      </c>
      <c r="H55" s="96">
        <f>H54/'Main inputs'!H51</f>
        <v>0.11999999999999998</v>
      </c>
      <c r="I55" s="97">
        <f>I54/'Main inputs'!I51</f>
        <v>2.2000000000000002</v>
      </c>
      <c r="J55" s="96">
        <f>J54/'Main inputs'!J51</f>
        <v>0.11999999999999998</v>
      </c>
      <c r="K55" s="96">
        <f>K54/'Main inputs'!K51</f>
        <v>0.2</v>
      </c>
      <c r="L55" s="96">
        <f>L54/'Main inputs'!L51</f>
        <v>6</v>
      </c>
      <c r="M55" s="97">
        <f>M54/'Main inputs'!M51</f>
        <v>2.4</v>
      </c>
      <c r="N55" s="96">
        <f>N54/'Main inputs'!N51</f>
        <v>0.11999999999999998</v>
      </c>
    </row>
    <row r="57" spans="1:21" ht="13" x14ac:dyDescent="0.15">
      <c r="A57" s="281" t="s">
        <v>66</v>
      </c>
      <c r="B57" s="270"/>
      <c r="C57" s="282" t="s">
        <v>57</v>
      </c>
      <c r="D57" s="270"/>
      <c r="E57" s="270"/>
      <c r="F57" s="278"/>
      <c r="G57" s="282" t="s">
        <v>58</v>
      </c>
      <c r="H57" s="270"/>
      <c r="I57" s="270"/>
      <c r="J57" s="270"/>
      <c r="K57" s="278"/>
      <c r="L57" s="282" t="s">
        <v>59</v>
      </c>
      <c r="M57" s="270"/>
      <c r="N57" s="270"/>
      <c r="O57" s="270"/>
      <c r="P57" s="278"/>
      <c r="Q57" s="283" t="s">
        <v>60</v>
      </c>
      <c r="R57" s="270"/>
      <c r="S57" s="126"/>
      <c r="T57" s="126"/>
      <c r="U57" s="126"/>
    </row>
    <row r="58" spans="1:21" ht="13" x14ac:dyDescent="0.15">
      <c r="A58" s="284" t="s">
        <v>67</v>
      </c>
      <c r="B58" s="272"/>
      <c r="C58" s="285" t="s">
        <v>5</v>
      </c>
      <c r="D58" s="272"/>
      <c r="E58" s="272"/>
      <c r="F58" s="274"/>
      <c r="G58" s="285" t="s">
        <v>6</v>
      </c>
      <c r="H58" s="272"/>
      <c r="I58" s="272"/>
      <c r="J58" s="272"/>
      <c r="K58" s="274"/>
      <c r="L58" s="285" t="s">
        <v>68</v>
      </c>
      <c r="M58" s="272"/>
      <c r="N58" s="272"/>
      <c r="O58" s="272"/>
      <c r="P58" s="274"/>
      <c r="Q58" s="286" t="s">
        <v>8</v>
      </c>
      <c r="R58" s="272"/>
      <c r="S58" s="272"/>
      <c r="T58" s="272"/>
      <c r="U58" s="272"/>
    </row>
    <row r="59" spans="1:21" ht="13" x14ac:dyDescent="0.15">
      <c r="A59" s="112" t="s">
        <v>69</v>
      </c>
      <c r="B59" s="84"/>
      <c r="C59" s="24" t="s">
        <v>10</v>
      </c>
      <c r="D59" s="24" t="s">
        <v>12</v>
      </c>
      <c r="E59" s="24" t="s">
        <v>64</v>
      </c>
      <c r="F59" s="25" t="s">
        <v>13</v>
      </c>
      <c r="G59" s="24" t="s">
        <v>10</v>
      </c>
      <c r="H59" s="24" t="s">
        <v>14</v>
      </c>
      <c r="I59" s="24" t="s">
        <v>15</v>
      </c>
      <c r="J59" s="24" t="s">
        <v>13</v>
      </c>
      <c r="K59" s="25" t="s">
        <v>16</v>
      </c>
      <c r="L59" s="24" t="s">
        <v>10</v>
      </c>
      <c r="M59" s="24" t="s">
        <v>12</v>
      </c>
      <c r="N59" s="24" t="s">
        <v>70</v>
      </c>
      <c r="O59" s="24" t="s">
        <v>71</v>
      </c>
      <c r="P59" s="25" t="s">
        <v>72</v>
      </c>
      <c r="Q59" s="24" t="s">
        <v>10</v>
      </c>
    </row>
    <row r="60" spans="1:21" ht="13" x14ac:dyDescent="0.15">
      <c r="A60" s="111" t="s">
        <v>18</v>
      </c>
      <c r="B60" s="84" t="s">
        <v>9</v>
      </c>
      <c r="F60" s="85"/>
      <c r="K60" s="85"/>
      <c r="P60" s="85"/>
    </row>
    <row r="61" spans="1:21" ht="13" x14ac:dyDescent="0.15">
      <c r="A61" s="154" t="s">
        <v>19</v>
      </c>
      <c r="B61" s="121" t="s">
        <v>20</v>
      </c>
      <c r="C61" s="59">
        <v>6</v>
      </c>
      <c r="D61" s="59">
        <v>5</v>
      </c>
      <c r="E61" s="59">
        <v>5</v>
      </c>
      <c r="F61" s="60">
        <v>5</v>
      </c>
      <c r="G61" s="59">
        <v>6</v>
      </c>
      <c r="H61" s="59">
        <v>5</v>
      </c>
      <c r="I61" s="59">
        <v>5</v>
      </c>
      <c r="J61" s="59">
        <v>5</v>
      </c>
      <c r="K61" s="60">
        <v>5</v>
      </c>
      <c r="L61" s="59">
        <v>6</v>
      </c>
      <c r="M61" s="59">
        <v>5</v>
      </c>
      <c r="N61" s="59">
        <v>5</v>
      </c>
      <c r="O61" s="59">
        <v>5</v>
      </c>
      <c r="P61" s="60">
        <v>5</v>
      </c>
      <c r="Q61" s="59">
        <v>6</v>
      </c>
    </row>
    <row r="62" spans="1:21" ht="13" x14ac:dyDescent="0.15">
      <c r="A62" s="120" t="s">
        <v>21</v>
      </c>
      <c r="B62" s="121" t="s">
        <v>22</v>
      </c>
      <c r="C62" s="59">
        <v>7</v>
      </c>
      <c r="D62" s="59">
        <v>1</v>
      </c>
      <c r="E62" s="59">
        <v>3</v>
      </c>
      <c r="F62" s="60">
        <v>3</v>
      </c>
      <c r="G62" s="59">
        <v>12</v>
      </c>
      <c r="H62" s="59">
        <v>12</v>
      </c>
      <c r="I62" s="59">
        <v>12</v>
      </c>
      <c r="J62" s="59">
        <v>12</v>
      </c>
      <c r="K62" s="60">
        <v>12</v>
      </c>
      <c r="L62" s="59">
        <v>6</v>
      </c>
      <c r="M62" s="59">
        <v>1</v>
      </c>
      <c r="N62" s="59">
        <v>8</v>
      </c>
      <c r="O62" s="59">
        <v>8</v>
      </c>
      <c r="P62" s="60">
        <v>8</v>
      </c>
      <c r="Q62" s="59">
        <v>6</v>
      </c>
    </row>
    <row r="63" spans="1:21" ht="13" x14ac:dyDescent="0.15">
      <c r="A63" s="120" t="s">
        <v>23</v>
      </c>
      <c r="B63" s="121" t="s">
        <v>24</v>
      </c>
      <c r="C63" s="59">
        <v>6.4000000000000001E-2</v>
      </c>
      <c r="D63" s="59">
        <v>6.4000000000000001E-2</v>
      </c>
      <c r="E63" s="59">
        <v>6.4000000000000001E-2</v>
      </c>
      <c r="F63" s="60">
        <v>6.4000000000000001E-2</v>
      </c>
      <c r="G63" s="59">
        <v>6.4000000000000001E-2</v>
      </c>
      <c r="H63" s="59">
        <v>6.4000000000000001E-2</v>
      </c>
      <c r="I63" s="59">
        <v>6.4000000000000001E-2</v>
      </c>
      <c r="J63" s="59">
        <v>6.4000000000000001E-2</v>
      </c>
      <c r="K63" s="60">
        <v>6.4000000000000001E-2</v>
      </c>
      <c r="L63" s="59">
        <v>6.4000000000000001E-2</v>
      </c>
      <c r="M63" s="59">
        <v>6.4000000000000001E-2</v>
      </c>
      <c r="N63" s="59">
        <v>6.4000000000000001E-2</v>
      </c>
      <c r="O63" s="59">
        <v>6.4000000000000001E-2</v>
      </c>
      <c r="P63" s="60">
        <v>6.4000000000000001E-2</v>
      </c>
      <c r="Q63" s="59">
        <v>6.4000000000000001E-2</v>
      </c>
    </row>
    <row r="64" spans="1:21" ht="13" x14ac:dyDescent="0.15">
      <c r="A64" s="120" t="s">
        <v>25</v>
      </c>
      <c r="B64" s="121" t="s">
        <v>24</v>
      </c>
      <c r="C64" s="59">
        <f t="shared" ref="C64:Q64" si="18">5.1/17</f>
        <v>0.3</v>
      </c>
      <c r="D64" s="59">
        <f t="shared" si="18"/>
        <v>0.3</v>
      </c>
      <c r="E64" s="59">
        <f t="shared" si="18"/>
        <v>0.3</v>
      </c>
      <c r="F64" s="60">
        <f t="shared" si="18"/>
        <v>0.3</v>
      </c>
      <c r="G64" s="59">
        <f t="shared" si="18"/>
        <v>0.3</v>
      </c>
      <c r="H64" s="59">
        <f t="shared" si="18"/>
        <v>0.3</v>
      </c>
      <c r="I64" s="59">
        <f t="shared" si="18"/>
        <v>0.3</v>
      </c>
      <c r="J64" s="59">
        <f t="shared" si="18"/>
        <v>0.3</v>
      </c>
      <c r="K64" s="60">
        <f t="shared" si="18"/>
        <v>0.3</v>
      </c>
      <c r="L64" s="59">
        <f t="shared" si="18"/>
        <v>0.3</v>
      </c>
      <c r="M64" s="59">
        <f t="shared" si="18"/>
        <v>0.3</v>
      </c>
      <c r="N64" s="59">
        <f t="shared" si="18"/>
        <v>0.3</v>
      </c>
      <c r="O64" s="59">
        <f t="shared" si="18"/>
        <v>0.3</v>
      </c>
      <c r="P64" s="60">
        <f t="shared" si="18"/>
        <v>0.3</v>
      </c>
      <c r="Q64" s="59">
        <f t="shared" si="18"/>
        <v>0.3</v>
      </c>
    </row>
    <row r="65" spans="1:26" ht="13" x14ac:dyDescent="0.15">
      <c r="A65" s="120" t="s">
        <v>26</v>
      </c>
      <c r="B65" s="121" t="s">
        <v>27</v>
      </c>
      <c r="C65" s="59">
        <v>1.35</v>
      </c>
      <c r="D65" s="59">
        <v>1.35</v>
      </c>
      <c r="E65" s="59">
        <v>1.35</v>
      </c>
      <c r="F65" s="60">
        <v>1.35</v>
      </c>
      <c r="G65" s="59">
        <v>1.35</v>
      </c>
      <c r="H65" s="59">
        <v>1.35</v>
      </c>
      <c r="I65" s="59">
        <v>1.35</v>
      </c>
      <c r="J65" s="59">
        <v>1.35</v>
      </c>
      <c r="K65" s="60">
        <v>1.35</v>
      </c>
      <c r="L65" s="59">
        <v>1.35</v>
      </c>
      <c r="M65" s="59">
        <v>1.35</v>
      </c>
      <c r="N65" s="59">
        <v>1.35</v>
      </c>
      <c r="O65" s="59">
        <v>1.35</v>
      </c>
      <c r="P65" s="60">
        <v>1.35</v>
      </c>
      <c r="Q65" s="59">
        <v>1.35</v>
      </c>
    </row>
    <row r="66" spans="1:26" ht="13" x14ac:dyDescent="0.15">
      <c r="A66" s="120" t="s">
        <v>28</v>
      </c>
      <c r="B66" s="121" t="s">
        <v>29</v>
      </c>
      <c r="C66" s="61">
        <v>50</v>
      </c>
      <c r="D66" s="61">
        <v>50</v>
      </c>
      <c r="E66" s="61">
        <v>50</v>
      </c>
      <c r="F66" s="62">
        <v>50</v>
      </c>
      <c r="G66" s="61">
        <v>50</v>
      </c>
      <c r="H66" s="61">
        <v>50</v>
      </c>
      <c r="I66" s="61">
        <v>50</v>
      </c>
      <c r="J66" s="61">
        <v>50</v>
      </c>
      <c r="K66" s="62">
        <v>50</v>
      </c>
      <c r="L66" s="61">
        <v>50</v>
      </c>
      <c r="M66" s="61">
        <v>50</v>
      </c>
      <c r="N66" s="61">
        <v>50</v>
      </c>
      <c r="O66" s="61">
        <v>50</v>
      </c>
      <c r="P66" s="62">
        <v>50</v>
      </c>
      <c r="Q66" s="61">
        <v>50</v>
      </c>
    </row>
    <row r="67" spans="1:26" ht="13" x14ac:dyDescent="0.15">
      <c r="A67" s="120" t="s">
        <v>30</v>
      </c>
      <c r="B67" s="121" t="s">
        <v>31</v>
      </c>
      <c r="C67" s="63">
        <v>5.8999999999999997E-2</v>
      </c>
      <c r="D67" s="63">
        <v>5.8999999999999997E-2</v>
      </c>
      <c r="E67" s="63">
        <v>5.8999999999999997E-2</v>
      </c>
      <c r="F67" s="64">
        <v>5.8999999999999997E-2</v>
      </c>
      <c r="G67" s="63">
        <v>5.8999999999999997E-2</v>
      </c>
      <c r="H67" s="63">
        <v>5.8999999999999997E-2</v>
      </c>
      <c r="I67" s="63">
        <v>5.8999999999999997E-2</v>
      </c>
      <c r="J67" s="63">
        <v>5.8999999999999997E-2</v>
      </c>
      <c r="K67" s="64">
        <v>5.8999999999999997E-2</v>
      </c>
      <c r="L67" s="63">
        <v>5.8999999999999997E-2</v>
      </c>
      <c r="M67" s="63">
        <v>5.8999999999999997E-2</v>
      </c>
      <c r="N67" s="63">
        <v>5.8999999999999997E-2</v>
      </c>
      <c r="O67" s="63">
        <v>5.8999999999999997E-2</v>
      </c>
      <c r="P67" s="64">
        <v>5.8999999999999997E-2</v>
      </c>
      <c r="Q67" s="63">
        <v>5.8999999999999997E-2</v>
      </c>
    </row>
    <row r="68" spans="1:26" ht="13" x14ac:dyDescent="0.15">
      <c r="A68" s="120" t="s">
        <v>32</v>
      </c>
      <c r="B68" s="121" t="s">
        <v>33</v>
      </c>
      <c r="C68" s="59">
        <v>33</v>
      </c>
      <c r="D68" s="65">
        <f>E40</f>
        <v>25</v>
      </c>
      <c r="E68" s="59">
        <f>F12*0.7</f>
        <v>35</v>
      </c>
      <c r="F68" s="60">
        <f>F12*0.9</f>
        <v>45</v>
      </c>
      <c r="G68" s="59">
        <v>33</v>
      </c>
      <c r="H68" s="59">
        <f>H12*0.8</f>
        <v>75.2</v>
      </c>
      <c r="I68" s="59">
        <f>I12</f>
        <v>94</v>
      </c>
      <c r="J68" s="59">
        <f>J12*1.1</f>
        <v>103.4</v>
      </c>
      <c r="K68" s="60">
        <f>K12*0.6</f>
        <v>56.4</v>
      </c>
      <c r="L68" s="59">
        <v>33</v>
      </c>
      <c r="M68" s="59">
        <v>89</v>
      </c>
      <c r="N68" s="59">
        <v>103</v>
      </c>
      <c r="O68" s="59">
        <f>P68</f>
        <v>43</v>
      </c>
      <c r="P68" s="60">
        <v>43</v>
      </c>
      <c r="Q68" s="59">
        <v>33</v>
      </c>
    </row>
    <row r="69" spans="1:26" ht="13" x14ac:dyDescent="0.15">
      <c r="A69" s="120" t="s">
        <v>34</v>
      </c>
      <c r="B69" s="65">
        <f>1920/17</f>
        <v>112.94117647058823</v>
      </c>
      <c r="F69" s="85"/>
      <c r="K69" s="85"/>
      <c r="P69" s="85"/>
    </row>
    <row r="70" spans="1:26" ht="13" x14ac:dyDescent="0.15">
      <c r="A70" s="104" t="s">
        <v>35</v>
      </c>
      <c r="B70" s="86"/>
      <c r="C70" s="113"/>
      <c r="D70" s="113"/>
      <c r="E70" s="113"/>
      <c r="F70" s="114"/>
      <c r="G70" s="113"/>
      <c r="H70" s="113"/>
      <c r="I70" s="113"/>
      <c r="J70" s="113"/>
      <c r="K70" s="114"/>
      <c r="L70" s="113"/>
      <c r="M70" s="113"/>
      <c r="N70" s="113"/>
      <c r="O70" s="113"/>
      <c r="P70" s="114"/>
      <c r="Q70" s="113"/>
    </row>
    <row r="71" spans="1:26" ht="13" x14ac:dyDescent="0.15">
      <c r="A71" s="120" t="s">
        <v>73</v>
      </c>
      <c r="B71" s="121" t="s">
        <v>37</v>
      </c>
      <c r="C71" s="66">
        <v>738</v>
      </c>
      <c r="D71" s="93"/>
      <c r="E71" s="93"/>
      <c r="F71" s="105"/>
      <c r="G71" s="66">
        <v>738</v>
      </c>
      <c r="H71" s="93"/>
      <c r="I71" s="93"/>
      <c r="J71" s="93"/>
      <c r="K71" s="105"/>
      <c r="L71" s="66">
        <v>738</v>
      </c>
      <c r="M71" s="93"/>
      <c r="N71" s="93"/>
      <c r="O71" s="93"/>
      <c r="P71" s="105"/>
      <c r="Q71" s="66">
        <v>738</v>
      </c>
    </row>
    <row r="72" spans="1:26" ht="13" x14ac:dyDescent="0.15">
      <c r="A72" s="124" t="s">
        <v>74</v>
      </c>
      <c r="B72" s="125" t="s">
        <v>39</v>
      </c>
      <c r="C72" s="67">
        <v>0.12</v>
      </c>
      <c r="D72" s="93"/>
      <c r="E72" s="93"/>
      <c r="F72" s="105"/>
      <c r="G72" s="67">
        <v>0.12</v>
      </c>
      <c r="H72" s="93"/>
      <c r="I72" s="93"/>
      <c r="J72" s="93"/>
      <c r="K72" s="105"/>
      <c r="L72" s="67">
        <v>0.12</v>
      </c>
      <c r="M72" s="93"/>
      <c r="N72" s="93"/>
      <c r="O72" s="93"/>
      <c r="P72" s="105"/>
      <c r="Q72" s="67">
        <v>0.12</v>
      </c>
      <c r="R72" s="108"/>
      <c r="S72" s="108"/>
      <c r="T72" s="108"/>
      <c r="U72" s="108"/>
      <c r="V72" s="108"/>
      <c r="W72" s="108"/>
      <c r="X72" s="108"/>
      <c r="Y72" s="108"/>
      <c r="Z72" s="108"/>
    </row>
    <row r="73" spans="1:26" ht="13" x14ac:dyDescent="0.15">
      <c r="A73" s="104" t="s">
        <v>40</v>
      </c>
      <c r="B73" s="91"/>
      <c r="C73" s="113"/>
      <c r="D73" s="113"/>
      <c r="E73" s="113"/>
      <c r="F73" s="114"/>
      <c r="G73" s="113"/>
      <c r="H73" s="113"/>
      <c r="I73" s="113"/>
      <c r="J73" s="113"/>
      <c r="K73" s="114"/>
      <c r="L73" s="113"/>
      <c r="M73" s="113"/>
      <c r="N73" s="113"/>
      <c r="O73" s="113"/>
      <c r="P73" s="114"/>
      <c r="Q73" s="113"/>
    </row>
    <row r="74" spans="1:26" ht="13" x14ac:dyDescent="0.15">
      <c r="A74" s="120" t="s">
        <v>41</v>
      </c>
      <c r="B74" s="121" t="s">
        <v>37</v>
      </c>
      <c r="C74" s="93"/>
      <c r="D74" s="66">
        <v>1118</v>
      </c>
      <c r="E74" s="66">
        <v>894</v>
      </c>
      <c r="F74" s="69">
        <v>1888</v>
      </c>
      <c r="G74" s="93"/>
      <c r="H74" s="66">
        <v>2329</v>
      </c>
      <c r="I74" s="66">
        <v>4550</v>
      </c>
      <c r="J74" s="66">
        <v>1888</v>
      </c>
      <c r="K74" s="69">
        <v>2329</v>
      </c>
      <c r="L74" s="93"/>
      <c r="M74" s="66">
        <v>1778</v>
      </c>
      <c r="N74" s="66">
        <v>2059</v>
      </c>
      <c r="O74" s="66">
        <v>900</v>
      </c>
      <c r="P74" s="69">
        <v>2000</v>
      </c>
      <c r="Q74" s="93"/>
    </row>
    <row r="75" spans="1:26" ht="13" x14ac:dyDescent="0.15">
      <c r="A75" s="122" t="s">
        <v>42</v>
      </c>
      <c r="B75" s="123" t="s">
        <v>43</v>
      </c>
      <c r="C75" s="93"/>
      <c r="D75" s="70">
        <v>1000</v>
      </c>
      <c r="E75" s="70">
        <v>600</v>
      </c>
      <c r="F75" s="71">
        <v>1000</v>
      </c>
      <c r="G75" s="93"/>
      <c r="H75" s="70">
        <v>350</v>
      </c>
      <c r="I75" s="70">
        <v>1000</v>
      </c>
      <c r="J75" s="70">
        <v>800</v>
      </c>
      <c r="K75" s="71">
        <v>400</v>
      </c>
      <c r="L75" s="93"/>
      <c r="M75" s="70">
        <v>800</v>
      </c>
      <c r="N75" s="70">
        <v>20</v>
      </c>
      <c r="O75" s="70">
        <v>200</v>
      </c>
      <c r="P75" s="71">
        <v>60</v>
      </c>
      <c r="Q75" s="93"/>
      <c r="R75" s="119"/>
      <c r="S75" s="119"/>
      <c r="T75" s="119"/>
      <c r="U75" s="119"/>
      <c r="V75" s="119"/>
      <c r="W75" s="119"/>
      <c r="X75" s="119"/>
      <c r="Y75" s="119"/>
      <c r="Z75" s="119"/>
    </row>
    <row r="76" spans="1:26" ht="13" x14ac:dyDescent="0.15">
      <c r="A76" s="124" t="s">
        <v>44</v>
      </c>
      <c r="B76" s="125" t="s">
        <v>39</v>
      </c>
      <c r="C76" s="93"/>
      <c r="D76" s="67">
        <v>2.2000000000000002</v>
      </c>
      <c r="E76" s="67">
        <v>5</v>
      </c>
      <c r="F76" s="72">
        <v>7.5</v>
      </c>
      <c r="G76" s="93"/>
      <c r="H76" s="67">
        <v>2</v>
      </c>
      <c r="I76" s="67">
        <v>7.5</v>
      </c>
      <c r="J76" s="67">
        <v>7.5</v>
      </c>
      <c r="K76" s="72">
        <v>1.5</v>
      </c>
      <c r="L76" s="93"/>
      <c r="M76" s="67">
        <v>3</v>
      </c>
      <c r="N76" s="67">
        <v>5.5</v>
      </c>
      <c r="O76" s="67">
        <v>2</v>
      </c>
      <c r="P76" s="72">
        <v>3</v>
      </c>
      <c r="Q76" s="93"/>
      <c r="R76" s="108"/>
      <c r="S76" s="108"/>
      <c r="T76" s="108"/>
      <c r="U76" s="108"/>
      <c r="V76" s="108"/>
      <c r="W76" s="108"/>
      <c r="X76" s="108"/>
      <c r="Y76" s="108"/>
      <c r="Z76" s="108"/>
    </row>
    <row r="77" spans="1:26" ht="13" x14ac:dyDescent="0.15">
      <c r="A77" s="84" t="s">
        <v>45</v>
      </c>
      <c r="B77" s="91"/>
      <c r="C77" s="113"/>
      <c r="D77" s="113"/>
      <c r="E77" s="113"/>
      <c r="F77" s="114"/>
      <c r="G77" s="113"/>
      <c r="H77" s="113"/>
      <c r="I77" s="113"/>
      <c r="J77" s="113"/>
      <c r="K77" s="114"/>
      <c r="L77" s="113"/>
      <c r="M77" s="113"/>
      <c r="N77" s="113"/>
      <c r="O77" s="113"/>
      <c r="P77" s="114"/>
      <c r="Q77" s="113"/>
    </row>
    <row r="78" spans="1:26" ht="13" x14ac:dyDescent="0.15">
      <c r="A78" s="2" t="s">
        <v>46</v>
      </c>
      <c r="B78" s="86" t="s">
        <v>47</v>
      </c>
      <c r="C78" s="87">
        <f>C61*$B$115*C62/8760</f>
        <v>0.14582534246575343</v>
      </c>
      <c r="D78" s="87">
        <f t="shared" ref="D78:F78" si="19">D61*$C$115*D62/8760</f>
        <v>7.4400684931506846E-3</v>
      </c>
      <c r="E78" s="87">
        <f t="shared" si="19"/>
        <v>2.2320205479452054E-2</v>
      </c>
      <c r="F78" s="88">
        <f t="shared" si="19"/>
        <v>2.2320205479452054E-2</v>
      </c>
      <c r="G78" s="87">
        <f>G61*$B$115*G62/8760</f>
        <v>0.24998630136986302</v>
      </c>
      <c r="H78" s="87">
        <f t="shared" ref="H78:K78" si="20">H61*$C$115*H62/8760</f>
        <v>8.9280821917808215E-2</v>
      </c>
      <c r="I78" s="87">
        <f t="shared" si="20"/>
        <v>8.9280821917808215E-2</v>
      </c>
      <c r="J78" s="87">
        <f t="shared" si="20"/>
        <v>8.9280821917808215E-2</v>
      </c>
      <c r="K78" s="88">
        <f t="shared" si="20"/>
        <v>8.9280821917808215E-2</v>
      </c>
      <c r="L78" s="87">
        <f>L61*$B$115*L62/8760</f>
        <v>0.12499315068493151</v>
      </c>
      <c r="M78" s="87">
        <f t="shared" ref="M78:P78" si="21">M61*$C$115*M62/8760</f>
        <v>7.4400684931506846E-3</v>
      </c>
      <c r="N78" s="87">
        <f t="shared" si="21"/>
        <v>5.9520547945205476E-2</v>
      </c>
      <c r="O78" s="87">
        <f t="shared" si="21"/>
        <v>5.9520547945205476E-2</v>
      </c>
      <c r="P78" s="88">
        <f t="shared" si="21"/>
        <v>5.9520547945205476E-2</v>
      </c>
      <c r="Q78" s="87">
        <f>Q61*$B$115*Q62/8760</f>
        <v>0.12499315068493151</v>
      </c>
    </row>
    <row r="79" spans="1:26" ht="13" x14ac:dyDescent="0.15">
      <c r="A79" s="2" t="s">
        <v>48</v>
      </c>
      <c r="B79" s="86" t="s">
        <v>49</v>
      </c>
      <c r="C79" s="115">
        <f>'Main inputs'!C78*8760</f>
        <v>1277.43</v>
      </c>
      <c r="D79" s="115">
        <f>'Main inputs'!D78*8760</f>
        <v>65.174999999999997</v>
      </c>
      <c r="E79" s="115">
        <f>'Main inputs'!E78*8760</f>
        <v>195.52499999999998</v>
      </c>
      <c r="F79" s="90">
        <f>'Main inputs'!F78*8760</f>
        <v>195.52499999999998</v>
      </c>
      <c r="G79" s="89">
        <f>'Main inputs'!G78*8760</f>
        <v>2189.88</v>
      </c>
      <c r="H79" s="89">
        <f>'Main inputs'!H78*8760</f>
        <v>782.09999999999991</v>
      </c>
      <c r="I79" s="89">
        <f>'Main inputs'!I78*8760</f>
        <v>782.09999999999991</v>
      </c>
      <c r="J79" s="89">
        <f>'Main inputs'!J78*8760</f>
        <v>782.09999999999991</v>
      </c>
      <c r="K79" s="90">
        <f>'Main inputs'!K78*8760</f>
        <v>782.09999999999991</v>
      </c>
      <c r="L79" s="89">
        <f>'Main inputs'!L78*8760</f>
        <v>1094.94</v>
      </c>
      <c r="M79" s="89">
        <f>'Main inputs'!M78*8760</f>
        <v>65.174999999999997</v>
      </c>
      <c r="N79" s="89">
        <f>'Main inputs'!N78*8760</f>
        <v>521.4</v>
      </c>
      <c r="O79" s="89">
        <f>'Main inputs'!O78*8760</f>
        <v>521.4</v>
      </c>
      <c r="P79" s="90">
        <f>'Main inputs'!P78*8760</f>
        <v>521.4</v>
      </c>
      <c r="Q79" s="89">
        <f>'Main inputs'!Q78*8760</f>
        <v>1094.94</v>
      </c>
    </row>
    <row r="80" spans="1:26" ht="13" x14ac:dyDescent="0.15">
      <c r="A80" s="2" t="s">
        <v>50</v>
      </c>
      <c r="B80" s="86" t="s">
        <v>33</v>
      </c>
      <c r="C80" s="91">
        <f>$B$69*C62*$B$116</f>
        <v>395.29411764705878</v>
      </c>
      <c r="D80" s="91">
        <f t="shared" ref="D80:F80" si="22">$B$69*D62*$C$116</f>
        <v>112.94117647058823</v>
      </c>
      <c r="E80" s="91">
        <f t="shared" si="22"/>
        <v>338.8235294117647</v>
      </c>
      <c r="F80" s="92">
        <f t="shared" si="22"/>
        <v>338.8235294117647</v>
      </c>
      <c r="G80" s="91">
        <f>$B$69*G62*$B$116</f>
        <v>677.64705882352939</v>
      </c>
      <c r="H80" s="91">
        <f t="shared" ref="H80:K80" si="23">$B$69*H62*$C$116</f>
        <v>1355.2941176470588</v>
      </c>
      <c r="I80" s="91">
        <f t="shared" si="23"/>
        <v>1355.2941176470588</v>
      </c>
      <c r="J80" s="91">
        <f t="shared" si="23"/>
        <v>1355.2941176470588</v>
      </c>
      <c r="K80" s="92">
        <f t="shared" si="23"/>
        <v>1355.2941176470588</v>
      </c>
      <c r="L80" s="91">
        <f>$B$69*L62*$B$116</f>
        <v>338.8235294117647</v>
      </c>
      <c r="M80" s="91">
        <f t="shared" ref="M80:P80" si="24">$B$69*M62*$C$116</f>
        <v>112.94117647058823</v>
      </c>
      <c r="N80" s="91">
        <f t="shared" si="24"/>
        <v>903.52941176470586</v>
      </c>
      <c r="O80" s="91">
        <f t="shared" si="24"/>
        <v>903.52941176470586</v>
      </c>
      <c r="P80" s="92">
        <f t="shared" si="24"/>
        <v>903.52941176470586</v>
      </c>
      <c r="Q80" s="91">
        <f>$B$69*Q62*$B$116</f>
        <v>338.8235294117647</v>
      </c>
    </row>
    <row r="81" spans="1:19" ht="13" x14ac:dyDescent="0.15">
      <c r="A81" s="2" t="s">
        <v>51</v>
      </c>
      <c r="B81" s="86" t="s">
        <v>52</v>
      </c>
      <c r="C81" s="116"/>
      <c r="D81" s="115">
        <f t="shared" ref="D81:F81" si="25">D75*0.5</f>
        <v>500</v>
      </c>
      <c r="E81" s="115">
        <f t="shared" si="25"/>
        <v>300</v>
      </c>
      <c r="F81" s="90">
        <f t="shared" si="25"/>
        <v>500</v>
      </c>
      <c r="G81" s="93"/>
      <c r="H81" s="89">
        <f t="shared" ref="H81:K81" si="26">H75*0.5</f>
        <v>175</v>
      </c>
      <c r="I81" s="89">
        <f t="shared" si="26"/>
        <v>500</v>
      </c>
      <c r="J81" s="89">
        <f t="shared" si="26"/>
        <v>400</v>
      </c>
      <c r="K81" s="90">
        <f t="shared" si="26"/>
        <v>200</v>
      </c>
      <c r="L81" s="93"/>
      <c r="M81" s="89">
        <f t="shared" ref="M81:P81" si="27">M75*0.5</f>
        <v>400</v>
      </c>
      <c r="N81" s="89">
        <f t="shared" si="27"/>
        <v>10</v>
      </c>
      <c r="O81" s="89">
        <f t="shared" si="27"/>
        <v>100</v>
      </c>
      <c r="P81" s="90">
        <f t="shared" si="27"/>
        <v>30</v>
      </c>
      <c r="Q81" s="93"/>
    </row>
    <row r="82" spans="1:19" ht="13" x14ac:dyDescent="0.15">
      <c r="A82" s="2" t="s">
        <v>53</v>
      </c>
      <c r="B82" s="86" t="s">
        <v>54</v>
      </c>
      <c r="C82" s="115">
        <f>C72*'Main inputs'!C79</f>
        <v>153.29159999999999</v>
      </c>
      <c r="D82" s="115">
        <f>D76*'Main inputs'!D79</f>
        <v>143.38500000000002</v>
      </c>
      <c r="E82" s="115">
        <f>E76*'Main inputs'!E79</f>
        <v>977.62499999999989</v>
      </c>
      <c r="F82" s="90">
        <f>F76*'Main inputs'!F79</f>
        <v>1466.4374999999998</v>
      </c>
      <c r="G82" s="89">
        <f>G72*'Main inputs'!G79</f>
        <v>262.78559999999999</v>
      </c>
      <c r="H82" s="89">
        <f>H76*'Main inputs'!H79</f>
        <v>1564.1999999999998</v>
      </c>
      <c r="I82" s="89">
        <f>I76*'Main inputs'!I79</f>
        <v>5865.7499999999991</v>
      </c>
      <c r="J82" s="89">
        <f>J76*'Main inputs'!J79</f>
        <v>5865.7499999999991</v>
      </c>
      <c r="K82" s="90">
        <f>K76*'Main inputs'!K79</f>
        <v>1173.1499999999999</v>
      </c>
      <c r="L82" s="89">
        <f>L72*'Main inputs'!L79</f>
        <v>131.39279999999999</v>
      </c>
      <c r="M82" s="89">
        <f>M76*'Main inputs'!M79</f>
        <v>195.52499999999998</v>
      </c>
      <c r="N82" s="89">
        <f>N76*'Main inputs'!N79</f>
        <v>2867.7</v>
      </c>
      <c r="O82" s="89">
        <f>O76*'Main inputs'!O79</f>
        <v>1042.8</v>
      </c>
      <c r="P82" s="90">
        <f>P76*'Main inputs'!P79</f>
        <v>1564.1999999999998</v>
      </c>
      <c r="Q82" s="89">
        <f>Q72*'Main inputs'!Q79</f>
        <v>131.39279999999999</v>
      </c>
    </row>
    <row r="83" spans="1:19" ht="13" x14ac:dyDescent="0.15">
      <c r="A83" s="94" t="s">
        <v>55</v>
      </c>
      <c r="B83" s="95" t="s">
        <v>39</v>
      </c>
      <c r="C83" s="117">
        <f>C82/'Main inputs'!C79</f>
        <v>0.11999999999999998</v>
      </c>
      <c r="D83" s="117">
        <f>D82/'Main inputs'!D79</f>
        <v>2.2000000000000002</v>
      </c>
      <c r="E83" s="117">
        <f>E82/'Main inputs'!E79</f>
        <v>5</v>
      </c>
      <c r="F83" s="97">
        <f>F82/'Main inputs'!F79</f>
        <v>7.5</v>
      </c>
      <c r="G83" s="96">
        <f>G82/'Main inputs'!G79</f>
        <v>0.11999999999999998</v>
      </c>
      <c r="H83" s="96">
        <f>H82/'Main inputs'!H79</f>
        <v>2</v>
      </c>
      <c r="I83" s="96">
        <f>I82/'Main inputs'!I79</f>
        <v>7.5</v>
      </c>
      <c r="J83" s="96">
        <f>J82/'Main inputs'!J79</f>
        <v>7.5</v>
      </c>
      <c r="K83" s="97">
        <f>K82/'Main inputs'!K79</f>
        <v>1.5</v>
      </c>
      <c r="L83" s="96">
        <f>L82/'Main inputs'!L79</f>
        <v>0.11999999999999998</v>
      </c>
      <c r="M83" s="96">
        <f>M82/'Main inputs'!M79</f>
        <v>3</v>
      </c>
      <c r="N83" s="96">
        <f>N82/'Main inputs'!N79</f>
        <v>5.5</v>
      </c>
      <c r="O83" s="96">
        <f>O82/'Main inputs'!O79</f>
        <v>2</v>
      </c>
      <c r="P83" s="97">
        <f>P82/'Main inputs'!P79</f>
        <v>3</v>
      </c>
      <c r="Q83" s="96">
        <f>Q82/'Main inputs'!Q79</f>
        <v>0.11999999999999998</v>
      </c>
    </row>
    <row r="85" spans="1:19" ht="13" x14ac:dyDescent="0.15">
      <c r="A85" s="276" t="s">
        <v>56</v>
      </c>
      <c r="B85" s="270"/>
      <c r="C85" s="277" t="s">
        <v>57</v>
      </c>
      <c r="D85" s="270"/>
      <c r="E85" s="270"/>
      <c r="F85" s="278"/>
      <c r="G85" s="277" t="s">
        <v>58</v>
      </c>
      <c r="H85" s="270"/>
      <c r="I85" s="270"/>
      <c r="J85" s="270"/>
      <c r="K85" s="278"/>
      <c r="L85" s="277" t="s">
        <v>59</v>
      </c>
      <c r="M85" s="270"/>
      <c r="N85" s="270"/>
      <c r="O85" s="278"/>
      <c r="P85" s="269" t="s">
        <v>60</v>
      </c>
      <c r="Q85" s="270"/>
      <c r="R85" s="270"/>
      <c r="S85" s="118"/>
    </row>
    <row r="86" spans="1:19" ht="13" x14ac:dyDescent="0.15">
      <c r="A86" s="271" t="s">
        <v>75</v>
      </c>
      <c r="B86" s="272"/>
      <c r="C86" s="273" t="s">
        <v>5</v>
      </c>
      <c r="D86" s="272"/>
      <c r="E86" s="272"/>
      <c r="F86" s="274"/>
      <c r="G86" s="273" t="s">
        <v>68</v>
      </c>
      <c r="H86" s="272"/>
      <c r="I86" s="272"/>
      <c r="J86" s="272"/>
      <c r="K86" s="274"/>
      <c r="L86" s="273" t="s">
        <v>76</v>
      </c>
      <c r="M86" s="272"/>
      <c r="N86" s="272"/>
      <c r="O86" s="274"/>
      <c r="P86" s="275" t="s">
        <v>8</v>
      </c>
      <c r="Q86" s="272"/>
      <c r="R86" s="272"/>
      <c r="S86" s="272"/>
    </row>
    <row r="87" spans="1:19" ht="13" x14ac:dyDescent="0.15">
      <c r="A87" s="112" t="s">
        <v>77</v>
      </c>
      <c r="B87" s="84"/>
      <c r="C87" s="24" t="s">
        <v>10</v>
      </c>
      <c r="D87" s="24" t="s">
        <v>12</v>
      </c>
      <c r="E87" s="24" t="s">
        <v>64</v>
      </c>
      <c r="F87" s="25" t="s">
        <v>13</v>
      </c>
      <c r="G87" s="24" t="s">
        <v>10</v>
      </c>
      <c r="H87" s="24" t="s">
        <v>12</v>
      </c>
      <c r="I87" s="24" t="s">
        <v>78</v>
      </c>
      <c r="J87" s="24" t="s">
        <v>79</v>
      </c>
      <c r="K87" s="25" t="s">
        <v>72</v>
      </c>
      <c r="L87" s="24" t="s">
        <v>10</v>
      </c>
      <c r="M87" s="24" t="s">
        <v>17</v>
      </c>
      <c r="N87" s="24" t="s">
        <v>64</v>
      </c>
      <c r="O87" s="25" t="s">
        <v>13</v>
      </c>
      <c r="P87" s="24" t="s">
        <v>10</v>
      </c>
    </row>
    <row r="88" spans="1:19" ht="13" x14ac:dyDescent="0.15">
      <c r="A88" s="111" t="s">
        <v>18</v>
      </c>
      <c r="B88" s="84" t="s">
        <v>9</v>
      </c>
      <c r="F88" s="85"/>
      <c r="K88" s="85"/>
      <c r="O88" s="85"/>
    </row>
    <row r="89" spans="1:19" ht="13" x14ac:dyDescent="0.15">
      <c r="A89" s="98" t="s">
        <v>19</v>
      </c>
      <c r="B89" s="107" t="s">
        <v>20</v>
      </c>
      <c r="C89" s="74">
        <v>6</v>
      </c>
      <c r="D89" s="74">
        <v>5</v>
      </c>
      <c r="E89" s="74">
        <v>5</v>
      </c>
      <c r="F89" s="75">
        <v>5</v>
      </c>
      <c r="G89" s="74">
        <v>6</v>
      </c>
      <c r="H89" s="74">
        <v>5</v>
      </c>
      <c r="I89" s="74">
        <v>5</v>
      </c>
      <c r="J89" s="74">
        <v>5</v>
      </c>
      <c r="K89" s="75">
        <v>5</v>
      </c>
      <c r="L89" s="74">
        <v>6</v>
      </c>
      <c r="M89" s="74">
        <v>5</v>
      </c>
      <c r="N89" s="74">
        <v>5</v>
      </c>
      <c r="O89" s="75">
        <v>5</v>
      </c>
      <c r="P89" s="74">
        <v>6</v>
      </c>
    </row>
    <row r="90" spans="1:19" ht="13" x14ac:dyDescent="0.15">
      <c r="A90" s="106" t="s">
        <v>21</v>
      </c>
      <c r="B90" s="107" t="s">
        <v>22</v>
      </c>
      <c r="C90" s="74">
        <v>7</v>
      </c>
      <c r="D90" s="74">
        <v>1</v>
      </c>
      <c r="E90" s="74">
        <v>3</v>
      </c>
      <c r="F90" s="75">
        <v>3</v>
      </c>
      <c r="G90" s="74">
        <v>8</v>
      </c>
      <c r="H90" s="74">
        <v>1</v>
      </c>
      <c r="I90" s="74">
        <v>1</v>
      </c>
      <c r="J90" s="74">
        <v>8</v>
      </c>
      <c r="K90" s="75">
        <v>8</v>
      </c>
      <c r="L90" s="74">
        <v>7</v>
      </c>
      <c r="M90" s="74">
        <v>1</v>
      </c>
      <c r="N90" s="74">
        <v>3</v>
      </c>
      <c r="O90" s="75">
        <v>3</v>
      </c>
      <c r="P90" s="74">
        <v>7</v>
      </c>
    </row>
    <row r="91" spans="1:19" ht="13" x14ac:dyDescent="0.15">
      <c r="A91" s="106" t="s">
        <v>23</v>
      </c>
      <c r="B91" s="107" t="s">
        <v>24</v>
      </c>
      <c r="C91" s="74">
        <v>0.12</v>
      </c>
      <c r="D91" s="74">
        <v>0.12</v>
      </c>
      <c r="E91" s="74">
        <v>0.12</v>
      </c>
      <c r="F91" s="75">
        <v>0.12</v>
      </c>
      <c r="G91" s="74">
        <v>0.12</v>
      </c>
      <c r="H91" s="74">
        <v>0.12</v>
      </c>
      <c r="I91" s="74">
        <v>0.12</v>
      </c>
      <c r="J91" s="74">
        <v>0.12</v>
      </c>
      <c r="K91" s="75">
        <v>0.12</v>
      </c>
      <c r="L91" s="74">
        <v>0.12</v>
      </c>
      <c r="M91" s="74">
        <v>0.12</v>
      </c>
      <c r="N91" s="74">
        <v>0.12</v>
      </c>
      <c r="O91" s="75">
        <v>0.12</v>
      </c>
      <c r="P91" s="74">
        <v>0.12</v>
      </c>
    </row>
    <row r="92" spans="1:19" ht="13" x14ac:dyDescent="0.15">
      <c r="A92" s="106" t="s">
        <v>25</v>
      </c>
      <c r="B92" s="107" t="s">
        <v>24</v>
      </c>
      <c r="C92" s="74">
        <v>0.2</v>
      </c>
      <c r="D92" s="74">
        <v>0.2</v>
      </c>
      <c r="E92" s="74">
        <v>0.2</v>
      </c>
      <c r="F92" s="75">
        <v>0.2</v>
      </c>
      <c r="G92" s="74">
        <v>0.2</v>
      </c>
      <c r="H92" s="74">
        <v>0.2</v>
      </c>
      <c r="I92" s="74">
        <v>0.2</v>
      </c>
      <c r="J92" s="74">
        <v>0.2</v>
      </c>
      <c r="K92" s="75">
        <v>0.2</v>
      </c>
      <c r="L92" s="74">
        <v>0.2</v>
      </c>
      <c r="M92" s="74">
        <v>0.2</v>
      </c>
      <c r="N92" s="74">
        <v>0.2</v>
      </c>
      <c r="O92" s="75">
        <v>0.2</v>
      </c>
      <c r="P92" s="74">
        <v>0.2</v>
      </c>
    </row>
    <row r="93" spans="1:19" ht="13" x14ac:dyDescent="0.15">
      <c r="A93" s="106" t="s">
        <v>26</v>
      </c>
      <c r="B93" s="107" t="s">
        <v>27</v>
      </c>
      <c r="C93" s="74">
        <v>1.88</v>
      </c>
      <c r="D93" s="74">
        <v>1.88</v>
      </c>
      <c r="E93" s="74">
        <v>1.88</v>
      </c>
      <c r="F93" s="75">
        <v>1.88</v>
      </c>
      <c r="G93" s="74">
        <v>1.88</v>
      </c>
      <c r="H93" s="74">
        <v>1.88</v>
      </c>
      <c r="I93" s="74">
        <v>1.88</v>
      </c>
      <c r="J93" s="74">
        <v>1.88</v>
      </c>
      <c r="K93" s="75">
        <v>1.88</v>
      </c>
      <c r="L93" s="74">
        <v>1.88</v>
      </c>
      <c r="M93" s="74">
        <v>1.88</v>
      </c>
      <c r="N93" s="74">
        <v>1.88</v>
      </c>
      <c r="O93" s="75">
        <v>1.88</v>
      </c>
      <c r="P93" s="74">
        <v>1.88</v>
      </c>
    </row>
    <row r="94" spans="1:19" ht="13" x14ac:dyDescent="0.15">
      <c r="A94" s="106" t="s">
        <v>28</v>
      </c>
      <c r="B94" s="107" t="s">
        <v>29</v>
      </c>
      <c r="C94" s="76">
        <v>50</v>
      </c>
      <c r="D94" s="76">
        <v>50</v>
      </c>
      <c r="E94" s="76">
        <v>50</v>
      </c>
      <c r="F94" s="77">
        <v>50</v>
      </c>
      <c r="G94" s="76">
        <v>50</v>
      </c>
      <c r="H94" s="76">
        <v>50</v>
      </c>
      <c r="I94" s="76">
        <v>50</v>
      </c>
      <c r="J94" s="76">
        <v>50</v>
      </c>
      <c r="K94" s="77">
        <v>50</v>
      </c>
      <c r="L94" s="76">
        <v>50</v>
      </c>
      <c r="M94" s="76">
        <v>50</v>
      </c>
      <c r="N94" s="76">
        <v>50</v>
      </c>
      <c r="O94" s="77">
        <v>50</v>
      </c>
      <c r="P94" s="76">
        <v>50</v>
      </c>
    </row>
    <row r="95" spans="1:19" ht="13" x14ac:dyDescent="0.15">
      <c r="A95" s="106" t="s">
        <v>30</v>
      </c>
      <c r="B95" s="107" t="s">
        <v>31</v>
      </c>
      <c r="C95" s="78">
        <v>5.8999999999999997E-2</v>
      </c>
      <c r="D95" s="78">
        <v>5.8999999999999997E-2</v>
      </c>
      <c r="E95" s="78">
        <v>5.8999999999999997E-2</v>
      </c>
      <c r="F95" s="79">
        <v>5.8999999999999997E-2</v>
      </c>
      <c r="G95" s="78">
        <v>5.8999999999999997E-2</v>
      </c>
      <c r="H95" s="78">
        <v>5.8999999999999997E-2</v>
      </c>
      <c r="I95" s="78">
        <v>5.8999999999999997E-2</v>
      </c>
      <c r="J95" s="78">
        <v>5.8999999999999997E-2</v>
      </c>
      <c r="K95" s="79">
        <v>5.8999999999999997E-2</v>
      </c>
      <c r="L95" s="78">
        <v>5.8999999999999997E-2</v>
      </c>
      <c r="M95" s="78">
        <v>5.8999999999999997E-2</v>
      </c>
      <c r="N95" s="78">
        <v>5.8999999999999997E-2</v>
      </c>
      <c r="O95" s="79">
        <v>5.8999999999999997E-2</v>
      </c>
      <c r="P95" s="78">
        <v>5.8999999999999997E-2</v>
      </c>
    </row>
    <row r="96" spans="1:19" ht="13" x14ac:dyDescent="0.15">
      <c r="A96" s="106" t="s">
        <v>32</v>
      </c>
      <c r="B96" s="107" t="s">
        <v>33</v>
      </c>
      <c r="C96" s="74">
        <v>33</v>
      </c>
      <c r="D96" s="80">
        <f>D68</f>
        <v>25</v>
      </c>
      <c r="E96" s="74">
        <f>F12*0.6</f>
        <v>30</v>
      </c>
      <c r="F96" s="75">
        <f>F12*0.5</f>
        <v>25</v>
      </c>
      <c r="G96" s="74">
        <v>33</v>
      </c>
      <c r="H96" s="74">
        <v>89</v>
      </c>
      <c r="I96" s="74">
        <v>45</v>
      </c>
      <c r="J96" s="74">
        <v>125</v>
      </c>
      <c r="K96" s="75">
        <v>30</v>
      </c>
      <c r="L96" s="74">
        <v>33</v>
      </c>
      <c r="M96" s="80">
        <f t="shared" ref="M96:O96" si="28">D96</f>
        <v>25</v>
      </c>
      <c r="N96" s="74">
        <f t="shared" si="28"/>
        <v>30</v>
      </c>
      <c r="O96" s="75">
        <f t="shared" si="28"/>
        <v>25</v>
      </c>
      <c r="P96" s="74">
        <v>33</v>
      </c>
    </row>
    <row r="97" spans="1:26" ht="13" x14ac:dyDescent="0.15">
      <c r="A97" s="110" t="s">
        <v>34</v>
      </c>
      <c r="B97" s="80">
        <f>70000/362</f>
        <v>193.37016574585635</v>
      </c>
      <c r="C97" s="108"/>
      <c r="D97" s="108"/>
      <c r="E97" s="108"/>
      <c r="F97" s="109"/>
      <c r="G97" s="108"/>
      <c r="H97" s="108"/>
      <c r="I97" s="108"/>
      <c r="J97" s="108"/>
      <c r="K97" s="109"/>
      <c r="L97" s="108"/>
      <c r="M97" s="108"/>
      <c r="N97" s="108"/>
      <c r="O97" s="109"/>
      <c r="P97" s="108"/>
      <c r="Q97" s="108"/>
      <c r="R97" s="108"/>
      <c r="S97" s="108"/>
      <c r="T97" s="108"/>
      <c r="U97" s="108"/>
      <c r="V97" s="108"/>
      <c r="W97" s="108"/>
      <c r="X97" s="108"/>
      <c r="Y97" s="108"/>
      <c r="Z97" s="108"/>
    </row>
    <row r="98" spans="1:26" ht="13" x14ac:dyDescent="0.15">
      <c r="A98" s="104" t="s">
        <v>35</v>
      </c>
      <c r="F98" s="85"/>
      <c r="K98" s="85"/>
      <c r="O98" s="85"/>
    </row>
    <row r="99" spans="1:26" ht="13" x14ac:dyDescent="0.15">
      <c r="A99" s="106" t="s">
        <v>73</v>
      </c>
      <c r="B99" s="107" t="s">
        <v>37</v>
      </c>
      <c r="C99" s="81">
        <v>690</v>
      </c>
      <c r="D99" s="93"/>
      <c r="E99" s="93"/>
      <c r="F99" s="105"/>
      <c r="G99" s="81">
        <v>690</v>
      </c>
      <c r="H99" s="93"/>
      <c r="I99" s="93"/>
      <c r="J99" s="93"/>
      <c r="K99" s="105"/>
      <c r="L99" s="81">
        <v>690</v>
      </c>
      <c r="M99" s="93"/>
      <c r="N99" s="93"/>
      <c r="O99" s="105"/>
      <c r="P99" s="81">
        <v>690</v>
      </c>
    </row>
    <row r="100" spans="1:26" ht="13" x14ac:dyDescent="0.15">
      <c r="A100" s="102" t="s">
        <v>74</v>
      </c>
      <c r="B100" s="103" t="s">
        <v>39</v>
      </c>
      <c r="C100" s="74">
        <v>0.66</v>
      </c>
      <c r="D100" s="93"/>
      <c r="E100" s="93"/>
      <c r="F100" s="105"/>
      <c r="G100" s="74">
        <v>0.66</v>
      </c>
      <c r="H100" s="93"/>
      <c r="I100" s="93"/>
      <c r="J100" s="93"/>
      <c r="K100" s="105"/>
      <c r="L100" s="74">
        <v>0.66</v>
      </c>
      <c r="M100" s="93"/>
      <c r="N100" s="93"/>
      <c r="O100" s="105"/>
      <c r="P100" s="74">
        <v>0.66</v>
      </c>
    </row>
    <row r="101" spans="1:26" ht="13" x14ac:dyDescent="0.15">
      <c r="A101" s="104" t="s">
        <v>40</v>
      </c>
      <c r="F101" s="85"/>
      <c r="K101" s="85"/>
      <c r="O101" s="85"/>
    </row>
    <row r="102" spans="1:26" ht="13" x14ac:dyDescent="0.15">
      <c r="A102" s="98" t="s">
        <v>41</v>
      </c>
      <c r="B102" s="99" t="s">
        <v>37</v>
      </c>
      <c r="C102" s="93"/>
      <c r="D102" s="81">
        <v>1880</v>
      </c>
      <c r="E102" s="81">
        <v>2400</v>
      </c>
      <c r="F102" s="82">
        <v>285</v>
      </c>
      <c r="G102" s="93"/>
      <c r="H102" s="81">
        <v>1675</v>
      </c>
      <c r="I102" s="81">
        <v>900</v>
      </c>
      <c r="J102" s="81">
        <v>2500</v>
      </c>
      <c r="K102" s="82">
        <v>2000</v>
      </c>
      <c r="L102" s="93"/>
      <c r="M102" s="81">
        <v>1880</v>
      </c>
      <c r="N102" s="81">
        <v>2000</v>
      </c>
      <c r="O102" s="82">
        <v>285</v>
      </c>
      <c r="P102" s="93"/>
    </row>
    <row r="103" spans="1:26" ht="13" x14ac:dyDescent="0.15">
      <c r="A103" s="100" t="s">
        <v>42</v>
      </c>
      <c r="B103" s="101" t="s">
        <v>43</v>
      </c>
      <c r="C103" s="93"/>
      <c r="D103" s="74">
        <v>800</v>
      </c>
      <c r="E103" s="74">
        <v>500</v>
      </c>
      <c r="F103" s="75">
        <v>120</v>
      </c>
      <c r="G103" s="93"/>
      <c r="H103" s="74">
        <v>400</v>
      </c>
      <c r="I103" s="74">
        <v>200</v>
      </c>
      <c r="J103" s="74">
        <v>90</v>
      </c>
      <c r="K103" s="75">
        <v>70</v>
      </c>
      <c r="L103" s="93"/>
      <c r="M103" s="74">
        <v>1200</v>
      </c>
      <c r="N103" s="74">
        <v>500</v>
      </c>
      <c r="O103" s="75">
        <v>140</v>
      </c>
      <c r="P103" s="93"/>
    </row>
    <row r="104" spans="1:26" ht="13" x14ac:dyDescent="0.15">
      <c r="A104" s="102" t="s">
        <v>44</v>
      </c>
      <c r="B104" s="103" t="s">
        <v>39</v>
      </c>
      <c r="C104" s="93"/>
      <c r="D104" s="74">
        <v>2.2000000000000002</v>
      </c>
      <c r="E104" s="74">
        <v>5</v>
      </c>
      <c r="F104" s="75">
        <v>1.5</v>
      </c>
      <c r="G104" s="93"/>
      <c r="H104" s="74">
        <v>3</v>
      </c>
      <c r="I104" s="74">
        <v>2</v>
      </c>
      <c r="J104" s="74">
        <v>5.5</v>
      </c>
      <c r="K104" s="75">
        <v>4</v>
      </c>
      <c r="L104" s="93"/>
      <c r="M104" s="74">
        <v>2.2000000000000002</v>
      </c>
      <c r="N104" s="74">
        <v>6</v>
      </c>
      <c r="O104" s="75">
        <v>1.5</v>
      </c>
      <c r="P104" s="93"/>
    </row>
    <row r="105" spans="1:26" ht="13" x14ac:dyDescent="0.15">
      <c r="A105" s="84" t="s">
        <v>45</v>
      </c>
      <c r="F105" s="85"/>
      <c r="K105" s="85"/>
      <c r="O105" s="85"/>
    </row>
    <row r="106" spans="1:26" ht="13" x14ac:dyDescent="0.15">
      <c r="A106" s="2" t="s">
        <v>46</v>
      </c>
      <c r="B106" s="86" t="s">
        <v>47</v>
      </c>
      <c r="C106" s="87">
        <f>C89*$B$115*C90/8760</f>
        <v>0.14582534246575343</v>
      </c>
      <c r="D106" s="87">
        <f t="shared" ref="D106:F106" si="29">D89*$C$115*D90/8760</f>
        <v>7.4400684931506846E-3</v>
      </c>
      <c r="E106" s="87">
        <f t="shared" si="29"/>
        <v>2.2320205479452054E-2</v>
      </c>
      <c r="F106" s="88">
        <f t="shared" si="29"/>
        <v>2.2320205479452054E-2</v>
      </c>
      <c r="G106" s="87">
        <f>G89*$B$115*G90/8760</f>
        <v>0.16665753424657534</v>
      </c>
      <c r="H106" s="87">
        <f t="shared" ref="H106:K106" si="30">H89*$C$115*H90/8760</f>
        <v>7.4400684931506846E-3</v>
      </c>
      <c r="I106" s="87">
        <f t="shared" si="30"/>
        <v>7.4400684931506846E-3</v>
      </c>
      <c r="J106" s="87">
        <f t="shared" si="30"/>
        <v>5.9520547945205476E-2</v>
      </c>
      <c r="K106" s="88">
        <f t="shared" si="30"/>
        <v>5.9520547945205476E-2</v>
      </c>
      <c r="L106" s="87">
        <f>L89*$B$115*L90/8760</f>
        <v>0.14582534246575343</v>
      </c>
      <c r="M106" s="87">
        <f t="shared" ref="M106:O106" si="31">M89*$C$115*M90/8760</f>
        <v>7.4400684931506846E-3</v>
      </c>
      <c r="N106" s="87">
        <f t="shared" si="31"/>
        <v>2.2320205479452054E-2</v>
      </c>
      <c r="O106" s="88">
        <f t="shared" si="31"/>
        <v>2.2320205479452054E-2</v>
      </c>
      <c r="P106" s="87">
        <f>P89*$B$115*P90/8760</f>
        <v>0.14582534246575343</v>
      </c>
    </row>
    <row r="107" spans="1:26" ht="13" x14ac:dyDescent="0.15">
      <c r="A107" s="2" t="s">
        <v>48</v>
      </c>
      <c r="B107" s="86" t="s">
        <v>49</v>
      </c>
      <c r="C107" s="89">
        <f>'Main inputs'!C106*8760</f>
        <v>1277.43</v>
      </c>
      <c r="D107" s="89">
        <f>'Main inputs'!D106*8760</f>
        <v>65.174999999999997</v>
      </c>
      <c r="E107" s="89">
        <f>'Main inputs'!E106*8760</f>
        <v>195.52499999999998</v>
      </c>
      <c r="F107" s="90">
        <f>'Main inputs'!F106*8760</f>
        <v>195.52499999999998</v>
      </c>
      <c r="G107" s="89">
        <f>'Main inputs'!G106*8760</f>
        <v>1459.92</v>
      </c>
      <c r="H107" s="89">
        <f>'Main inputs'!H106*8760</f>
        <v>65.174999999999997</v>
      </c>
      <c r="I107" s="89">
        <f>'Main inputs'!I106*8760</f>
        <v>65.174999999999997</v>
      </c>
      <c r="J107" s="89">
        <f>'Main inputs'!J106*8760</f>
        <v>521.4</v>
      </c>
      <c r="K107" s="90">
        <f>'Main inputs'!K106*8760</f>
        <v>521.4</v>
      </c>
      <c r="L107" s="89">
        <f>'Main inputs'!L106*8760</f>
        <v>1277.43</v>
      </c>
      <c r="M107" s="89">
        <f>'Main inputs'!M106*8760</f>
        <v>65.174999999999997</v>
      </c>
      <c r="N107" s="89">
        <f>'Main inputs'!N106*8760</f>
        <v>195.52499999999998</v>
      </c>
      <c r="O107" s="90">
        <f>'Main inputs'!O106*8760</f>
        <v>195.52499999999998</v>
      </c>
      <c r="P107" s="89">
        <f>'Main inputs'!P106*8760</f>
        <v>1277.43</v>
      </c>
    </row>
    <row r="108" spans="1:26" ht="13" x14ac:dyDescent="0.15">
      <c r="A108" s="2" t="s">
        <v>50</v>
      </c>
      <c r="B108" s="86" t="s">
        <v>33</v>
      </c>
      <c r="C108" s="91">
        <f>$B$97*C90*$B$116</f>
        <v>676.79558011049721</v>
      </c>
      <c r="D108" s="91">
        <f t="shared" ref="D108:F108" si="32">$B$97*D90*$C$116</f>
        <v>193.37016574585635</v>
      </c>
      <c r="E108" s="91">
        <f t="shared" si="32"/>
        <v>580.11049723756901</v>
      </c>
      <c r="F108" s="92">
        <f t="shared" si="32"/>
        <v>580.11049723756901</v>
      </c>
      <c r="G108" s="91">
        <f>$B$97*G90*$B$116</f>
        <v>773.48066298342542</v>
      </c>
      <c r="H108" s="91">
        <f t="shared" ref="H108:K108" si="33">$B$97*H90*$C$116</f>
        <v>193.37016574585635</v>
      </c>
      <c r="I108" s="91">
        <f t="shared" si="33"/>
        <v>193.37016574585635</v>
      </c>
      <c r="J108" s="91">
        <f t="shared" si="33"/>
        <v>1546.9613259668508</v>
      </c>
      <c r="K108" s="92">
        <f t="shared" si="33"/>
        <v>1546.9613259668508</v>
      </c>
      <c r="L108" s="91">
        <f>$B$97*L90*$B$116</f>
        <v>676.79558011049721</v>
      </c>
      <c r="M108" s="91">
        <f t="shared" ref="M108:O108" si="34">$B$97*M90*$C$116</f>
        <v>193.37016574585635</v>
      </c>
      <c r="N108" s="91">
        <f t="shared" si="34"/>
        <v>580.11049723756901</v>
      </c>
      <c r="O108" s="92">
        <f t="shared" si="34"/>
        <v>580.11049723756901</v>
      </c>
      <c r="P108" s="91">
        <f>$B$97*P90*$B$116</f>
        <v>676.79558011049721</v>
      </c>
    </row>
    <row r="109" spans="1:26" ht="13" x14ac:dyDescent="0.15">
      <c r="A109" s="2" t="s">
        <v>51</v>
      </c>
      <c r="B109" s="86" t="s">
        <v>52</v>
      </c>
      <c r="C109" s="93"/>
      <c r="D109" s="89">
        <f t="shared" ref="D109:F109" si="35">D103*0.5</f>
        <v>400</v>
      </c>
      <c r="E109" s="89">
        <f t="shared" si="35"/>
        <v>250</v>
      </c>
      <c r="F109" s="90">
        <f t="shared" si="35"/>
        <v>60</v>
      </c>
      <c r="G109" s="93"/>
      <c r="H109" s="89">
        <f t="shared" ref="H109:K109" si="36">H103*0.5</f>
        <v>200</v>
      </c>
      <c r="I109" s="89">
        <f t="shared" si="36"/>
        <v>100</v>
      </c>
      <c r="J109" s="89">
        <f t="shared" si="36"/>
        <v>45</v>
      </c>
      <c r="K109" s="90">
        <f t="shared" si="36"/>
        <v>35</v>
      </c>
      <c r="L109" s="93"/>
      <c r="M109" s="89">
        <f t="shared" ref="M109:O109" si="37">M103*0.5</f>
        <v>600</v>
      </c>
      <c r="N109" s="89">
        <f t="shared" si="37"/>
        <v>250</v>
      </c>
      <c r="O109" s="90">
        <f t="shared" si="37"/>
        <v>70</v>
      </c>
      <c r="P109" s="93"/>
    </row>
    <row r="110" spans="1:26" ht="13" x14ac:dyDescent="0.15">
      <c r="A110" s="2" t="s">
        <v>53</v>
      </c>
      <c r="B110" s="86" t="s">
        <v>54</v>
      </c>
      <c r="C110" s="89">
        <f>C100*'Main inputs'!C107</f>
        <v>843.10380000000009</v>
      </c>
      <c r="D110" s="89">
        <f>D104*'Main inputs'!D107</f>
        <v>143.38500000000002</v>
      </c>
      <c r="E110" s="89">
        <f>E104*'Main inputs'!E107</f>
        <v>977.62499999999989</v>
      </c>
      <c r="F110" s="90">
        <f>F104*'Main inputs'!F107</f>
        <v>293.28749999999997</v>
      </c>
      <c r="G110" s="89">
        <f>G100*'Main inputs'!G107</f>
        <v>963.54720000000009</v>
      </c>
      <c r="H110" s="89">
        <f>H104*'Main inputs'!H107</f>
        <v>195.52499999999998</v>
      </c>
      <c r="I110" s="89">
        <f>I104*'Main inputs'!I107</f>
        <v>130.35</v>
      </c>
      <c r="J110" s="89">
        <f>J104*'Main inputs'!J107</f>
        <v>2867.7</v>
      </c>
      <c r="K110" s="90">
        <f>K104*'Main inputs'!K107</f>
        <v>2085.6</v>
      </c>
      <c r="L110" s="89">
        <f>L100*'Main inputs'!L107</f>
        <v>843.10380000000009</v>
      </c>
      <c r="M110" s="89">
        <f>M104*'Main inputs'!M107</f>
        <v>143.38500000000002</v>
      </c>
      <c r="N110" s="89">
        <f>N104*'Main inputs'!N107</f>
        <v>1173.1499999999999</v>
      </c>
      <c r="O110" s="90">
        <f>O104*'Main inputs'!O107</f>
        <v>293.28749999999997</v>
      </c>
      <c r="P110" s="89">
        <f>P100*'Main inputs'!P107</f>
        <v>843.10380000000009</v>
      </c>
    </row>
    <row r="111" spans="1:26" ht="13" x14ac:dyDescent="0.15">
      <c r="A111" s="94" t="s">
        <v>55</v>
      </c>
      <c r="B111" s="95" t="s">
        <v>39</v>
      </c>
      <c r="C111" s="96">
        <f>C110/'Main inputs'!C107</f>
        <v>0.66</v>
      </c>
      <c r="D111" s="96">
        <f>D110/'Main inputs'!D107</f>
        <v>2.2000000000000002</v>
      </c>
      <c r="E111" s="96">
        <f>E110/'Main inputs'!E107</f>
        <v>5</v>
      </c>
      <c r="F111" s="97">
        <f>F110/'Main inputs'!F107</f>
        <v>1.5</v>
      </c>
      <c r="G111" s="96">
        <f>G110/'Main inputs'!G107</f>
        <v>0.66</v>
      </c>
      <c r="H111" s="96">
        <f>H110/'Main inputs'!H107</f>
        <v>3</v>
      </c>
      <c r="I111" s="96">
        <f>I110/'Main inputs'!I107</f>
        <v>2</v>
      </c>
      <c r="J111" s="96">
        <f>J110/'Main inputs'!J107</f>
        <v>5.5</v>
      </c>
      <c r="K111" s="97">
        <f>K110/'Main inputs'!K107</f>
        <v>4</v>
      </c>
      <c r="L111" s="96">
        <f>L110/'Main inputs'!L107</f>
        <v>0.66</v>
      </c>
      <c r="M111" s="96">
        <f>M110/'Main inputs'!M107</f>
        <v>2.2000000000000002</v>
      </c>
      <c r="N111" s="96">
        <f>N110/'Main inputs'!N107</f>
        <v>6</v>
      </c>
      <c r="O111" s="97">
        <f>O110/'Main inputs'!O107</f>
        <v>1.5</v>
      </c>
      <c r="P111" s="96">
        <f>P110/'Main inputs'!P107</f>
        <v>0.66</v>
      </c>
    </row>
    <row r="113" spans="1:4" ht="13" x14ac:dyDescent="0.15">
      <c r="A113" s="83" t="s">
        <v>80</v>
      </c>
      <c r="B113" s="39" t="s">
        <v>10</v>
      </c>
      <c r="C113" s="39" t="s">
        <v>81</v>
      </c>
      <c r="D113" s="21"/>
    </row>
    <row r="114" spans="1:4" ht="13" x14ac:dyDescent="0.15">
      <c r="A114" s="40" t="s">
        <v>82</v>
      </c>
      <c r="B114" s="265">
        <v>7</v>
      </c>
      <c r="C114" s="265">
        <v>3</v>
      </c>
      <c r="D114" s="21"/>
    </row>
    <row r="115" spans="1:4" ht="13" x14ac:dyDescent="0.15">
      <c r="A115" s="40" t="s">
        <v>83</v>
      </c>
      <c r="B115" s="266">
        <f>B114*(52.14/12)</f>
        <v>30.414999999999999</v>
      </c>
      <c r="C115" s="266">
        <f t="shared" ref="C115" si="38">C114*(52.14/12)</f>
        <v>13.035</v>
      </c>
      <c r="D115" s="21"/>
    </row>
    <row r="116" spans="1:4" ht="13" x14ac:dyDescent="0.15">
      <c r="A116" s="40" t="s">
        <v>84</v>
      </c>
      <c r="B116" s="268">
        <v>0.5</v>
      </c>
      <c r="C116" s="268">
        <v>1</v>
      </c>
      <c r="D116" s="21"/>
    </row>
    <row r="117" spans="1:4" ht="13" x14ac:dyDescent="0.15">
      <c r="A117" s="40" t="s">
        <v>85</v>
      </c>
      <c r="B117" s="21"/>
      <c r="C117" s="21"/>
      <c r="D117" s="267">
        <v>415</v>
      </c>
    </row>
    <row r="118" spans="1:4" ht="13" x14ac:dyDescent="0.15">
      <c r="A118" s="40" t="s">
        <v>86</v>
      </c>
      <c r="B118" s="21"/>
      <c r="C118" s="21"/>
      <c r="D118" s="267">
        <v>1017</v>
      </c>
    </row>
    <row r="119" spans="1:4" ht="13" x14ac:dyDescent="0.15">
      <c r="A119" s="40" t="s">
        <v>87</v>
      </c>
      <c r="B119" s="21"/>
      <c r="C119" s="21"/>
      <c r="D119" s="267">
        <v>3756</v>
      </c>
    </row>
    <row r="120" spans="1:4" ht="13" x14ac:dyDescent="0.15">
      <c r="A120" s="40" t="s">
        <v>88</v>
      </c>
      <c r="B120" s="21"/>
      <c r="C120" s="21"/>
      <c r="D120" s="267">
        <v>17</v>
      </c>
    </row>
    <row r="121" spans="1:4" ht="13" x14ac:dyDescent="0.15">
      <c r="A121" s="40" t="s">
        <v>89</v>
      </c>
      <c r="B121" s="21"/>
      <c r="C121" s="21"/>
      <c r="D121" s="267">
        <v>362</v>
      </c>
    </row>
  </sheetData>
  <sheetProtection algorithmName="SHA-512" hashValue="LYTXKtiL7lL6QJebpz4M7jCcQrb5hjpMlBeyzKpOFypTZx9Z6aJ52/pFgiknbaGl/McT8iituDlMYPNbIABsdg==" saltValue="dx87ZXt9wozXs08eNi8Jtw==" spinCount="100000" sheet="1" objects="1" scenarios="1"/>
  <mergeCells count="39">
    <mergeCell ref="A1:B1"/>
    <mergeCell ref="C1:F1"/>
    <mergeCell ref="G1:K1"/>
    <mergeCell ref="L1:O1"/>
    <mergeCell ref="P1:S1"/>
    <mergeCell ref="A2:B2"/>
    <mergeCell ref="C2:F2"/>
    <mergeCell ref="P2:S2"/>
    <mergeCell ref="G2:K2"/>
    <mergeCell ref="L2:O2"/>
    <mergeCell ref="A29:B29"/>
    <mergeCell ref="C29:G29"/>
    <mergeCell ref="H29:I29"/>
    <mergeCell ref="J29:M29"/>
    <mergeCell ref="N29:O29"/>
    <mergeCell ref="Q57:R57"/>
    <mergeCell ref="A58:B58"/>
    <mergeCell ref="C58:F58"/>
    <mergeCell ref="G58:K58"/>
    <mergeCell ref="L58:P58"/>
    <mergeCell ref="Q58:U58"/>
    <mergeCell ref="A30:B30"/>
    <mergeCell ref="C30:G30"/>
    <mergeCell ref="H30:I30"/>
    <mergeCell ref="J30:M30"/>
    <mergeCell ref="A57:B57"/>
    <mergeCell ref="C57:F57"/>
    <mergeCell ref="G57:K57"/>
    <mergeCell ref="L57:P57"/>
    <mergeCell ref="P85:R85"/>
    <mergeCell ref="A86:B86"/>
    <mergeCell ref="C86:F86"/>
    <mergeCell ref="P86:S86"/>
    <mergeCell ref="G86:K86"/>
    <mergeCell ref="L86:O86"/>
    <mergeCell ref="A85:B85"/>
    <mergeCell ref="C85:F85"/>
    <mergeCell ref="G85:K85"/>
    <mergeCell ref="L85:O85"/>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R33"/>
  <sheetViews>
    <sheetView zoomScale="120" zoomScaleNormal="120" workbookViewId="0">
      <pane xSplit="2" topLeftCell="C1" activePane="topRight" state="frozen"/>
      <selection pane="topRight" activeCell="C8" sqref="C8"/>
    </sheetView>
  </sheetViews>
  <sheetFormatPr baseColWidth="10" defaultColWidth="12.6640625" defaultRowHeight="15.75" customHeight="1" x14ac:dyDescent="0.15"/>
  <cols>
    <col min="1" max="1" width="20" customWidth="1"/>
  </cols>
  <sheetData>
    <row r="1" spans="1:18" ht="15.75" customHeight="1" x14ac:dyDescent="0.15">
      <c r="A1" s="200"/>
      <c r="B1" s="200"/>
      <c r="C1" s="303" t="s">
        <v>90</v>
      </c>
      <c r="D1" s="270"/>
      <c r="E1" s="270"/>
      <c r="F1" s="270"/>
      <c r="G1" s="270"/>
      <c r="H1" s="270"/>
      <c r="I1" s="270"/>
      <c r="J1" s="270"/>
      <c r="K1" s="270"/>
      <c r="L1" s="270"/>
      <c r="M1" s="270"/>
      <c r="N1" s="270"/>
      <c r="O1" s="270"/>
      <c r="P1" s="270"/>
    </row>
    <row r="2" spans="1:18" ht="15.75" customHeight="1" x14ac:dyDescent="0.15">
      <c r="A2" s="155" t="s">
        <v>91</v>
      </c>
      <c r="B2" s="156"/>
      <c r="C2" s="86"/>
      <c r="D2" s="86"/>
      <c r="E2" s="86"/>
      <c r="F2" s="86"/>
      <c r="G2" s="86"/>
      <c r="H2" s="86"/>
      <c r="I2" s="86"/>
      <c r="J2" s="86"/>
      <c r="K2" s="86"/>
      <c r="L2" s="86"/>
      <c r="M2" s="86"/>
      <c r="N2" s="86"/>
      <c r="O2" s="86"/>
    </row>
    <row r="3" spans="1:18" ht="15.75" customHeight="1" x14ac:dyDescent="0.15">
      <c r="A3" s="201"/>
      <c r="B3" s="201"/>
      <c r="C3" s="1"/>
      <c r="D3" s="1"/>
      <c r="E3" s="1"/>
      <c r="F3" s="1"/>
      <c r="G3" s="1"/>
      <c r="H3" s="1"/>
      <c r="I3" s="1"/>
      <c r="J3" s="1"/>
      <c r="K3" s="1"/>
      <c r="L3" s="1"/>
      <c r="M3" s="1"/>
      <c r="N3" s="1"/>
      <c r="O3" s="1"/>
    </row>
    <row r="4" spans="1:18" ht="15.75" customHeight="1" x14ac:dyDescent="0.15">
      <c r="A4" s="304" t="str">
        <f>'Main inputs'!A2</f>
        <v>Nigeria</v>
      </c>
      <c r="B4" s="270"/>
      <c r="C4" s="305" t="str">
        <f>'Main inputs'!C2</f>
        <v>Maize</v>
      </c>
      <c r="D4" s="297"/>
      <c r="E4" s="297"/>
      <c r="F4" s="298"/>
      <c r="G4" s="305" t="str">
        <f>'Main inputs'!G2</f>
        <v>Cassava</v>
      </c>
      <c r="H4" s="297"/>
      <c r="I4" s="297"/>
      <c r="J4" s="297"/>
      <c r="K4" s="298"/>
      <c r="L4" s="305" t="str">
        <f>'Main inputs'!L2</f>
        <v>Rice</v>
      </c>
      <c r="M4" s="297"/>
      <c r="N4" s="297"/>
      <c r="O4" s="298"/>
      <c r="P4" s="21"/>
      <c r="Q4" s="21"/>
      <c r="R4" s="21"/>
    </row>
    <row r="5" spans="1:18" ht="15.75" customHeight="1" x14ac:dyDescent="0.15">
      <c r="A5" s="198" t="s">
        <v>92</v>
      </c>
      <c r="B5" s="198" t="s">
        <v>9</v>
      </c>
      <c r="C5" s="6" t="str">
        <f>'Main inputs'!C3</f>
        <v>Irrigation</v>
      </c>
      <c r="D5" s="6" t="str">
        <f>'Main inputs'!D3</f>
        <v>Drying</v>
      </c>
      <c r="E5" s="6" t="str">
        <f>'Main inputs'!E3</f>
        <v>Shelling</v>
      </c>
      <c r="F5" s="6" t="str">
        <f>'Main inputs'!F3</f>
        <v>Milling</v>
      </c>
      <c r="G5" s="6" t="str">
        <f>'Main inputs'!G3</f>
        <v>Irrigation</v>
      </c>
      <c r="H5" s="6" t="str">
        <f>'Main inputs'!H3</f>
        <v>Peeling</v>
      </c>
      <c r="I5" s="6" t="str">
        <f>'Main inputs'!I3</f>
        <v>Grating</v>
      </c>
      <c r="J5" s="6" t="str">
        <f>'Main inputs'!J3</f>
        <v>Milling</v>
      </c>
      <c r="K5" s="6" t="str">
        <f>'Main inputs'!K3</f>
        <v>Chipping</v>
      </c>
      <c r="L5" s="6" t="str">
        <f>'Main inputs'!L3</f>
        <v>Irrigation</v>
      </c>
      <c r="M5" s="6" t="str">
        <f>'Main inputs'!M3</f>
        <v>Threshing</v>
      </c>
      <c r="N5" s="6" t="str">
        <f>'Main inputs'!N3</f>
        <v>Drying</v>
      </c>
      <c r="O5" s="6" t="str">
        <f>'Main inputs'!O3</f>
        <v>Milling</v>
      </c>
      <c r="P5" s="21"/>
      <c r="Q5" s="21"/>
      <c r="R5" s="21"/>
    </row>
    <row r="6" spans="1:18" ht="15.75" customHeight="1" x14ac:dyDescent="0.15">
      <c r="A6" s="196" t="s">
        <v>93</v>
      </c>
      <c r="B6" s="197" t="s">
        <v>94</v>
      </c>
      <c r="C6" s="157">
        <v>0.4</v>
      </c>
      <c r="D6" s="158">
        <v>0.4</v>
      </c>
      <c r="E6" s="159">
        <f>D7</f>
        <v>0.50120481927710847</v>
      </c>
      <c r="F6" s="160"/>
      <c r="G6" s="157">
        <f>H6</f>
        <v>0.05</v>
      </c>
      <c r="H6" s="160">
        <v>0.05</v>
      </c>
      <c r="I6" s="160">
        <f t="shared" ref="I6:J6" si="0">H7</f>
        <v>0</v>
      </c>
      <c r="J6" s="160">
        <f t="shared" si="0"/>
        <v>0</v>
      </c>
      <c r="K6" s="160">
        <f>H7</f>
        <v>0</v>
      </c>
      <c r="L6" s="161">
        <f>121/'Main inputs'!D117</f>
        <v>0.29156626506024097</v>
      </c>
      <c r="M6" s="160">
        <f>L6</f>
        <v>0.29156626506024097</v>
      </c>
      <c r="N6" s="160">
        <f t="shared" ref="N6:O6" si="1">M7</f>
        <v>0.36</v>
      </c>
      <c r="O6" s="162">
        <f t="shared" si="1"/>
        <v>0.40963855421686746</v>
      </c>
      <c r="P6" s="21"/>
      <c r="Q6" s="21"/>
      <c r="R6" s="21"/>
    </row>
    <row r="7" spans="1:18" ht="15.75" customHeight="1" x14ac:dyDescent="0.15">
      <c r="A7" s="196" t="s">
        <v>95</v>
      </c>
      <c r="B7" s="197" t="s">
        <v>94</v>
      </c>
      <c r="C7" s="163">
        <f>C6*1.3</f>
        <v>0.52</v>
      </c>
      <c r="D7" s="164">
        <f>D6+(E7-D6)/2</f>
        <v>0.50120481927710847</v>
      </c>
      <c r="E7" s="165">
        <f>250/'Main inputs'!D117</f>
        <v>0.60240963855421692</v>
      </c>
      <c r="F7" s="166"/>
      <c r="G7" s="163">
        <f>G6*1.3</f>
        <v>6.5000000000000002E-2</v>
      </c>
      <c r="H7" s="165"/>
      <c r="I7" s="165"/>
      <c r="J7" s="165"/>
      <c r="K7" s="165"/>
      <c r="L7" s="163">
        <f>L6*1.3</f>
        <v>0.37903614457831325</v>
      </c>
      <c r="M7" s="165">
        <v>0.36</v>
      </c>
      <c r="N7" s="165">
        <f>170/'Main inputs'!D117</f>
        <v>0.40963855421686746</v>
      </c>
      <c r="O7" s="167">
        <f>300/'Main inputs'!D117</f>
        <v>0.72289156626506024</v>
      </c>
      <c r="P7" s="21"/>
      <c r="Q7" s="21"/>
      <c r="R7" s="21"/>
    </row>
    <row r="8" spans="1:18" ht="15.75" customHeight="1" x14ac:dyDescent="0.15">
      <c r="A8" s="196" t="s">
        <v>96</v>
      </c>
      <c r="B8" s="197" t="s">
        <v>94</v>
      </c>
      <c r="C8" s="168">
        <f t="shared" ref="C8:D8" si="2">C7-C6</f>
        <v>0.12</v>
      </c>
      <c r="D8" s="169">
        <f t="shared" si="2"/>
        <v>0.10120481927710845</v>
      </c>
      <c r="E8" s="169">
        <v>0.06</v>
      </c>
      <c r="F8" s="169">
        <v>0.06</v>
      </c>
      <c r="G8" s="170">
        <v>1.4999999999999999E-2</v>
      </c>
      <c r="H8" s="171">
        <v>1.4999999999999999E-2</v>
      </c>
      <c r="I8" s="171">
        <v>1.4999999999999999E-2</v>
      </c>
      <c r="J8" s="171">
        <v>1.4999999999999999E-2</v>
      </c>
      <c r="K8" s="171">
        <v>1.4999999999999999E-2</v>
      </c>
      <c r="L8" s="168">
        <f>L7-L6</f>
        <v>8.746987951807228E-2</v>
      </c>
      <c r="M8" s="169">
        <v>0.02</v>
      </c>
      <c r="N8" s="169">
        <f>N7-N6</f>
        <v>4.963855421686747E-2</v>
      </c>
      <c r="O8" s="172">
        <v>0.03</v>
      </c>
      <c r="P8" s="21"/>
      <c r="Q8" s="21"/>
      <c r="R8" s="21"/>
    </row>
    <row r="9" spans="1:18" ht="15.75" customHeight="1" x14ac:dyDescent="0.15">
      <c r="G9" s="199"/>
    </row>
    <row r="10" spans="1:18" ht="15.75" customHeight="1" x14ac:dyDescent="0.15">
      <c r="A10" s="287" t="str">
        <f>'Main inputs'!A30</f>
        <v xml:space="preserve"> Rwanda</v>
      </c>
      <c r="B10" s="270"/>
      <c r="C10" s="296" t="str">
        <f>'Main inputs'!C30</f>
        <v>Maize</v>
      </c>
      <c r="D10" s="297"/>
      <c r="E10" s="297"/>
      <c r="F10" s="297"/>
      <c r="G10" s="298"/>
      <c r="H10" s="296" t="str">
        <f>'Main inputs'!H30</f>
        <v>Cassava</v>
      </c>
      <c r="I10" s="297"/>
      <c r="J10" s="296" t="str">
        <f>'Main inputs'!J30</f>
        <v>Beans</v>
      </c>
      <c r="K10" s="297"/>
      <c r="L10" s="297"/>
      <c r="M10" s="298"/>
      <c r="N10" s="21"/>
      <c r="O10" s="21"/>
      <c r="P10" s="21"/>
      <c r="Q10" s="21"/>
      <c r="R10" s="21"/>
    </row>
    <row r="11" spans="1:18" ht="15.75" customHeight="1" x14ac:dyDescent="0.15">
      <c r="A11" s="198" t="s">
        <v>92</v>
      </c>
      <c r="B11" s="198" t="s">
        <v>9</v>
      </c>
      <c r="C11" s="7" t="str">
        <f>'Main inputs'!C31</f>
        <v>Irrigation</v>
      </c>
      <c r="D11" s="7" t="str">
        <f>'Main inputs'!D31</f>
        <v>Drying</v>
      </c>
      <c r="E11" s="7" t="str">
        <f>'Main inputs'!E31</f>
        <v>Shelling</v>
      </c>
      <c r="F11" s="7" t="str">
        <f>'Main inputs'!F31</f>
        <v>Dehulling</v>
      </c>
      <c r="G11" s="7" t="str">
        <f>'Main inputs'!G31</f>
        <v>Milling</v>
      </c>
      <c r="H11" s="7" t="str">
        <f>'Main inputs'!H31</f>
        <v>Irrigation</v>
      </c>
      <c r="I11" s="7" t="str">
        <f>'Main inputs'!I31</f>
        <v>Milling</v>
      </c>
      <c r="J11" s="7" t="str">
        <f>'Main inputs'!J31</f>
        <v>Irrigation</v>
      </c>
      <c r="K11" s="7" t="str">
        <f>'Main inputs'!K31</f>
        <v>Drying</v>
      </c>
      <c r="L11" s="7" t="str">
        <f>'Main inputs'!L31</f>
        <v>Threshing</v>
      </c>
      <c r="M11" s="7" t="str">
        <f>'Main inputs'!M31</f>
        <v>Grinding</v>
      </c>
      <c r="N11" s="21"/>
      <c r="O11" s="21"/>
      <c r="P11" s="21"/>
      <c r="Q11" s="21"/>
      <c r="R11" s="21"/>
    </row>
    <row r="12" spans="1:18" ht="15.75" customHeight="1" x14ac:dyDescent="0.15">
      <c r="A12" s="196" t="s">
        <v>93</v>
      </c>
      <c r="B12" s="197" t="s">
        <v>94</v>
      </c>
      <c r="C12" s="157">
        <f>D12</f>
        <v>0.21632251720747295</v>
      </c>
      <c r="D12" s="160">
        <f>220/'Main inputs'!D118</f>
        <v>0.21632251720747295</v>
      </c>
      <c r="E12" s="160">
        <f t="shared" ref="E12:G12" si="3">D13</f>
        <v>0.35799999999999998</v>
      </c>
      <c r="F12" s="159">
        <f t="shared" si="3"/>
        <v>0.39379999999999998</v>
      </c>
      <c r="G12" s="173">
        <f t="shared" si="3"/>
        <v>0.42959999999999998</v>
      </c>
      <c r="H12" s="174">
        <f>75/'Main inputs'!D118</f>
        <v>7.3746312684365781E-2</v>
      </c>
      <c r="I12" s="160">
        <v>0.23899999999999999</v>
      </c>
      <c r="J12" s="167">
        <v>0.67800000000000005</v>
      </c>
      <c r="K12" s="167">
        <v>0.67800000000000005</v>
      </c>
      <c r="L12" s="167">
        <v>0.67800000000000005</v>
      </c>
      <c r="M12" s="167">
        <v>0.67800000000000005</v>
      </c>
      <c r="N12" s="21"/>
      <c r="O12" s="21"/>
      <c r="P12" s="21"/>
      <c r="Q12" s="21"/>
      <c r="R12" s="21"/>
    </row>
    <row r="13" spans="1:18" ht="15.75" customHeight="1" x14ac:dyDescent="0.15">
      <c r="A13" s="196" t="s">
        <v>95</v>
      </c>
      <c r="B13" s="197" t="s">
        <v>94</v>
      </c>
      <c r="C13" s="163">
        <f>C12*1.3</f>
        <v>0.28121927236971483</v>
      </c>
      <c r="D13" s="165">
        <v>0.35799999999999998</v>
      </c>
      <c r="E13" s="164">
        <f t="shared" ref="E13:F13" si="4">E12+($G$13-$E$12)/3</f>
        <v>0.39379999999999998</v>
      </c>
      <c r="F13" s="164">
        <f t="shared" si="4"/>
        <v>0.42959999999999998</v>
      </c>
      <c r="G13" s="167">
        <f>D13*1.3</f>
        <v>0.46539999999999998</v>
      </c>
      <c r="H13" s="163">
        <f>H12*1.3</f>
        <v>9.5870206489675522E-2</v>
      </c>
      <c r="I13" s="165">
        <f>(300/'Main inputs'!D118)*0.9</f>
        <v>0.26548672566371684</v>
      </c>
      <c r="J13" s="175">
        <f t="shared" ref="J13:M13" si="5">(J12*0.15)+J12</f>
        <v>0.77970000000000006</v>
      </c>
      <c r="K13" s="175">
        <f t="shared" si="5"/>
        <v>0.77970000000000006</v>
      </c>
      <c r="L13" s="175">
        <f t="shared" si="5"/>
        <v>0.77970000000000006</v>
      </c>
      <c r="M13" s="175">
        <f t="shared" si="5"/>
        <v>0.77970000000000006</v>
      </c>
      <c r="N13" s="21"/>
      <c r="O13" s="21"/>
      <c r="P13" s="21"/>
      <c r="Q13" s="21"/>
      <c r="R13" s="21"/>
    </row>
    <row r="14" spans="1:18" ht="15.75" customHeight="1" x14ac:dyDescent="0.15">
      <c r="A14" s="196" t="s">
        <v>96</v>
      </c>
      <c r="B14" s="197" t="s">
        <v>94</v>
      </c>
      <c r="C14" s="168">
        <f t="shared" ref="C14:M14" si="6">C13-C12</f>
        <v>6.4896755162241887E-2</v>
      </c>
      <c r="D14" s="169">
        <f t="shared" si="6"/>
        <v>0.14167748279252704</v>
      </c>
      <c r="E14" s="169">
        <f t="shared" si="6"/>
        <v>3.5799999999999998E-2</v>
      </c>
      <c r="F14" s="169">
        <f t="shared" si="6"/>
        <v>3.5799999999999998E-2</v>
      </c>
      <c r="G14" s="169">
        <f t="shared" si="6"/>
        <v>3.5799999999999998E-2</v>
      </c>
      <c r="H14" s="168">
        <f t="shared" si="6"/>
        <v>2.2123893805309741E-2</v>
      </c>
      <c r="I14" s="169">
        <f t="shared" si="6"/>
        <v>2.6486725663716848E-2</v>
      </c>
      <c r="J14" s="169">
        <f t="shared" si="6"/>
        <v>0.10170000000000001</v>
      </c>
      <c r="K14" s="169">
        <f>K13-K12</f>
        <v>0.10170000000000001</v>
      </c>
      <c r="L14" s="172">
        <f t="shared" si="6"/>
        <v>0.10170000000000001</v>
      </c>
      <c r="M14" s="172">
        <f t="shared" si="6"/>
        <v>0.10170000000000001</v>
      </c>
      <c r="N14" s="21"/>
      <c r="O14" s="21"/>
      <c r="P14" s="21"/>
      <c r="Q14" s="21"/>
      <c r="R14" s="21"/>
    </row>
    <row r="16" spans="1:18" ht="15.75" customHeight="1" x14ac:dyDescent="0.15">
      <c r="A16" s="281" t="str">
        <f>'Main inputs'!A58</f>
        <v>Zambia</v>
      </c>
      <c r="B16" s="270"/>
      <c r="C16" s="302" t="str">
        <f>'Main inputs'!C58</f>
        <v>Maize</v>
      </c>
      <c r="D16" s="297"/>
      <c r="E16" s="297"/>
      <c r="F16" s="297"/>
      <c r="G16" s="302" t="str">
        <f>'Main inputs'!G58</f>
        <v>Cassava</v>
      </c>
      <c r="H16" s="297"/>
      <c r="I16" s="297"/>
      <c r="J16" s="297"/>
      <c r="K16" s="297"/>
      <c r="L16" s="302" t="str">
        <f>'Main inputs'!L58</f>
        <v>Groundnuts</v>
      </c>
      <c r="M16" s="297"/>
      <c r="N16" s="297"/>
      <c r="O16" s="297"/>
      <c r="P16" s="297"/>
      <c r="Q16" s="21"/>
      <c r="R16" s="21"/>
    </row>
    <row r="17" spans="1:18" ht="15.75" customHeight="1" x14ac:dyDescent="0.15">
      <c r="A17" s="198" t="s">
        <v>92</v>
      </c>
      <c r="B17" s="198" t="s">
        <v>9</v>
      </c>
      <c r="C17" s="8" t="str">
        <f>'Main inputs'!C59</f>
        <v>Irrigation</v>
      </c>
      <c r="D17" s="8" t="str">
        <f>'Main inputs'!D59</f>
        <v>Shelling</v>
      </c>
      <c r="E17" s="8" t="str">
        <f>'Main inputs'!E59</f>
        <v>Dehulling</v>
      </c>
      <c r="F17" s="8" t="str">
        <f>'Main inputs'!F59</f>
        <v>Milling</v>
      </c>
      <c r="G17" s="8" t="str">
        <f>'Main inputs'!G59</f>
        <v>Irrigation</v>
      </c>
      <c r="H17" s="8" t="str">
        <f>'Main inputs'!H59</f>
        <v>Peeling</v>
      </c>
      <c r="I17" s="8" t="str">
        <f>'Main inputs'!I59</f>
        <v>Grating</v>
      </c>
      <c r="J17" s="8" t="str">
        <f>'Main inputs'!J59</f>
        <v>Milling</v>
      </c>
      <c r="K17" s="8" t="str">
        <f>'Main inputs'!K59</f>
        <v>Chipping</v>
      </c>
      <c r="L17" s="8" t="str">
        <f>'Main inputs'!L59</f>
        <v>Irrigation</v>
      </c>
      <c r="M17" s="8" t="str">
        <f>'Main inputs'!M59</f>
        <v>Shelling</v>
      </c>
      <c r="N17" s="8" t="str">
        <f>'Main inputs'!N59</f>
        <v>Oil pressing</v>
      </c>
      <c r="O17" s="8" t="str">
        <f>'Main inputs'!O59</f>
        <v>Crushing</v>
      </c>
      <c r="P17" s="8" t="str">
        <f>'Main inputs'!P59</f>
        <v>Peanut butter</v>
      </c>
      <c r="Q17" s="21"/>
      <c r="R17" s="21"/>
    </row>
    <row r="18" spans="1:18" ht="15.75" customHeight="1" x14ac:dyDescent="0.15">
      <c r="A18" s="196" t="s">
        <v>93</v>
      </c>
      <c r="B18" s="197" t="s">
        <v>94</v>
      </c>
      <c r="C18" s="160">
        <v>0.24299999999999999</v>
      </c>
      <c r="D18" s="160">
        <v>0.24299999999999999</v>
      </c>
      <c r="E18" s="159">
        <f t="shared" ref="E18:F18" si="7">D19</f>
        <v>0.26700000000000002</v>
      </c>
      <c r="F18" s="159">
        <f t="shared" si="7"/>
        <v>0.29100000000000004</v>
      </c>
      <c r="G18" s="157">
        <f>H18</f>
        <v>0.06</v>
      </c>
      <c r="H18" s="160">
        <v>0.06</v>
      </c>
      <c r="I18" s="174">
        <f>H19</f>
        <v>0.08</v>
      </c>
      <c r="J18" s="159">
        <f>J19-J20</f>
        <v>0.254</v>
      </c>
      <c r="K18" s="173"/>
      <c r="L18" s="174">
        <v>0.41</v>
      </c>
      <c r="M18" s="160"/>
      <c r="N18" s="173">
        <v>0.73</v>
      </c>
      <c r="O18" s="159"/>
      <c r="P18" s="176">
        <v>1</v>
      </c>
      <c r="Q18" s="21"/>
      <c r="R18" s="21"/>
    </row>
    <row r="19" spans="1:18" ht="15.75" customHeight="1" x14ac:dyDescent="0.15">
      <c r="A19" s="196" t="s">
        <v>95</v>
      </c>
      <c r="B19" s="197" t="s">
        <v>94</v>
      </c>
      <c r="C19" s="163">
        <f>C18*1.3</f>
        <v>0.31590000000000001</v>
      </c>
      <c r="D19" s="164">
        <f t="shared" ref="D19:E19" si="8">D18+($F$19-$D$18)/3</f>
        <v>0.26700000000000002</v>
      </c>
      <c r="E19" s="164">
        <f t="shared" si="8"/>
        <v>0.29100000000000004</v>
      </c>
      <c r="F19" s="165">
        <v>0.315</v>
      </c>
      <c r="G19" s="163">
        <f>G18*1.3</f>
        <v>7.8E-2</v>
      </c>
      <c r="H19" s="164">
        <f t="shared" ref="H19:I19" si="9">H18+H20</f>
        <v>0.08</v>
      </c>
      <c r="I19" s="164">
        <f t="shared" si="9"/>
        <v>0.1</v>
      </c>
      <c r="J19" s="165">
        <v>0.27400000000000002</v>
      </c>
      <c r="K19" s="167"/>
      <c r="L19" s="163">
        <f>L18*1.3</f>
        <v>0.53300000000000003</v>
      </c>
      <c r="M19" s="164"/>
      <c r="N19" s="166">
        <v>2.39</v>
      </c>
      <c r="O19" s="164"/>
      <c r="P19" s="167">
        <f>(2.39*0.6)</f>
        <v>1.4339999999999999</v>
      </c>
      <c r="Q19" s="21"/>
      <c r="R19" s="21"/>
    </row>
    <row r="20" spans="1:18" ht="15.75" customHeight="1" x14ac:dyDescent="0.15">
      <c r="A20" s="196" t="s">
        <v>96</v>
      </c>
      <c r="B20" s="197" t="s">
        <v>94</v>
      </c>
      <c r="C20" s="168">
        <f t="shared" ref="C20:G20" si="10">C19-C18</f>
        <v>7.290000000000002E-2</v>
      </c>
      <c r="D20" s="169">
        <f t="shared" si="10"/>
        <v>2.4000000000000021E-2</v>
      </c>
      <c r="E20" s="169">
        <f t="shared" si="10"/>
        <v>2.4000000000000021E-2</v>
      </c>
      <c r="F20" s="169">
        <f t="shared" si="10"/>
        <v>2.3999999999999966E-2</v>
      </c>
      <c r="G20" s="168">
        <f t="shared" si="10"/>
        <v>1.8000000000000002E-2</v>
      </c>
      <c r="H20" s="169">
        <v>0.02</v>
      </c>
      <c r="I20" s="169">
        <v>0.02</v>
      </c>
      <c r="J20" s="169">
        <v>0.02</v>
      </c>
      <c r="K20" s="169">
        <v>0.02</v>
      </c>
      <c r="L20" s="168">
        <f>L19-L18</f>
        <v>0.12300000000000005</v>
      </c>
      <c r="M20" s="169">
        <v>0.04</v>
      </c>
      <c r="N20" s="169">
        <f>N19-N18</f>
        <v>1.6600000000000001</v>
      </c>
      <c r="O20" s="169">
        <v>0.03</v>
      </c>
      <c r="P20" s="172">
        <f>P19-P18</f>
        <v>0.43399999999999994</v>
      </c>
      <c r="Q20" s="21"/>
      <c r="R20" s="21"/>
    </row>
    <row r="22" spans="1:18" ht="15.75" customHeight="1" x14ac:dyDescent="0.15">
      <c r="A22" s="276" t="str">
        <f>'Main inputs'!A86</f>
        <v xml:space="preserve"> Zimbabwe</v>
      </c>
      <c r="B22" s="270"/>
      <c r="C22" s="299" t="str">
        <f>'Main inputs'!C86</f>
        <v>Maize</v>
      </c>
      <c r="D22" s="297"/>
      <c r="E22" s="297"/>
      <c r="F22" s="297"/>
      <c r="G22" s="299" t="str">
        <f>'Main inputs'!G86</f>
        <v>Groundnuts</v>
      </c>
      <c r="H22" s="297"/>
      <c r="I22" s="297"/>
      <c r="J22" s="297"/>
      <c r="K22" s="297"/>
      <c r="L22" s="299" t="str">
        <f>'Main inputs'!L86</f>
        <v>Sorghum</v>
      </c>
      <c r="M22" s="297"/>
      <c r="N22" s="297"/>
      <c r="O22" s="297"/>
      <c r="P22" s="21"/>
      <c r="Q22" s="21"/>
      <c r="R22" s="21"/>
    </row>
    <row r="23" spans="1:18" ht="15.75" customHeight="1" x14ac:dyDescent="0.15">
      <c r="A23" s="198" t="s">
        <v>92</v>
      </c>
      <c r="B23" s="198" t="s">
        <v>9</v>
      </c>
      <c r="C23" s="9" t="str">
        <f>'Main inputs'!C87</f>
        <v>Irrigation</v>
      </c>
      <c r="D23" s="9" t="str">
        <f>'Main inputs'!D87</f>
        <v>Shelling</v>
      </c>
      <c r="E23" s="9" t="str">
        <f>'Main inputs'!E87</f>
        <v>Dehulling</v>
      </c>
      <c r="F23" s="9" t="str">
        <f>'Main inputs'!F87</f>
        <v>Milling</v>
      </c>
      <c r="G23" s="9" t="str">
        <f>'Main inputs'!G87</f>
        <v>Irrigation</v>
      </c>
      <c r="H23" s="9" t="str">
        <f>'Main inputs'!H87</f>
        <v>Shelling</v>
      </c>
      <c r="I23" s="9" t="str">
        <f>'Main inputs'!I87</f>
        <v>De-skinning</v>
      </c>
      <c r="J23" s="9" t="str">
        <f>'Main inputs'!J87</f>
        <v>Roasting</v>
      </c>
      <c r="K23" s="9" t="str">
        <f>'Main inputs'!K87</f>
        <v>Peanut butter</v>
      </c>
      <c r="L23" s="9" t="str">
        <f>'Main inputs'!L87</f>
        <v>Irrigation</v>
      </c>
      <c r="M23" s="9" t="str">
        <f>'Main inputs'!M87</f>
        <v>Threshing</v>
      </c>
      <c r="N23" s="9" t="str">
        <f>'Main inputs'!N87</f>
        <v>Dehulling</v>
      </c>
      <c r="O23" s="9" t="str">
        <f>'Main inputs'!O87</f>
        <v>Milling</v>
      </c>
      <c r="P23" s="21"/>
      <c r="Q23" s="21"/>
      <c r="R23" s="21"/>
    </row>
    <row r="24" spans="1:18" ht="15.75" customHeight="1" x14ac:dyDescent="0.15">
      <c r="A24" s="196" t="s">
        <v>93</v>
      </c>
      <c r="B24" s="197" t="s">
        <v>94</v>
      </c>
      <c r="C24" s="177">
        <v>0.29099999999999998</v>
      </c>
      <c r="D24" s="177">
        <v>0.29099999999999998</v>
      </c>
      <c r="E24" s="177">
        <v>0.29099999999999998</v>
      </c>
      <c r="F24" s="177">
        <v>0.29099999999999998</v>
      </c>
      <c r="G24" s="178">
        <v>0.23</v>
      </c>
      <c r="H24" s="177">
        <v>0.17</v>
      </c>
      <c r="I24" s="177">
        <v>0.17</v>
      </c>
      <c r="J24" s="177">
        <v>0.17</v>
      </c>
      <c r="K24" s="179">
        <v>0.95</v>
      </c>
      <c r="L24" s="39">
        <v>0.19</v>
      </c>
      <c r="M24" s="39">
        <v>0.19</v>
      </c>
      <c r="N24" s="39">
        <v>0.19</v>
      </c>
      <c r="O24" s="39">
        <v>0.19</v>
      </c>
      <c r="P24" s="21"/>
      <c r="Q24" s="21"/>
      <c r="R24" s="21"/>
    </row>
    <row r="25" spans="1:18" ht="15.75" customHeight="1" x14ac:dyDescent="0.15">
      <c r="A25" s="196" t="s">
        <v>95</v>
      </c>
      <c r="B25" s="197" t="s">
        <v>94</v>
      </c>
      <c r="C25" s="163">
        <f>C24*1.3</f>
        <v>0.37829999999999997</v>
      </c>
      <c r="D25" s="180">
        <f t="shared" ref="D25:F25" si="11">D24*1.2</f>
        <v>0.34919999999999995</v>
      </c>
      <c r="E25" s="180">
        <f t="shared" si="11"/>
        <v>0.34919999999999995</v>
      </c>
      <c r="F25" s="180">
        <f t="shared" si="11"/>
        <v>0.34919999999999995</v>
      </c>
      <c r="G25" s="163">
        <f>G24*1.3</f>
        <v>0.29900000000000004</v>
      </c>
      <c r="H25" s="181">
        <v>0.4</v>
      </c>
      <c r="I25" s="181">
        <v>0.4</v>
      </c>
      <c r="J25" s="181">
        <v>0.4</v>
      </c>
      <c r="K25" s="73">
        <f>K33*0.6</f>
        <v>1.4256</v>
      </c>
      <c r="L25" s="163">
        <f>L24*1.3</f>
        <v>0.24700000000000003</v>
      </c>
      <c r="M25" s="182">
        <v>0.29099999999999998</v>
      </c>
      <c r="N25" s="182">
        <v>0.29099999999999998</v>
      </c>
      <c r="O25" s="182">
        <v>0.29099999999999998</v>
      </c>
      <c r="P25" s="21"/>
      <c r="Q25" s="21"/>
      <c r="R25" s="21"/>
    </row>
    <row r="26" spans="1:18" ht="15.75" customHeight="1" x14ac:dyDescent="0.15">
      <c r="A26" s="196" t="s">
        <v>96</v>
      </c>
      <c r="B26" s="197" t="s">
        <v>94</v>
      </c>
      <c r="C26" s="183">
        <f t="shared" ref="C26:O26" si="12">C25-C24</f>
        <v>8.7299999999999989E-2</v>
      </c>
      <c r="D26" s="184">
        <f t="shared" si="12"/>
        <v>5.8199999999999974E-2</v>
      </c>
      <c r="E26" s="184">
        <f t="shared" si="12"/>
        <v>5.8199999999999974E-2</v>
      </c>
      <c r="F26" s="184">
        <f t="shared" si="12"/>
        <v>5.8199999999999974E-2</v>
      </c>
      <c r="G26" s="183">
        <f t="shared" si="12"/>
        <v>6.9000000000000034E-2</v>
      </c>
      <c r="H26" s="184">
        <f t="shared" si="12"/>
        <v>0.23</v>
      </c>
      <c r="I26" s="184">
        <f t="shared" si="12"/>
        <v>0.23</v>
      </c>
      <c r="J26" s="184">
        <f t="shared" si="12"/>
        <v>0.23</v>
      </c>
      <c r="K26" s="184">
        <f t="shared" si="12"/>
        <v>0.47560000000000002</v>
      </c>
      <c r="L26" s="184">
        <f t="shared" si="12"/>
        <v>5.7000000000000023E-2</v>
      </c>
      <c r="M26" s="185">
        <f t="shared" si="12"/>
        <v>0.10099999999999998</v>
      </c>
      <c r="N26" s="185">
        <f t="shared" si="12"/>
        <v>0.10099999999999998</v>
      </c>
      <c r="O26" s="185">
        <f t="shared" si="12"/>
        <v>0.10099999999999998</v>
      </c>
      <c r="P26" s="21"/>
      <c r="Q26" s="21"/>
      <c r="R26" s="21"/>
    </row>
    <row r="28" spans="1:18" ht="15.75" customHeight="1" x14ac:dyDescent="0.15">
      <c r="A28" s="21"/>
      <c r="B28" s="21"/>
      <c r="C28" s="21"/>
      <c r="D28" s="21"/>
      <c r="E28" s="21"/>
      <c r="F28" s="21"/>
      <c r="G28" s="21"/>
      <c r="H28" s="21"/>
      <c r="I28" s="21"/>
      <c r="J28" s="300" t="s">
        <v>97</v>
      </c>
      <c r="K28" s="272"/>
      <c r="L28" s="272"/>
      <c r="M28" s="272"/>
      <c r="N28" s="272"/>
      <c r="O28" s="301"/>
    </row>
    <row r="29" spans="1:18" ht="15.75" customHeight="1" x14ac:dyDescent="0.15">
      <c r="A29" s="21"/>
      <c r="B29" s="21"/>
      <c r="C29" s="21"/>
      <c r="D29" s="21"/>
      <c r="E29" s="21"/>
      <c r="F29" s="21"/>
      <c r="G29" s="21"/>
      <c r="H29" s="21"/>
      <c r="I29" s="21"/>
      <c r="J29" s="186" t="s">
        <v>98</v>
      </c>
      <c r="K29" s="187">
        <v>1</v>
      </c>
      <c r="L29" s="187" t="s">
        <v>37</v>
      </c>
      <c r="M29" s="187"/>
      <c r="N29" s="188" t="s">
        <v>99</v>
      </c>
      <c r="O29" s="189"/>
    </row>
    <row r="30" spans="1:18" ht="15.75" customHeight="1" x14ac:dyDescent="0.15">
      <c r="A30" s="21"/>
      <c r="B30" s="21"/>
      <c r="C30" s="21"/>
      <c r="D30" s="21"/>
      <c r="E30" s="21"/>
      <c r="F30" s="21"/>
      <c r="G30" s="21"/>
      <c r="H30" s="21"/>
      <c r="I30" s="21"/>
      <c r="J30" s="186" t="s">
        <v>100</v>
      </c>
      <c r="K30" s="187">
        <v>0.9</v>
      </c>
      <c r="L30" s="187" t="s">
        <v>101</v>
      </c>
      <c r="M30" s="186"/>
      <c r="N30" s="188" t="s">
        <v>102</v>
      </c>
      <c r="O30" s="189"/>
    </row>
    <row r="31" spans="1:18" ht="15.75" customHeight="1" x14ac:dyDescent="0.15">
      <c r="A31" s="21"/>
      <c r="B31" s="21"/>
      <c r="C31" s="21"/>
      <c r="D31" s="21"/>
      <c r="E31" s="21"/>
      <c r="F31" s="21"/>
      <c r="G31" s="21"/>
      <c r="H31" s="21"/>
      <c r="I31" s="21"/>
      <c r="J31" s="186"/>
      <c r="K31" s="186">
        <f>K30*N33</f>
        <v>891</v>
      </c>
      <c r="L31" s="187" t="s">
        <v>103</v>
      </c>
      <c r="M31" s="186"/>
      <c r="N31" s="188" t="s">
        <v>104</v>
      </c>
      <c r="O31" s="189"/>
    </row>
    <row r="32" spans="1:18" ht="15.75" customHeight="1" x14ac:dyDescent="0.15">
      <c r="A32" s="21"/>
      <c r="B32" s="21"/>
      <c r="C32" s="21"/>
      <c r="D32" s="21"/>
      <c r="E32" s="21"/>
      <c r="F32" s="21"/>
      <c r="G32" s="21"/>
      <c r="H32" s="21"/>
      <c r="I32" s="21"/>
      <c r="J32" s="186" t="s">
        <v>105</v>
      </c>
      <c r="K32" s="186">
        <f>K31/375</f>
        <v>2.3759999999999999</v>
      </c>
      <c r="L32" s="186"/>
      <c r="M32" s="186"/>
      <c r="N32" s="187" t="s">
        <v>103</v>
      </c>
      <c r="O32" s="190" t="s">
        <v>101</v>
      </c>
    </row>
    <row r="33" spans="1:15" ht="15.75" customHeight="1" x14ac:dyDescent="0.15">
      <c r="A33" s="21"/>
      <c r="B33" s="21"/>
      <c r="C33" s="21"/>
      <c r="D33" s="21"/>
      <c r="E33" s="21"/>
      <c r="F33" s="21"/>
      <c r="G33" s="21"/>
      <c r="H33" s="21"/>
      <c r="I33" s="21"/>
      <c r="J33" s="191" t="s">
        <v>106</v>
      </c>
      <c r="K33" s="192">
        <f>K29*K32</f>
        <v>2.3759999999999999</v>
      </c>
      <c r="L33" s="192" t="s">
        <v>107</v>
      </c>
      <c r="M33" s="193"/>
      <c r="N33" s="194">
        <v>990</v>
      </c>
      <c r="O33" s="195">
        <v>1</v>
      </c>
    </row>
  </sheetData>
  <sheetProtection algorithmName="SHA-512" hashValue="B57eGgseAa8cWk23446dJJ4LHB1V2KSFvS5NWuIn/RE836l7d6S7a5DvZNlv6Z0/vN8gJ/bPY0puo7jrybZE/Q==" saltValue="Z+JE6h3JHXHzyaOP+YQwTw==" spinCount="100000" sheet="1" objects="1" scenarios="1"/>
  <mergeCells count="18">
    <mergeCell ref="C1:P1"/>
    <mergeCell ref="A4:B4"/>
    <mergeCell ref="C4:F4"/>
    <mergeCell ref="G4:K4"/>
    <mergeCell ref="L4:O4"/>
    <mergeCell ref="A10:B10"/>
    <mergeCell ref="C10:G10"/>
    <mergeCell ref="C22:F22"/>
    <mergeCell ref="G22:K22"/>
    <mergeCell ref="J28:O28"/>
    <mergeCell ref="H10:I10"/>
    <mergeCell ref="J10:M10"/>
    <mergeCell ref="A16:B16"/>
    <mergeCell ref="C16:F16"/>
    <mergeCell ref="G16:K16"/>
    <mergeCell ref="L16:P16"/>
    <mergeCell ref="A22:B22"/>
    <mergeCell ref="L22:O22"/>
  </mergeCells>
  <hyperlinks>
    <hyperlink ref="N29" r:id="rId1" xr:uid="{00000000-0004-0000-0100-000000000000}"/>
    <hyperlink ref="N30" r:id="rId2" xr:uid="{00000000-0004-0000-0100-000001000000}"/>
    <hyperlink ref="N31" r:id="rId3" xr:uid="{00000000-0004-0000-0100-000002000000}"/>
  </hyperlinks>
  <pageMargins left="0.7" right="0.7" top="0.75" bottom="0.75" header="0.3" footer="0.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Q47"/>
  <sheetViews>
    <sheetView zoomScale="110" zoomScaleNormal="110" workbookViewId="0">
      <pane xSplit="2" ySplit="3" topLeftCell="C4" activePane="bottomRight" state="frozen"/>
      <selection pane="topRight" activeCell="B1" sqref="B1"/>
      <selection pane="bottomLeft" activeCell="A4" sqref="A4"/>
      <selection pane="bottomRight" activeCell="B12" sqref="B12"/>
    </sheetView>
  </sheetViews>
  <sheetFormatPr baseColWidth="10" defaultColWidth="12.6640625" defaultRowHeight="15.75" customHeight="1" outlineLevelRow="2" x14ac:dyDescent="0.15"/>
  <cols>
    <col min="2" max="2" width="21.83203125" customWidth="1"/>
  </cols>
  <sheetData>
    <row r="1" spans="2:57" ht="15.75" customHeight="1" x14ac:dyDescent="0.15">
      <c r="B1" s="203"/>
      <c r="C1" s="310" t="str">
        <f>'Main inputs'!A2</f>
        <v>Nigeria</v>
      </c>
      <c r="D1" s="297"/>
      <c r="E1" s="297"/>
      <c r="F1" s="297"/>
      <c r="G1" s="297"/>
      <c r="H1" s="297"/>
      <c r="I1" s="297"/>
      <c r="J1" s="297"/>
      <c r="K1" s="297"/>
      <c r="L1" s="297"/>
      <c r="M1" s="297"/>
      <c r="N1" s="297"/>
      <c r="O1" s="298"/>
      <c r="P1" s="10"/>
      <c r="Q1" s="311" t="str">
        <f>'Main inputs'!A30</f>
        <v xml:space="preserve"> Rwanda</v>
      </c>
      <c r="R1" s="270"/>
      <c r="S1" s="270"/>
      <c r="T1" s="270"/>
      <c r="U1" s="270"/>
      <c r="V1" s="270"/>
      <c r="W1" s="270"/>
      <c r="X1" s="270"/>
      <c r="Y1" s="270"/>
      <c r="Z1" s="270"/>
      <c r="AA1" s="11"/>
      <c r="AB1" s="11"/>
      <c r="AC1" s="281" t="str">
        <f>'Main inputs'!A58</f>
        <v>Zambia</v>
      </c>
      <c r="AD1" s="270"/>
      <c r="AE1" s="270"/>
      <c r="AF1" s="270"/>
      <c r="AG1" s="270"/>
      <c r="AH1" s="270"/>
      <c r="AI1" s="270"/>
      <c r="AJ1" s="270"/>
      <c r="AK1" s="270"/>
      <c r="AL1" s="270"/>
      <c r="AM1" s="270"/>
      <c r="AN1" s="270"/>
      <c r="AO1" s="270"/>
      <c r="AP1" s="270"/>
      <c r="AQ1" s="3"/>
      <c r="AR1" s="276" t="str">
        <f>'Main inputs'!A86</f>
        <v xml:space="preserve"> Zimbabwe</v>
      </c>
      <c r="AS1" s="270"/>
      <c r="AT1" s="270"/>
      <c r="AU1" s="270"/>
      <c r="AV1" s="270"/>
      <c r="AW1" s="270"/>
      <c r="AX1" s="270"/>
      <c r="AY1" s="270"/>
      <c r="AZ1" s="270"/>
      <c r="BA1" s="270"/>
      <c r="BB1" s="270"/>
      <c r="BC1" s="270"/>
      <c r="BD1" s="270"/>
      <c r="BE1" s="4"/>
    </row>
    <row r="2" spans="2:57" ht="15.75" customHeight="1" x14ac:dyDescent="0.15">
      <c r="B2" s="203"/>
      <c r="C2" s="312" t="str">
        <f>'Main inputs'!C2</f>
        <v>Maize</v>
      </c>
      <c r="D2" s="297"/>
      <c r="E2" s="297"/>
      <c r="F2" s="298"/>
      <c r="G2" s="305" t="str">
        <f>'Main inputs'!G2</f>
        <v>Cassava</v>
      </c>
      <c r="H2" s="297"/>
      <c r="I2" s="297"/>
      <c r="J2" s="297"/>
      <c r="K2" s="298"/>
      <c r="L2" s="305" t="str">
        <f>'Main inputs'!L2</f>
        <v>Rice</v>
      </c>
      <c r="M2" s="297"/>
      <c r="N2" s="297"/>
      <c r="O2" s="298"/>
      <c r="P2" s="12" t="str">
        <f>'Main inputs'!P2</f>
        <v>Tomato</v>
      </c>
      <c r="Q2" s="296" t="str">
        <f>'Main inputs'!C30</f>
        <v>Maize</v>
      </c>
      <c r="R2" s="297"/>
      <c r="S2" s="297"/>
      <c r="T2" s="297"/>
      <c r="U2" s="298"/>
      <c r="V2" s="296" t="str">
        <f>'Main inputs'!H30</f>
        <v>Cassava</v>
      </c>
      <c r="W2" s="298"/>
      <c r="X2" s="296" t="str">
        <f>'Main inputs'!J30</f>
        <v>Beans</v>
      </c>
      <c r="Y2" s="297"/>
      <c r="Z2" s="297"/>
      <c r="AA2" s="298"/>
      <c r="AB2" s="13" t="str">
        <f>'Main inputs'!N30</f>
        <v>Tomato</v>
      </c>
      <c r="AC2" s="302" t="str">
        <f>'Main inputs'!C58</f>
        <v>Maize</v>
      </c>
      <c r="AD2" s="297"/>
      <c r="AE2" s="297"/>
      <c r="AF2" s="298"/>
      <c r="AG2" s="302" t="str">
        <f>'Main inputs'!G58</f>
        <v>Cassava</v>
      </c>
      <c r="AH2" s="297"/>
      <c r="AI2" s="297"/>
      <c r="AJ2" s="297"/>
      <c r="AK2" s="298"/>
      <c r="AL2" s="302" t="str">
        <f>'Main inputs'!L58</f>
        <v>Groundnuts</v>
      </c>
      <c r="AM2" s="297"/>
      <c r="AN2" s="297"/>
      <c r="AO2" s="297"/>
      <c r="AP2" s="298"/>
      <c r="AQ2" s="14" t="str">
        <f>'Main inputs'!Q58</f>
        <v>Tomato</v>
      </c>
      <c r="AR2" s="299" t="str">
        <f>'Main inputs'!C86</f>
        <v>Maize</v>
      </c>
      <c r="AS2" s="297"/>
      <c r="AT2" s="297"/>
      <c r="AU2" s="298"/>
      <c r="AV2" s="299" t="str">
        <f>'Main inputs'!G86</f>
        <v>Groundnuts</v>
      </c>
      <c r="AW2" s="297"/>
      <c r="AX2" s="297"/>
      <c r="AY2" s="297"/>
      <c r="AZ2" s="298"/>
      <c r="BA2" s="299" t="str">
        <f>'Main inputs'!L86</f>
        <v>Sorghum</v>
      </c>
      <c r="BB2" s="297"/>
      <c r="BC2" s="297"/>
      <c r="BD2" s="298"/>
      <c r="BE2" s="15" t="str">
        <f>'Main inputs'!P86</f>
        <v>Tomato</v>
      </c>
    </row>
    <row r="3" spans="2:57" ht="15.75" customHeight="1" x14ac:dyDescent="0.15">
      <c r="B3" s="203"/>
      <c r="C3" s="16" t="str">
        <f>'Main inputs'!C3</f>
        <v>Irrigation</v>
      </c>
      <c r="D3" s="16" t="str">
        <f>'Main inputs'!D3</f>
        <v>Drying</v>
      </c>
      <c r="E3" s="16" t="str">
        <f>'Main inputs'!E3</f>
        <v>Shelling</v>
      </c>
      <c r="F3" s="16" t="str">
        <f>'Main inputs'!F3</f>
        <v>Milling</v>
      </c>
      <c r="G3" s="16" t="str">
        <f>'Main inputs'!G3</f>
        <v>Irrigation</v>
      </c>
      <c r="H3" s="16" t="str">
        <f>'Main inputs'!H3</f>
        <v>Peeling</v>
      </c>
      <c r="I3" s="16" t="str">
        <f>'Main inputs'!I3</f>
        <v>Grating</v>
      </c>
      <c r="J3" s="16" t="str">
        <f>'Main inputs'!J3</f>
        <v>Milling</v>
      </c>
      <c r="K3" s="16" t="str">
        <f>'Main inputs'!K3</f>
        <v>Chipping</v>
      </c>
      <c r="L3" s="6" t="str">
        <f>'Main inputs'!L3</f>
        <v>Irrigation</v>
      </c>
      <c r="M3" s="6" t="str">
        <f>'Main inputs'!M3</f>
        <v>Threshing</v>
      </c>
      <c r="N3" s="6" t="str">
        <f>'Main inputs'!N3</f>
        <v>Drying</v>
      </c>
      <c r="O3" s="6" t="str">
        <f>'Main inputs'!O3</f>
        <v>Milling</v>
      </c>
      <c r="P3" s="6" t="str">
        <f>'Main inputs'!P3</f>
        <v>Irrigation</v>
      </c>
      <c r="Q3" s="7" t="str">
        <f>'Main inputs'!C31</f>
        <v>Irrigation</v>
      </c>
      <c r="R3" s="7" t="str">
        <f>'Main inputs'!D31</f>
        <v>Drying</v>
      </c>
      <c r="S3" s="7" t="str">
        <f>'Main inputs'!E31</f>
        <v>Shelling</v>
      </c>
      <c r="T3" s="7" t="str">
        <f>'Main inputs'!F31</f>
        <v>Dehulling</v>
      </c>
      <c r="U3" s="7" t="str">
        <f>'Main inputs'!G31</f>
        <v>Milling</v>
      </c>
      <c r="V3" s="7" t="str">
        <f>'Main inputs'!H31</f>
        <v>Irrigation</v>
      </c>
      <c r="W3" s="7" t="str">
        <f>'Main inputs'!I31</f>
        <v>Milling</v>
      </c>
      <c r="X3" s="7" t="str">
        <f>'Main inputs'!J31</f>
        <v>Irrigation</v>
      </c>
      <c r="Y3" s="7" t="str">
        <f>'Main inputs'!K31</f>
        <v>Drying</v>
      </c>
      <c r="Z3" s="7" t="str">
        <f>'Main inputs'!L31</f>
        <v>Threshing</v>
      </c>
      <c r="AA3" s="7" t="str">
        <f>'Main inputs'!M31</f>
        <v>Grinding</v>
      </c>
      <c r="AB3" s="7" t="str">
        <f>'Main inputs'!N31</f>
        <v>Irrigation</v>
      </c>
      <c r="AC3" s="8" t="str">
        <f>'Main inputs'!C59</f>
        <v>Irrigation</v>
      </c>
      <c r="AD3" s="8" t="str">
        <f>'Main inputs'!D59</f>
        <v>Shelling</v>
      </c>
      <c r="AE3" s="8" t="str">
        <f>'Main inputs'!E59</f>
        <v>Dehulling</v>
      </c>
      <c r="AF3" s="8" t="str">
        <f>'Main inputs'!F59</f>
        <v>Milling</v>
      </c>
      <c r="AG3" s="8" t="str">
        <f>'Main inputs'!G59</f>
        <v>Irrigation</v>
      </c>
      <c r="AH3" s="8" t="str">
        <f>'Main inputs'!H59</f>
        <v>Peeling</v>
      </c>
      <c r="AI3" s="8" t="str">
        <f>'Main inputs'!I59</f>
        <v>Grating</v>
      </c>
      <c r="AJ3" s="8" t="str">
        <f>'Main inputs'!J59</f>
        <v>Milling</v>
      </c>
      <c r="AK3" s="8" t="str">
        <f>'Main inputs'!K59</f>
        <v>Chipping</v>
      </c>
      <c r="AL3" s="8" t="str">
        <f>'Main inputs'!L59</f>
        <v>Irrigation</v>
      </c>
      <c r="AM3" s="8" t="str">
        <f>'Main inputs'!M59</f>
        <v>Shelling</v>
      </c>
      <c r="AN3" s="8" t="str">
        <f>'Main inputs'!N59</f>
        <v>Oil pressing</v>
      </c>
      <c r="AO3" s="8" t="str">
        <f>'Main inputs'!O59</f>
        <v>Crushing</v>
      </c>
      <c r="AP3" s="8" t="str">
        <f>'Main inputs'!P59</f>
        <v>Peanut butter</v>
      </c>
      <c r="AQ3" s="8" t="str">
        <f>'Main inputs'!Q59</f>
        <v>Irrigation</v>
      </c>
      <c r="AR3" s="9" t="str">
        <f>'Main inputs'!C87</f>
        <v>Irrigation</v>
      </c>
      <c r="AS3" s="9" t="str">
        <f>'Main inputs'!D87</f>
        <v>Shelling</v>
      </c>
      <c r="AT3" s="9" t="str">
        <f>'Main inputs'!E87</f>
        <v>Dehulling</v>
      </c>
      <c r="AU3" s="9" t="str">
        <f>'Main inputs'!F87</f>
        <v>Milling</v>
      </c>
      <c r="AV3" s="9" t="str">
        <f>'Main inputs'!G87</f>
        <v>Irrigation</v>
      </c>
      <c r="AW3" s="9" t="str">
        <f>'Main inputs'!H87</f>
        <v>Shelling</v>
      </c>
      <c r="AX3" s="9" t="str">
        <f>'Main inputs'!I87</f>
        <v>De-skinning</v>
      </c>
      <c r="AY3" s="9" t="str">
        <f>'Main inputs'!J87</f>
        <v>Roasting</v>
      </c>
      <c r="AZ3" s="9" t="str">
        <f>'Main inputs'!K87</f>
        <v>Peanut butter</v>
      </c>
      <c r="BA3" s="9" t="str">
        <f>'Main inputs'!L87</f>
        <v>Irrigation</v>
      </c>
      <c r="BB3" s="9" t="str">
        <f>'Main inputs'!M87</f>
        <v>Threshing</v>
      </c>
      <c r="BC3" s="9" t="str">
        <f>'Main inputs'!N87</f>
        <v>Dehulling</v>
      </c>
      <c r="BD3" s="9" t="str">
        <f>'Main inputs'!O87</f>
        <v>Milling</v>
      </c>
      <c r="BE3" s="9" t="str">
        <f>'Main inputs'!P87</f>
        <v>Irrigation</v>
      </c>
    </row>
    <row r="4" spans="2:57" ht="15.75" customHeight="1" x14ac:dyDescent="0.15">
      <c r="B4" s="5"/>
    </row>
    <row r="5" spans="2:57" ht="15.75" customHeight="1" outlineLevel="1" x14ac:dyDescent="0.15">
      <c r="B5" s="5" t="s">
        <v>108</v>
      </c>
    </row>
    <row r="6" spans="2:57" ht="15.75" customHeight="1" outlineLevel="1" x14ac:dyDescent="0.15">
      <c r="B6" s="204" t="s">
        <v>109</v>
      </c>
      <c r="C6" s="205">
        <f>_xlfn.IFS(C32="No",'Irrigation inputs&amp;calcs_NIG'!B33,C32="Mono-cultivation",'Irrigation inputs&amp;calcs_NIG'!B34,C32="Crop rotation",'Irrigation inputs&amp;calcs_NIG'!B41)</f>
        <v>2440.8000000000002</v>
      </c>
      <c r="D6" s="205">
        <f>'Main inputs'!D25*'Main inputs'!D23*'Price margin inputs'!D8</f>
        <v>1313.9280000000003</v>
      </c>
      <c r="E6" s="205">
        <f>'Main inputs'!E25*'Main inputs'!E23*'Price margin inputs'!E8</f>
        <v>1564.2</v>
      </c>
      <c r="F6" s="205">
        <f>'Main inputs'!F25*'Main inputs'!F23*'Price margin inputs'!F8</f>
        <v>11731.499999999998</v>
      </c>
      <c r="G6" s="206">
        <f>_xlfn.IFS(G32="No",'Irrigation inputs&amp;calcs_NIG'!C33,G32="Mono-cultivation",'Irrigation inputs&amp;calcs_NIG'!C34,G32="Crop rotation",'Irrigation inputs&amp;calcs_NIG'!C41)</f>
        <v>288.92357142857139</v>
      </c>
      <c r="H6" s="205">
        <f>'Main inputs'!H25*'Main inputs'!H23*'Price margin inputs'!H8</f>
        <v>4692.5999999999985</v>
      </c>
      <c r="I6" s="205">
        <f>'Main inputs'!I25*'Main inputs'!I23*'Price margin inputs'!I8</f>
        <v>5865.7499999999991</v>
      </c>
      <c r="J6" s="205">
        <f>'Main inputs'!J25*'Main inputs'!J23*'Price margin inputs'!J8</f>
        <v>7625.4749999999985</v>
      </c>
      <c r="K6" s="205">
        <f>'Main inputs'!K25*'Main inputs'!K23*'Price margin inputs'!K8</f>
        <v>3519.4499999999994</v>
      </c>
      <c r="L6" s="205">
        <f>_xlfn.IFS(L32="No",'Irrigation inputs&amp;calcs_NIG'!D33,L32="Mono-cultivation",'Irrigation inputs&amp;calcs_NIG'!D34,L32="Crop rotation",'Irrigation inputs&amp;calcs_NIG'!D41)</f>
        <v>3324.5783132530123</v>
      </c>
      <c r="M6" s="205">
        <f>'Main inputs'!M25*'Main inputs'!M23*'Price margin inputs'!M8</f>
        <v>1303.5</v>
      </c>
      <c r="N6" s="205">
        <f>'Main inputs'!N25*'Main inputs'!N23*'Price margin inputs'!N8</f>
        <v>970.55783132530144</v>
      </c>
      <c r="O6" s="205">
        <f>'Main inputs'!O25*'Main inputs'!O23*'Price margin inputs'!O8</f>
        <v>3910.5</v>
      </c>
      <c r="P6" s="205">
        <f>_xlfn.IFS(P32="Year-round horticulture irrigation",'Irrigation inputs&amp;calcs_NIG'!B48)</f>
        <v>3518.4</v>
      </c>
      <c r="Q6" s="205">
        <f>_xlfn.IFS(Q32="No",'Irrigation inputs&amp;calcs_RWA'!B35,Q32="Mono-cultivation",'Irrigation inputs&amp;calcs_RWA'!B36,Q32="Crop rotation",'Irrigation inputs&amp;calcs_RWA'!B43)</f>
        <v>4024.3166175024589</v>
      </c>
      <c r="R6" s="17">
        <f>'Main inputs'!D53*'Main inputs'!D51*'Price margin inputs'!D14</f>
        <v>1850.4595201769914</v>
      </c>
      <c r="S6" s="17">
        <f>'Main inputs'!E53*'Main inputs'!E51*'Price margin inputs'!E14</f>
        <v>4666.53</v>
      </c>
      <c r="T6" s="17">
        <f>'Main inputs'!F53*'Main inputs'!F51*'Price margin inputs'!F14</f>
        <v>3499.8974999999991</v>
      </c>
      <c r="U6" s="17">
        <f>'Main inputs'!G53*'Main inputs'!G51*'Price margin inputs'!G14</f>
        <v>3499.8974999999991</v>
      </c>
      <c r="V6" s="205">
        <f>_xlfn.IFS(V32="No",'Irrigation inputs&amp;calcs_RWA'!C35,V32="Mono-cultivation",'Irrigation inputs&amp;calcs_RWA'!C36,V32="Crop rotation",'Irrigation inputs&amp;calcs_RWA'!C43)</f>
        <v>210.5710071639275</v>
      </c>
      <c r="W6" s="17">
        <f>'Main inputs'!I53*'Main inputs'!I51*'Price margin inputs'!I14</f>
        <v>1657.2214513274355</v>
      </c>
      <c r="X6" s="205">
        <f>_xlfn.IFS(X32="No",'Irrigation inputs&amp;calcs_RWA'!D35,X32="Mono-cultivation",'Irrigation inputs&amp;calcs_RWA'!D36,X32="Crop rotation",'Irrigation inputs&amp;calcs_RWA'!D43)</f>
        <v>4547.9875761367512</v>
      </c>
      <c r="Y6" s="17">
        <f>'Main inputs'!K53*'Main inputs'!K51*'Price margin inputs'!K14</f>
        <v>994.24462500000027</v>
      </c>
      <c r="Z6" s="17">
        <f>'Main inputs'!L53*'Main inputs'!L51*'Price margin inputs'!L14</f>
        <v>3314.1487500000003</v>
      </c>
      <c r="AA6" s="17">
        <f>'Main inputs'!M53*'Main inputs'!M51*'Price margin inputs'!M14</f>
        <v>1657.0743750000001</v>
      </c>
      <c r="AB6" s="205">
        <f>_xlfn.IFS(AB32="Year-round horticulture irrigation",'Irrigation inputs&amp;calcs_RWA'!B50)</f>
        <v>7683.9134709931177</v>
      </c>
      <c r="AC6" s="205">
        <f>_xlfn.IFS(AC32="No",'Irrigation inputs&amp;calcs_ZAM'!B35,AC32="Mono-cultivation",'Irrigation inputs&amp;calcs_ZAM'!B36,AC32="Crop rotation",'Irrigation inputs&amp;calcs_ZAM'!B43)</f>
        <v>4158.1875</v>
      </c>
      <c r="AD6" s="17">
        <f>'Main inputs'!D81*'Main inputs'!D79*'Price margin inputs'!D20</f>
        <v>782.1000000000007</v>
      </c>
      <c r="AE6" s="17">
        <f>'Main inputs'!E81*'Main inputs'!E79*'Price margin inputs'!E20</f>
        <v>1407.7800000000011</v>
      </c>
      <c r="AF6" s="17">
        <f>'Main inputs'!F81*'Main inputs'!F79*'Price margin inputs'!F20</f>
        <v>2346.2999999999961</v>
      </c>
      <c r="AG6" s="205">
        <f>_xlfn.IFS(AG32="No",'Irrigation inputs&amp;calcs_ZAM'!C35,AG32="Mono-cultivation",'Irrigation inputs&amp;calcs_ZAM'!C36,AG32="Crop rotation",'Irrigation inputs&amp;calcs_ZAM'!C43)</f>
        <v>322.05514285714281</v>
      </c>
      <c r="AH6" s="17">
        <f>'Main inputs'!H81*'Main inputs'!H79*'Price margin inputs'!H20</f>
        <v>2737.3499999999995</v>
      </c>
      <c r="AI6" s="17">
        <f>'Main inputs'!I81*'Main inputs'!I79*'Price margin inputs'!I20</f>
        <v>7820.9999999999991</v>
      </c>
      <c r="AJ6" s="17">
        <f>'Main inputs'!J81*'Main inputs'!J79*'Price margin inputs'!J20</f>
        <v>6256.7999999999993</v>
      </c>
      <c r="AK6" s="17">
        <f>'Main inputs'!K81*'Main inputs'!K79*'Price margin inputs'!K20</f>
        <v>3128.3999999999996</v>
      </c>
      <c r="AL6" s="205">
        <f>_xlfn.IFS(AL32="No",'Irrigation inputs&amp;calcs_ZAM'!D35,AL32="Mono-cultivation",'Irrigation inputs&amp;calcs_ZAM'!D36,AL32="Crop rotation",'Irrigation inputs&amp;calcs_ZAM'!D43)</f>
        <v>4151.9742857142855</v>
      </c>
      <c r="AM6" s="17">
        <f>'Main inputs'!M81*'Main inputs'!M79*'Price margin inputs'!M20</f>
        <v>1042.8</v>
      </c>
      <c r="AN6" s="17">
        <f>'Main inputs'!N81*'Main inputs'!N79*'Price margin inputs'!N20</f>
        <v>8655.2400000000016</v>
      </c>
      <c r="AO6" s="17">
        <f>'Main inputs'!O81*'Main inputs'!O79*'Price margin inputs'!O20</f>
        <v>1564.2</v>
      </c>
      <c r="AP6" s="17">
        <f>'Main inputs'!P81*'Main inputs'!P79*'Price margin inputs'!P20</f>
        <v>6788.6279999999988</v>
      </c>
      <c r="AQ6" s="205">
        <f>_xlfn.IFS(AQ32="Year-round horticulture irrigation",'Irrigation inputs&amp;calcs_ZAM'!B50)</f>
        <v>7283.625</v>
      </c>
      <c r="AR6" s="205">
        <f>_xlfn.IFS(AR32="No",'Irrigation inputs&amp;calcs_ZIM'!B34,AR32="Mono-cultivation",'Irrigation inputs&amp;calcs_ZIM'!B35,AR32="Crop rotation",'Irrigation inputs&amp;calcs_ZIM'!B42)</f>
        <v>2659.8004999999998</v>
      </c>
      <c r="AS6" s="17">
        <f>'Main inputs'!D109*'Main inputs'!D107*'Price margin inputs'!D26</f>
        <v>1517.2739999999994</v>
      </c>
      <c r="AT6" s="17">
        <f>'Main inputs'!E109*'Main inputs'!E107*'Price margin inputs'!E26</f>
        <v>2844.8887499999983</v>
      </c>
      <c r="AU6" s="17">
        <f>'Main inputs'!F109*'Main inputs'!F107*'Price margin inputs'!F26</f>
        <v>682.77329999999961</v>
      </c>
      <c r="AV6" s="205">
        <f>_xlfn.IFS(AV32="No",'Irrigation inputs&amp;calcs_ZIM'!C34,AV32="Mono-cultivation",'Irrigation inputs&amp;calcs_ZIM'!C35,AV32="Crop rotation",'Irrigation inputs&amp;calcs_ZIM'!C42)</f>
        <v>2651.8485714285716</v>
      </c>
      <c r="AW6" s="17">
        <f>'Main inputs'!H109*'Main inputs'!H107*'Price margin inputs'!H26</f>
        <v>2998.05</v>
      </c>
      <c r="AX6" s="17">
        <f>'Main inputs'!I109*'Main inputs'!I107*'Price margin inputs'!I26</f>
        <v>1499.0250000000001</v>
      </c>
      <c r="AY6" s="17">
        <f>'Main inputs'!J109*'Main inputs'!J107*'Price margin inputs'!J26</f>
        <v>5396.49</v>
      </c>
      <c r="AZ6" s="17">
        <f>'Main inputs'!K109*'Main inputs'!K107*'Price margin inputs'!K26</f>
        <v>8679.224400000001</v>
      </c>
      <c r="BA6" s="205">
        <f>_xlfn.IFS(BA32="No",'Irrigation inputs&amp;calcs_ZIM'!D34,BA32="Mono-cultivation",'Irrigation inputs&amp;calcs_ZIM'!D35,BA32="Crop rotation",'Irrigation inputs&amp;calcs_ZIM'!D42)</f>
        <v>2646.17</v>
      </c>
      <c r="BB6" s="17">
        <f>'Main inputs'!M109*'Main inputs'!M107*'Price margin inputs'!M26</f>
        <v>3949.6049999999991</v>
      </c>
      <c r="BC6" s="17">
        <f>'Main inputs'!N109*'Main inputs'!N107*'Price margin inputs'!N26</f>
        <v>4937.0062499999985</v>
      </c>
      <c r="BD6" s="17">
        <f>'Main inputs'!O109*'Main inputs'!O107*'Price margin inputs'!O26</f>
        <v>1382.3617499999996</v>
      </c>
      <c r="BE6" s="205">
        <f>_xlfn.IFS(BE32="Year-round horticulture irrigation",'Irrigation inputs&amp;calcs_ZIM'!B49)</f>
        <v>5080.3990000000003</v>
      </c>
    </row>
    <row r="7" spans="2:57" ht="15.75" customHeight="1" outlineLevel="1" x14ac:dyDescent="0.15">
      <c r="B7" s="204" t="s">
        <v>110</v>
      </c>
      <c r="C7" s="207"/>
      <c r="D7" s="207"/>
      <c r="E7" s="207"/>
      <c r="F7" s="207"/>
      <c r="G7" s="207"/>
      <c r="H7" s="207"/>
      <c r="I7" s="207"/>
      <c r="J7" s="207"/>
      <c r="K7" s="207"/>
      <c r="L7" s="207"/>
      <c r="M7" s="207"/>
      <c r="N7" s="207"/>
      <c r="O7" s="207"/>
      <c r="P7" s="207"/>
      <c r="Q7" s="17"/>
      <c r="AC7" s="17"/>
      <c r="AD7" s="17"/>
      <c r="AE7" s="17"/>
      <c r="AF7" s="17"/>
      <c r="AG7" s="17"/>
      <c r="AH7" s="17"/>
      <c r="AI7" s="17"/>
      <c r="AJ7" s="17"/>
      <c r="AK7" s="17"/>
      <c r="AL7" s="17"/>
      <c r="AM7" s="17"/>
      <c r="AN7" s="17"/>
      <c r="AO7" s="17"/>
      <c r="AP7" s="17"/>
      <c r="AQ7" s="17"/>
      <c r="AR7" s="17"/>
      <c r="AS7" s="17"/>
      <c r="AT7" s="17"/>
      <c r="AU7" s="17"/>
      <c r="AV7" s="17"/>
      <c r="AW7" s="17"/>
      <c r="AX7" s="17"/>
      <c r="AY7" s="17"/>
      <c r="AZ7" s="17"/>
      <c r="BA7" s="17"/>
      <c r="BB7" s="17"/>
      <c r="BC7" s="17"/>
      <c r="BD7" s="17"/>
      <c r="BE7" s="17"/>
    </row>
    <row r="8" spans="2:57" ht="15.75" customHeight="1" outlineLevel="1" x14ac:dyDescent="0.15">
      <c r="Q8" s="17"/>
      <c r="AC8" s="17"/>
      <c r="AD8" s="17"/>
      <c r="AE8" s="17"/>
      <c r="AF8" s="17"/>
      <c r="AG8" s="17"/>
      <c r="AH8" s="17"/>
      <c r="AI8" s="17"/>
      <c r="AJ8" s="17"/>
      <c r="AK8" s="17"/>
      <c r="AL8" s="17"/>
      <c r="AM8" s="17"/>
      <c r="AN8" s="17"/>
      <c r="AO8" s="17"/>
      <c r="AP8" s="17"/>
      <c r="AQ8" s="17"/>
      <c r="AR8" s="17"/>
      <c r="AS8" s="17"/>
      <c r="AT8" s="17"/>
      <c r="AU8" s="17"/>
      <c r="AV8" s="17"/>
      <c r="AW8" s="17"/>
      <c r="AX8" s="17"/>
      <c r="AY8" s="17"/>
      <c r="AZ8" s="17"/>
      <c r="BA8" s="17"/>
      <c r="BB8" s="17"/>
      <c r="BC8" s="17"/>
      <c r="BD8" s="17"/>
      <c r="BE8" s="17"/>
    </row>
    <row r="9" spans="2:57" ht="15.75" customHeight="1" outlineLevel="1" x14ac:dyDescent="0.15">
      <c r="B9" s="208" t="s">
        <v>111</v>
      </c>
      <c r="C9" s="209">
        <f t="shared" ref="C9:Z9" si="0">SUM(C6:C7)</f>
        <v>2440.8000000000002</v>
      </c>
      <c r="D9" s="209">
        <f t="shared" si="0"/>
        <v>1313.9280000000003</v>
      </c>
      <c r="E9" s="209">
        <f t="shared" si="0"/>
        <v>1564.2</v>
      </c>
      <c r="F9" s="209">
        <f t="shared" si="0"/>
        <v>11731.499999999998</v>
      </c>
      <c r="G9" s="209">
        <f t="shared" si="0"/>
        <v>288.92357142857139</v>
      </c>
      <c r="H9" s="209">
        <f t="shared" si="0"/>
        <v>4692.5999999999985</v>
      </c>
      <c r="I9" s="209">
        <f t="shared" si="0"/>
        <v>5865.7499999999991</v>
      </c>
      <c r="J9" s="209">
        <f t="shared" si="0"/>
        <v>7625.4749999999985</v>
      </c>
      <c r="K9" s="209">
        <f t="shared" si="0"/>
        <v>3519.4499999999994</v>
      </c>
      <c r="L9" s="209">
        <f t="shared" si="0"/>
        <v>3324.5783132530123</v>
      </c>
      <c r="M9" s="209">
        <f t="shared" si="0"/>
        <v>1303.5</v>
      </c>
      <c r="N9" s="209">
        <f t="shared" si="0"/>
        <v>970.55783132530144</v>
      </c>
      <c r="O9" s="209">
        <f t="shared" si="0"/>
        <v>3910.5</v>
      </c>
      <c r="P9" s="209">
        <f t="shared" si="0"/>
        <v>3518.4</v>
      </c>
      <c r="Q9" s="209">
        <f t="shared" si="0"/>
        <v>4024.3166175024589</v>
      </c>
      <c r="R9" s="209">
        <f t="shared" si="0"/>
        <v>1850.4595201769914</v>
      </c>
      <c r="S9" s="209">
        <f t="shared" si="0"/>
        <v>4666.53</v>
      </c>
      <c r="T9" s="209">
        <f t="shared" si="0"/>
        <v>3499.8974999999991</v>
      </c>
      <c r="U9" s="209">
        <f t="shared" si="0"/>
        <v>3499.8974999999991</v>
      </c>
      <c r="V9" s="209">
        <f t="shared" si="0"/>
        <v>210.5710071639275</v>
      </c>
      <c r="W9" s="209">
        <f t="shared" si="0"/>
        <v>1657.2214513274355</v>
      </c>
      <c r="X9" s="209">
        <f t="shared" si="0"/>
        <v>4547.9875761367512</v>
      </c>
      <c r="Y9" s="209">
        <f t="shared" si="0"/>
        <v>994.24462500000027</v>
      </c>
      <c r="Z9" s="209">
        <f t="shared" si="0"/>
        <v>3314.1487500000003</v>
      </c>
      <c r="AA9" s="209">
        <f t="shared" ref="AA9" si="1">SUM(AA6:AA7)</f>
        <v>1657.0743750000001</v>
      </c>
      <c r="AB9" s="209">
        <f t="shared" ref="AB9:BE9" si="2">SUM(AB6:AB7)</f>
        <v>7683.9134709931177</v>
      </c>
      <c r="AC9" s="209">
        <f t="shared" si="2"/>
        <v>4158.1875</v>
      </c>
      <c r="AD9" s="209">
        <f t="shared" si="2"/>
        <v>782.1000000000007</v>
      </c>
      <c r="AE9" s="209">
        <f t="shared" si="2"/>
        <v>1407.7800000000011</v>
      </c>
      <c r="AF9" s="209">
        <f t="shared" si="2"/>
        <v>2346.2999999999961</v>
      </c>
      <c r="AG9" s="209">
        <f t="shared" si="2"/>
        <v>322.05514285714281</v>
      </c>
      <c r="AH9" s="209">
        <f t="shared" si="2"/>
        <v>2737.3499999999995</v>
      </c>
      <c r="AI9" s="209">
        <f t="shared" si="2"/>
        <v>7820.9999999999991</v>
      </c>
      <c r="AJ9" s="209">
        <f t="shared" si="2"/>
        <v>6256.7999999999993</v>
      </c>
      <c r="AK9" s="209">
        <f t="shared" si="2"/>
        <v>3128.3999999999996</v>
      </c>
      <c r="AL9" s="209">
        <f t="shared" si="2"/>
        <v>4151.9742857142855</v>
      </c>
      <c r="AM9" s="209">
        <f t="shared" si="2"/>
        <v>1042.8</v>
      </c>
      <c r="AN9" s="209">
        <f t="shared" si="2"/>
        <v>8655.2400000000016</v>
      </c>
      <c r="AO9" s="209">
        <f t="shared" si="2"/>
        <v>1564.2</v>
      </c>
      <c r="AP9" s="209">
        <f t="shared" si="2"/>
        <v>6788.6279999999988</v>
      </c>
      <c r="AQ9" s="209">
        <f t="shared" si="2"/>
        <v>7283.625</v>
      </c>
      <c r="AR9" s="209">
        <f t="shared" si="2"/>
        <v>2659.8004999999998</v>
      </c>
      <c r="AS9" s="209">
        <f t="shared" si="2"/>
        <v>1517.2739999999994</v>
      </c>
      <c r="AT9" s="209">
        <f t="shared" si="2"/>
        <v>2844.8887499999983</v>
      </c>
      <c r="AU9" s="209">
        <f t="shared" si="2"/>
        <v>682.77329999999961</v>
      </c>
      <c r="AV9" s="209">
        <f t="shared" si="2"/>
        <v>2651.8485714285716</v>
      </c>
      <c r="AW9" s="209">
        <f t="shared" si="2"/>
        <v>2998.05</v>
      </c>
      <c r="AX9" s="209">
        <f t="shared" si="2"/>
        <v>1499.0250000000001</v>
      </c>
      <c r="AY9" s="209">
        <f t="shared" si="2"/>
        <v>5396.49</v>
      </c>
      <c r="AZ9" s="209">
        <f t="shared" si="2"/>
        <v>8679.224400000001</v>
      </c>
      <c r="BA9" s="209">
        <f t="shared" si="2"/>
        <v>2646.17</v>
      </c>
      <c r="BB9" s="209">
        <f t="shared" si="2"/>
        <v>3949.6049999999991</v>
      </c>
      <c r="BC9" s="209">
        <f t="shared" si="2"/>
        <v>4937.0062499999985</v>
      </c>
      <c r="BD9" s="209">
        <f t="shared" si="2"/>
        <v>1382.3617499999996</v>
      </c>
      <c r="BE9" s="209">
        <f t="shared" si="2"/>
        <v>5080.3990000000003</v>
      </c>
    </row>
    <row r="10" spans="2:57" ht="15.75" customHeight="1" outlineLevel="1" x14ac:dyDescent="0.15">
      <c r="Q10" s="17"/>
      <c r="AC10" s="17"/>
      <c r="AD10" s="17"/>
      <c r="AE10" s="17"/>
      <c r="AF10" s="17"/>
      <c r="AG10" s="17"/>
      <c r="AH10" s="17"/>
      <c r="AI10" s="17"/>
      <c r="AJ10" s="17"/>
      <c r="AK10" s="17"/>
      <c r="AL10" s="17"/>
      <c r="AM10" s="17"/>
      <c r="AN10" s="17"/>
      <c r="AO10" s="17"/>
      <c r="AP10" s="17"/>
      <c r="AQ10" s="17"/>
      <c r="AR10" s="17"/>
      <c r="AS10" s="17"/>
      <c r="AT10" s="17"/>
      <c r="AU10" s="17"/>
      <c r="AV10" s="17"/>
      <c r="AW10" s="17"/>
      <c r="AX10" s="17"/>
      <c r="AY10" s="17"/>
      <c r="AZ10" s="17"/>
      <c r="BA10" s="17"/>
      <c r="BB10" s="17"/>
      <c r="BC10" s="17"/>
      <c r="BD10" s="17"/>
      <c r="BE10" s="17"/>
    </row>
    <row r="11" spans="2:57" ht="15.75" customHeight="1" outlineLevel="1" x14ac:dyDescent="0.15">
      <c r="B11" s="5" t="s">
        <v>112</v>
      </c>
      <c r="Q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row>
    <row r="12" spans="2:57" ht="15.75" customHeight="1" outlineLevel="1" x14ac:dyDescent="0.15">
      <c r="B12" s="204" t="s">
        <v>113</v>
      </c>
      <c r="C12" s="17">
        <f>('Main inputs'!$C$11*'Main inputs'!$C$9)*('Main inputs'!$C$10*48)</f>
        <v>290.02409638554218</v>
      </c>
      <c r="D12" s="17">
        <f>('Main inputs'!$C$11*'Main inputs'!$C$9)*('Main inputs'!$C$10*48)</f>
        <v>290.02409638554218</v>
      </c>
      <c r="E12" s="17">
        <f>('Main inputs'!$C$11*'Main inputs'!$C$9)*('Main inputs'!$C$10*48)</f>
        <v>290.02409638554218</v>
      </c>
      <c r="F12" s="17">
        <f>('Main inputs'!$C$11*'Main inputs'!$C$9)*('Main inputs'!$C$10*48)</f>
        <v>290.02409638554218</v>
      </c>
      <c r="G12" s="17">
        <f>('Main inputs'!$C$11*'Main inputs'!$C$9)*('Main inputs'!$C$10*48)</f>
        <v>290.02409638554218</v>
      </c>
      <c r="H12" s="17">
        <f>('Main inputs'!$C$11*'Main inputs'!$C$9)*('Main inputs'!$C$10*48)</f>
        <v>290.02409638554218</v>
      </c>
      <c r="I12" s="17">
        <f>('Main inputs'!$C$11*'Main inputs'!$C$9)*('Main inputs'!$C$10*48)</f>
        <v>290.02409638554218</v>
      </c>
      <c r="J12" s="17">
        <f>('Main inputs'!$C$11*'Main inputs'!$C$9)*('Main inputs'!$C$10*48)</f>
        <v>290.02409638554218</v>
      </c>
      <c r="K12" s="17">
        <f>('Main inputs'!$C$11*'Main inputs'!$C$9)*('Main inputs'!$C$10*48)</f>
        <v>290.02409638554218</v>
      </c>
      <c r="L12" s="17">
        <f>('Main inputs'!$C$11*'Main inputs'!$C$9)*('Main inputs'!$C$10*48)</f>
        <v>290.02409638554218</v>
      </c>
      <c r="M12" s="17">
        <f>('Main inputs'!$C$11*'Main inputs'!$C$9)*('Main inputs'!$C$10*48)</f>
        <v>290.02409638554218</v>
      </c>
      <c r="N12" s="17">
        <f>('Main inputs'!$C$11*'Main inputs'!$C$9)*('Main inputs'!$C$10*48)</f>
        <v>290.02409638554218</v>
      </c>
      <c r="O12" s="17">
        <f>('Main inputs'!$C$11*'Main inputs'!$C$9)*('Main inputs'!$C$10*48)</f>
        <v>290.02409638554218</v>
      </c>
      <c r="P12" s="17">
        <f>('Main inputs'!$C$11*'Main inputs'!$C$9)*('Main inputs'!$C$10*48)</f>
        <v>290.02409638554218</v>
      </c>
      <c r="Q12" s="17">
        <f>('Main inputs'!$C$11*'Main inputs'!$C$9)*('Main inputs'!$C$10*48)</f>
        <v>290.02409638554218</v>
      </c>
      <c r="R12" s="17">
        <f>('Main inputs'!$C$11*'Main inputs'!$C$9)*('Main inputs'!$C$10*48)</f>
        <v>290.02409638554218</v>
      </c>
      <c r="S12" s="17">
        <f>('Main inputs'!$C$11*'Main inputs'!$C$9)*('Main inputs'!$C$10*48)</f>
        <v>290.02409638554218</v>
      </c>
      <c r="T12" s="17">
        <f>('Main inputs'!$C$11*'Main inputs'!$C$9)*('Main inputs'!$C$10*48)</f>
        <v>290.02409638554218</v>
      </c>
      <c r="U12" s="17">
        <f>('Main inputs'!$C$11*'Main inputs'!$C$9)*('Main inputs'!$C$10*48)</f>
        <v>290.02409638554218</v>
      </c>
      <c r="V12" s="17">
        <f>('Main inputs'!$C$11*'Main inputs'!$C$9)*('Main inputs'!$C$10*48)</f>
        <v>290.02409638554218</v>
      </c>
      <c r="W12" s="17">
        <f>('Main inputs'!$C$11*'Main inputs'!$C$9)*('Main inputs'!$C$10*48)</f>
        <v>290.02409638554218</v>
      </c>
      <c r="X12" s="17">
        <f>('Main inputs'!$C$11*'Main inputs'!$C$9)*('Main inputs'!$C$10*48)</f>
        <v>290.02409638554218</v>
      </c>
      <c r="Y12" s="17">
        <f>('Main inputs'!$C$11*'Main inputs'!$C$9)*('Main inputs'!$C$10*48)</f>
        <v>290.02409638554218</v>
      </c>
      <c r="Z12" s="17">
        <f>('Main inputs'!$C$11*'Main inputs'!$C$9)*('Main inputs'!$C$10*48)</f>
        <v>290.02409638554218</v>
      </c>
      <c r="AA12" s="17">
        <f>('Main inputs'!$C$11*'Main inputs'!$C$9)*('Main inputs'!$C$10*48)</f>
        <v>290.02409638554218</v>
      </c>
      <c r="AB12" s="17">
        <f>('Main inputs'!$C$11*'Main inputs'!$C$9)*('Main inputs'!$C$10*48)</f>
        <v>290.02409638554218</v>
      </c>
      <c r="AC12" s="17">
        <f>('Main inputs'!$C$11*'Main inputs'!$C$9)*('Main inputs'!$C$10*48)</f>
        <v>290.02409638554218</v>
      </c>
      <c r="AD12" s="17">
        <f>('Main inputs'!$C$11*'Main inputs'!$C$9)*('Main inputs'!$C$10*48)</f>
        <v>290.02409638554218</v>
      </c>
      <c r="AE12" s="17">
        <f>('Main inputs'!$C$11*'Main inputs'!$C$9)*('Main inputs'!$C$10*48)</f>
        <v>290.02409638554218</v>
      </c>
      <c r="AF12" s="17">
        <f>('Main inputs'!$C$11*'Main inputs'!$C$9)*('Main inputs'!$C$10*48)</f>
        <v>290.02409638554218</v>
      </c>
      <c r="AG12" s="17">
        <f>('Main inputs'!$C$11*'Main inputs'!$C$9)*('Main inputs'!$C$10*48)</f>
        <v>290.02409638554218</v>
      </c>
      <c r="AH12" s="17">
        <f>('Main inputs'!$C$11*'Main inputs'!$C$9)*('Main inputs'!$C$10*48)</f>
        <v>290.02409638554218</v>
      </c>
      <c r="AI12" s="17">
        <f>('Main inputs'!$C$11*'Main inputs'!$C$9)*('Main inputs'!$C$10*48)</f>
        <v>290.02409638554218</v>
      </c>
      <c r="AJ12" s="17">
        <f>('Main inputs'!$C$11*'Main inputs'!$C$9)*('Main inputs'!$C$10*48)</f>
        <v>290.02409638554218</v>
      </c>
      <c r="AK12" s="17">
        <f>('Main inputs'!$C$11*'Main inputs'!$C$9)*('Main inputs'!$C$10*48)</f>
        <v>290.02409638554218</v>
      </c>
      <c r="AL12" s="17">
        <f>('Main inputs'!$C$11*'Main inputs'!$C$9)*('Main inputs'!$C$10*48)</f>
        <v>290.02409638554218</v>
      </c>
      <c r="AM12" s="17">
        <f>('Main inputs'!$C$11*'Main inputs'!$C$9)*('Main inputs'!$C$10*48)</f>
        <v>290.02409638554218</v>
      </c>
      <c r="AN12" s="17">
        <f>('Main inputs'!$C$11*'Main inputs'!$C$9)*('Main inputs'!$C$10*48)</f>
        <v>290.02409638554218</v>
      </c>
      <c r="AO12" s="17">
        <f>('Main inputs'!$C$11*'Main inputs'!$C$9)*('Main inputs'!$C$10*48)</f>
        <v>290.02409638554218</v>
      </c>
      <c r="AP12" s="17">
        <f>('Main inputs'!$C$11*'Main inputs'!$C$9)*('Main inputs'!$C$10*48)</f>
        <v>290.02409638554218</v>
      </c>
      <c r="AQ12" s="17">
        <f>('Main inputs'!$C$11*'Main inputs'!$C$9)*('Main inputs'!$C$10*48)</f>
        <v>290.02409638554218</v>
      </c>
      <c r="AR12" s="17">
        <f>('Main inputs'!$C$11*'Main inputs'!$C$9)*('Main inputs'!$C$10*48)</f>
        <v>290.02409638554218</v>
      </c>
      <c r="AS12" s="17">
        <f>('Main inputs'!$C$11*'Main inputs'!$C$9)*('Main inputs'!$C$10*48)</f>
        <v>290.02409638554218</v>
      </c>
      <c r="AT12" s="17">
        <f>('Main inputs'!$C$11*'Main inputs'!$C$9)*('Main inputs'!$C$10*48)</f>
        <v>290.02409638554218</v>
      </c>
      <c r="AU12" s="17">
        <f>('Main inputs'!$C$11*'Main inputs'!$C$9)*('Main inputs'!$C$10*48)</f>
        <v>290.02409638554218</v>
      </c>
      <c r="AV12" s="17">
        <f>('Main inputs'!$C$11*'Main inputs'!$C$9)*('Main inputs'!$C$10*48)</f>
        <v>290.02409638554218</v>
      </c>
      <c r="AW12" s="17">
        <f>('Main inputs'!$C$11*'Main inputs'!$C$9)*('Main inputs'!$C$10*48)</f>
        <v>290.02409638554218</v>
      </c>
      <c r="AX12" s="17">
        <f>('Main inputs'!$C$11*'Main inputs'!$C$9)*('Main inputs'!$C$10*48)</f>
        <v>290.02409638554218</v>
      </c>
      <c r="AY12" s="17">
        <f>('Main inputs'!$C$11*'Main inputs'!$C$9)*('Main inputs'!$C$10*48)</f>
        <v>290.02409638554218</v>
      </c>
      <c r="AZ12" s="17">
        <f>('Main inputs'!$C$11*'Main inputs'!$C$9)*('Main inputs'!$C$10*48)</f>
        <v>290.02409638554218</v>
      </c>
      <c r="BA12" s="17">
        <f>('Main inputs'!$C$11*'Main inputs'!$C$9)*('Main inputs'!$C$10*48)</f>
        <v>290.02409638554218</v>
      </c>
      <c r="BB12" s="17">
        <f>('Main inputs'!$C$11*'Main inputs'!$C$9)*('Main inputs'!$C$10*48)</f>
        <v>290.02409638554218</v>
      </c>
      <c r="BC12" s="17">
        <f>('Main inputs'!$C$11*'Main inputs'!$C$9)*('Main inputs'!$C$10*48)</f>
        <v>290.02409638554218</v>
      </c>
      <c r="BD12" s="17">
        <f>('Main inputs'!$C$11*'Main inputs'!$C$9)*('Main inputs'!$C$10*48)</f>
        <v>290.02409638554218</v>
      </c>
      <c r="BE12" s="17">
        <f>('Main inputs'!$C$11*'Main inputs'!$C$9)*('Main inputs'!$C$10*48)</f>
        <v>290.02409638554218</v>
      </c>
    </row>
    <row r="13" spans="2:57" ht="15.75" customHeight="1" outlineLevel="1" x14ac:dyDescent="0.15">
      <c r="B13" s="204" t="s">
        <v>114</v>
      </c>
      <c r="C13" s="17">
        <f>'Main inputs'!C24</f>
        <v>469.87951807228916</v>
      </c>
      <c r="D13" s="17">
        <f>'Main inputs'!D24</f>
        <v>313.25301204819277</v>
      </c>
      <c r="E13" s="17">
        <f>'Main inputs'!E24</f>
        <v>313.25301204819277</v>
      </c>
      <c r="F13" s="17">
        <f>'Main inputs'!F24</f>
        <v>939.75903614457832</v>
      </c>
      <c r="G13" s="17">
        <f>'Main inputs'!G24</f>
        <v>939.75903614457832</v>
      </c>
      <c r="H13" s="17">
        <f>'Main inputs'!H24</f>
        <v>1879.5180722891566</v>
      </c>
      <c r="I13" s="17">
        <f>'Main inputs'!I24</f>
        <v>1879.5180722891566</v>
      </c>
      <c r="J13" s="17">
        <f>'Main inputs'!J24</f>
        <v>1879.5180722891566</v>
      </c>
      <c r="K13" s="17">
        <f>'Main inputs'!K24</f>
        <v>1879.5180722891566</v>
      </c>
      <c r="L13" s="17">
        <f>'Main inputs'!L24</f>
        <v>391.56626506024099</v>
      </c>
      <c r="M13" s="17">
        <f>'Main inputs'!M24</f>
        <v>313.25301204819277</v>
      </c>
      <c r="N13" s="17">
        <f>'Main inputs'!N24</f>
        <v>313.25301204819277</v>
      </c>
      <c r="O13" s="17">
        <f>'Main inputs'!O24</f>
        <v>626.50602409638554</v>
      </c>
      <c r="P13" s="17">
        <f>'Main inputs'!P24</f>
        <v>391.56626506024099</v>
      </c>
      <c r="Q13" s="17">
        <f>'Main inputs'!C52</f>
        <v>397.24680432645033</v>
      </c>
      <c r="R13" s="17">
        <f>'Main inputs'!D52</f>
        <v>397.24680432645033</v>
      </c>
      <c r="S13" s="17">
        <f>'Main inputs'!E52</f>
        <v>397.24680432645033</v>
      </c>
      <c r="T13" s="17">
        <f>'Main inputs'!F52</f>
        <v>1191.740412979351</v>
      </c>
      <c r="U13" s="17">
        <f>'Main inputs'!G52</f>
        <v>1191.740412979351</v>
      </c>
      <c r="V13" s="17">
        <f>'Main inputs'!H52</f>
        <v>1191.740412979351</v>
      </c>
      <c r="W13" s="17">
        <f>'Main inputs'!I52</f>
        <v>2383.4808259587021</v>
      </c>
      <c r="X13" s="17">
        <f>'Main inputs'!J52</f>
        <v>297.93510324483776</v>
      </c>
      <c r="Y13" s="17">
        <f>'Main inputs'!K52</f>
        <v>397.24680432645033</v>
      </c>
      <c r="Z13" s="17">
        <f>'Main inputs'!L52</f>
        <v>397.24680432645033</v>
      </c>
      <c r="AA13" s="17">
        <f>'Main inputs'!M52</f>
        <v>397.24680432645033</v>
      </c>
      <c r="AB13" s="17">
        <f>'Main inputs'!N52</f>
        <v>297.93510324483776</v>
      </c>
      <c r="AC13" s="17">
        <f>'Main inputs'!C80</f>
        <v>395.29411764705878</v>
      </c>
      <c r="AD13" s="17">
        <f>'Main inputs'!D80</f>
        <v>112.94117647058823</v>
      </c>
      <c r="AE13" s="17">
        <f>'Main inputs'!E80</f>
        <v>338.8235294117647</v>
      </c>
      <c r="AF13" s="17">
        <f>'Main inputs'!F80</f>
        <v>338.8235294117647</v>
      </c>
      <c r="AG13" s="17">
        <f>'Main inputs'!G80</f>
        <v>677.64705882352939</v>
      </c>
      <c r="AH13" s="17">
        <f>'Main inputs'!H80</f>
        <v>1355.2941176470588</v>
      </c>
      <c r="AI13" s="17">
        <f>'Main inputs'!I80</f>
        <v>1355.2941176470588</v>
      </c>
      <c r="AJ13" s="17">
        <f>'Main inputs'!J80</f>
        <v>1355.2941176470588</v>
      </c>
      <c r="AK13" s="17">
        <f>'Main inputs'!K80</f>
        <v>1355.2941176470588</v>
      </c>
      <c r="AL13" s="17">
        <f>'Main inputs'!L80</f>
        <v>338.8235294117647</v>
      </c>
      <c r="AM13" s="17">
        <f>'Main inputs'!M80</f>
        <v>112.94117647058823</v>
      </c>
      <c r="AN13" s="17">
        <f>'Main inputs'!N80</f>
        <v>903.52941176470586</v>
      </c>
      <c r="AO13" s="17">
        <f>'Main inputs'!O80</f>
        <v>903.52941176470586</v>
      </c>
      <c r="AP13" s="17">
        <f>'Main inputs'!P80</f>
        <v>903.52941176470586</v>
      </c>
      <c r="AQ13" s="17">
        <f>'Main inputs'!Q80</f>
        <v>338.8235294117647</v>
      </c>
      <c r="AR13" s="17">
        <f>'Main inputs'!C108</f>
        <v>676.79558011049721</v>
      </c>
      <c r="AS13" s="17">
        <f>'Main inputs'!D108</f>
        <v>193.37016574585635</v>
      </c>
      <c r="AT13" s="17">
        <f>'Main inputs'!E108</f>
        <v>580.11049723756901</v>
      </c>
      <c r="AU13" s="17">
        <f>'Main inputs'!F108</f>
        <v>580.11049723756901</v>
      </c>
      <c r="AV13" s="17">
        <f>'Main inputs'!G108</f>
        <v>773.48066298342542</v>
      </c>
      <c r="AW13" s="17">
        <f>'Main inputs'!H108</f>
        <v>193.37016574585635</v>
      </c>
      <c r="AX13" s="17">
        <f>'Main inputs'!I108</f>
        <v>193.37016574585635</v>
      </c>
      <c r="AY13" s="17">
        <f>'Main inputs'!J108</f>
        <v>1546.9613259668508</v>
      </c>
      <c r="AZ13" s="17">
        <f>'Main inputs'!K108</f>
        <v>1546.9613259668508</v>
      </c>
      <c r="BA13" s="17">
        <f>'Main inputs'!L108</f>
        <v>676.79558011049721</v>
      </c>
      <c r="BB13" s="17">
        <f>'Main inputs'!M108</f>
        <v>193.37016574585635</v>
      </c>
      <c r="BC13" s="17">
        <f>'Main inputs'!N108</f>
        <v>580.11049723756901</v>
      </c>
      <c r="BD13" s="17">
        <f>'Main inputs'!O108</f>
        <v>580.11049723756901</v>
      </c>
      <c r="BE13" s="17">
        <f>'Main inputs'!P108</f>
        <v>676.79558011049721</v>
      </c>
    </row>
    <row r="14" spans="2:57" ht="15.75" customHeight="1" outlineLevel="1" x14ac:dyDescent="0.15">
      <c r="B14" s="204" t="s">
        <v>115</v>
      </c>
      <c r="C14" s="17">
        <f>'Main inputs'!C12</f>
        <v>33</v>
      </c>
      <c r="D14" s="17">
        <f>'Main inputs'!D12</f>
        <v>15</v>
      </c>
      <c r="E14" s="17">
        <f>'Main inputs'!E12</f>
        <v>50</v>
      </c>
      <c r="F14" s="17">
        <f>'Main inputs'!F12</f>
        <v>50</v>
      </c>
      <c r="G14" s="17">
        <f>'Main inputs'!G12</f>
        <v>33</v>
      </c>
      <c r="H14" s="17">
        <f>'Main inputs'!H12</f>
        <v>94</v>
      </c>
      <c r="I14" s="17">
        <f>'Main inputs'!I12</f>
        <v>94</v>
      </c>
      <c r="J14" s="17">
        <f>'Main inputs'!J12</f>
        <v>94</v>
      </c>
      <c r="K14" s="17">
        <f>'Main inputs'!K12</f>
        <v>94</v>
      </c>
      <c r="L14" s="17">
        <f>'Main inputs'!L12</f>
        <v>33</v>
      </c>
      <c r="M14" s="17">
        <f>'Main inputs'!M12</f>
        <v>24</v>
      </c>
      <c r="N14" s="17">
        <f>'Main inputs'!N12</f>
        <v>8</v>
      </c>
      <c r="O14" s="17">
        <f>'Main inputs'!O12</f>
        <v>80</v>
      </c>
      <c r="P14" s="17">
        <f>'Main inputs'!P12</f>
        <v>33</v>
      </c>
      <c r="Q14" s="17">
        <f>'Main inputs'!C40</f>
        <v>33</v>
      </c>
      <c r="R14" s="17">
        <f>'Main inputs'!D40</f>
        <v>15</v>
      </c>
      <c r="S14" s="17">
        <f>'Main inputs'!E40</f>
        <v>25</v>
      </c>
      <c r="T14" s="17">
        <f>'Main inputs'!F40</f>
        <v>45</v>
      </c>
      <c r="U14" s="17">
        <f>'Main inputs'!G40</f>
        <v>25</v>
      </c>
      <c r="V14" s="17">
        <f>'Main inputs'!H40</f>
        <v>33</v>
      </c>
      <c r="W14" s="17">
        <f>'Main inputs'!I40</f>
        <v>94</v>
      </c>
      <c r="X14" s="17">
        <f>'Main inputs'!J40</f>
        <v>33</v>
      </c>
      <c r="Y14" s="17">
        <f>'Main inputs'!K40</f>
        <v>8</v>
      </c>
      <c r="Z14" s="17">
        <f>'Main inputs'!L40</f>
        <v>33.599999999999994</v>
      </c>
      <c r="AA14" s="17">
        <f>'Main inputs'!M40</f>
        <v>33.599999999999994</v>
      </c>
      <c r="AB14" s="17">
        <f>'Main inputs'!N40</f>
        <v>33</v>
      </c>
      <c r="AC14" s="17">
        <f>'Main inputs'!C68</f>
        <v>33</v>
      </c>
      <c r="AD14" s="17">
        <f>'Main inputs'!D68</f>
        <v>25</v>
      </c>
      <c r="AE14" s="17">
        <f>'Main inputs'!E68</f>
        <v>35</v>
      </c>
      <c r="AF14" s="17">
        <f>'Main inputs'!F68</f>
        <v>45</v>
      </c>
      <c r="AG14" s="17">
        <f>'Main inputs'!G68</f>
        <v>33</v>
      </c>
      <c r="AH14" s="17">
        <f>'Main inputs'!H68</f>
        <v>75.2</v>
      </c>
      <c r="AI14" s="17">
        <f>'Main inputs'!I68</f>
        <v>94</v>
      </c>
      <c r="AJ14" s="17">
        <f>'Main inputs'!J68</f>
        <v>103.4</v>
      </c>
      <c r="AK14" s="17">
        <f>'Main inputs'!K68</f>
        <v>56.4</v>
      </c>
      <c r="AL14" s="17">
        <f>'Main inputs'!L68</f>
        <v>33</v>
      </c>
      <c r="AM14" s="17">
        <f>'Main inputs'!M68</f>
        <v>89</v>
      </c>
      <c r="AN14" s="17">
        <f>'Main inputs'!N68</f>
        <v>103</v>
      </c>
      <c r="AO14" s="17">
        <f>'Main inputs'!O68</f>
        <v>43</v>
      </c>
      <c r="AP14" s="17">
        <f>'Main inputs'!P68</f>
        <v>43</v>
      </c>
      <c r="AQ14" s="17">
        <f>'Main inputs'!Q68</f>
        <v>33</v>
      </c>
      <c r="AR14" s="17">
        <f>'Main inputs'!C96</f>
        <v>33</v>
      </c>
      <c r="AS14" s="17">
        <f>'Main inputs'!D96</f>
        <v>25</v>
      </c>
      <c r="AT14" s="17">
        <f>'Main inputs'!E96</f>
        <v>30</v>
      </c>
      <c r="AU14" s="17">
        <f>'Main inputs'!F96</f>
        <v>25</v>
      </c>
      <c r="AV14" s="17">
        <f>'Main inputs'!G96</f>
        <v>33</v>
      </c>
      <c r="AW14" s="17">
        <f>'Main inputs'!H96</f>
        <v>89</v>
      </c>
      <c r="AX14" s="17">
        <f>'Main inputs'!I96</f>
        <v>45</v>
      </c>
      <c r="AY14" s="17">
        <f>'Main inputs'!J96</f>
        <v>125</v>
      </c>
      <c r="AZ14" s="17">
        <f>'Main inputs'!K96</f>
        <v>30</v>
      </c>
      <c r="BA14" s="17">
        <f>'Main inputs'!L96</f>
        <v>33</v>
      </c>
      <c r="BB14" s="17">
        <f>'Main inputs'!M96</f>
        <v>25</v>
      </c>
      <c r="BC14" s="17">
        <f>'Main inputs'!N96</f>
        <v>30</v>
      </c>
      <c r="BD14" s="17">
        <f>'Main inputs'!O96</f>
        <v>25</v>
      </c>
      <c r="BE14" s="17">
        <f>'Main inputs'!P96</f>
        <v>33</v>
      </c>
    </row>
    <row r="15" spans="2:57" ht="15.75" customHeight="1" outlineLevel="1" x14ac:dyDescent="0.15">
      <c r="B15" s="204" t="s">
        <v>116</v>
      </c>
      <c r="C15" s="17">
        <f t="shared" ref="C15:O15" si="3">_xlfn.IFS(C30="Grid",C16,C30="Mini-grid",C17,C30="Standalone",0)</f>
        <v>0</v>
      </c>
      <c r="D15" s="17">
        <f t="shared" si="3"/>
        <v>18.082152000000001</v>
      </c>
      <c r="E15" s="17">
        <f t="shared" si="3"/>
        <v>165.75306</v>
      </c>
      <c r="F15" s="17">
        <f t="shared" si="3"/>
        <v>6780.8069999999989</v>
      </c>
      <c r="G15" s="17">
        <f t="shared" si="3"/>
        <v>0</v>
      </c>
      <c r="H15" s="17">
        <f t="shared" si="3"/>
        <v>497.25917999999996</v>
      </c>
      <c r="I15" s="17">
        <f t="shared" si="3"/>
        <v>2147.2555499999994</v>
      </c>
      <c r="J15" s="17">
        <f t="shared" si="3"/>
        <v>4972.5917999999992</v>
      </c>
      <c r="K15" s="17">
        <f t="shared" si="3"/>
        <v>339.04034999999993</v>
      </c>
      <c r="L15" s="17">
        <f t="shared" si="3"/>
        <v>0</v>
      </c>
      <c r="M15" s="17">
        <f t="shared" si="3"/>
        <v>56.506724999999989</v>
      </c>
      <c r="N15" s="17">
        <f t="shared" si="3"/>
        <v>18.082152000000001</v>
      </c>
      <c r="O15" s="17">
        <f t="shared" si="3"/>
        <v>2260.2689999999998</v>
      </c>
      <c r="P15" s="17">
        <v>0</v>
      </c>
      <c r="Q15" s="17">
        <f t="shared" ref="Q15:BE15" si="4">_xlfn.IFS(Q30="Grid",Q16,Q30="Mini-grid",Q17,Q30="Standalone",0)</f>
        <v>0</v>
      </c>
      <c r="R15" s="17">
        <f t="shared" si="4"/>
        <v>82.120500000000007</v>
      </c>
      <c r="S15" s="17">
        <f t="shared" si="4"/>
        <v>513.25312500000007</v>
      </c>
      <c r="T15" s="17">
        <f t="shared" si="4"/>
        <v>1026.5062499999999</v>
      </c>
      <c r="U15" s="17">
        <f t="shared" si="4"/>
        <v>410.60249999999996</v>
      </c>
      <c r="V15" s="17">
        <f t="shared" si="4"/>
        <v>0</v>
      </c>
      <c r="W15" s="17">
        <f t="shared" si="4"/>
        <v>903.32550000000003</v>
      </c>
      <c r="X15" s="17">
        <f t="shared" si="4"/>
        <v>0</v>
      </c>
      <c r="Y15" s="17">
        <f t="shared" si="4"/>
        <v>16.424100000000003</v>
      </c>
      <c r="Z15" s="17">
        <f t="shared" si="4"/>
        <v>410.60249999999996</v>
      </c>
      <c r="AA15" s="17">
        <f t="shared" si="4"/>
        <v>164.24099999999999</v>
      </c>
      <c r="AB15" s="17">
        <f t="shared" si="4"/>
        <v>0</v>
      </c>
      <c r="AC15" s="17">
        <f t="shared" si="4"/>
        <v>0</v>
      </c>
      <c r="AD15" s="17">
        <f t="shared" si="4"/>
        <v>43.015500000000003</v>
      </c>
      <c r="AE15" s="17">
        <f t="shared" si="4"/>
        <v>293.28749999999997</v>
      </c>
      <c r="AF15" s="17">
        <f t="shared" si="4"/>
        <v>439.93124999999992</v>
      </c>
      <c r="AG15" s="17">
        <f t="shared" si="4"/>
        <v>0</v>
      </c>
      <c r="AH15" s="17">
        <f t="shared" si="4"/>
        <v>469.25999999999993</v>
      </c>
      <c r="AI15" s="17">
        <f t="shared" si="4"/>
        <v>1759.7249999999997</v>
      </c>
      <c r="AJ15" s="17">
        <f t="shared" si="4"/>
        <v>1759.7249999999997</v>
      </c>
      <c r="AK15" s="17">
        <f t="shared" si="4"/>
        <v>351.94499999999994</v>
      </c>
      <c r="AL15" s="17">
        <f t="shared" si="4"/>
        <v>0</v>
      </c>
      <c r="AM15" s="17">
        <f t="shared" si="4"/>
        <v>58.657499999999992</v>
      </c>
      <c r="AN15" s="17">
        <f t="shared" si="4"/>
        <v>860.31</v>
      </c>
      <c r="AO15" s="17">
        <f t="shared" si="4"/>
        <v>312.83999999999997</v>
      </c>
      <c r="AP15" s="17">
        <f t="shared" si="4"/>
        <v>469.25999999999993</v>
      </c>
      <c r="AQ15" s="17">
        <f t="shared" si="4"/>
        <v>0</v>
      </c>
      <c r="AR15" s="17">
        <f t="shared" si="4"/>
        <v>0</v>
      </c>
      <c r="AS15" s="17">
        <f t="shared" si="4"/>
        <v>28.677000000000007</v>
      </c>
      <c r="AT15" s="17">
        <f t="shared" si="4"/>
        <v>195.52499999999998</v>
      </c>
      <c r="AU15" s="17">
        <f t="shared" si="4"/>
        <v>58.657499999999999</v>
      </c>
      <c r="AV15" s="17">
        <f t="shared" si="4"/>
        <v>0</v>
      </c>
      <c r="AW15" s="17">
        <f t="shared" si="4"/>
        <v>39.104999999999997</v>
      </c>
      <c r="AX15" s="17">
        <f t="shared" si="4"/>
        <v>26.07</v>
      </c>
      <c r="AY15" s="17">
        <f t="shared" si="4"/>
        <v>573.54</v>
      </c>
      <c r="AZ15" s="17">
        <f t="shared" si="4"/>
        <v>417.12</v>
      </c>
      <c r="BA15" s="17">
        <f t="shared" si="4"/>
        <v>0</v>
      </c>
      <c r="BB15" s="17">
        <f t="shared" si="4"/>
        <v>28.677000000000007</v>
      </c>
      <c r="BC15" s="17">
        <f t="shared" si="4"/>
        <v>234.63</v>
      </c>
      <c r="BD15" s="17">
        <f t="shared" si="4"/>
        <v>58.657499999999999</v>
      </c>
      <c r="BE15" s="17">
        <f t="shared" si="4"/>
        <v>0</v>
      </c>
    </row>
    <row r="16" spans="2:57" ht="15.75" customHeight="1" outlineLevel="2" x14ac:dyDescent="0.15">
      <c r="B16" s="204" t="s">
        <v>117</v>
      </c>
      <c r="C16" s="17">
        <f>'Main inputs'!C26*'Main inputs'!C7</f>
        <v>33.813857927710849</v>
      </c>
      <c r="D16" s="17">
        <f>'Main inputs'!D26*'Main inputs'!D7</f>
        <v>2.6836395180722898</v>
      </c>
      <c r="E16" s="17">
        <f>'Main inputs'!E26*'Main inputs'!E7</f>
        <v>24.600028915662655</v>
      </c>
      <c r="F16" s="17">
        <f>'Main inputs'!F26*'Main inputs'!F7</f>
        <v>1006.3648192771084</v>
      </c>
      <c r="G16" s="17">
        <f>'Main inputs'!G26*'Main inputs'!G7</f>
        <v>67.627715855421698</v>
      </c>
      <c r="H16" s="17">
        <f>'Main inputs'!H26*'Main inputs'!H7</f>
        <v>73.800086746987958</v>
      </c>
      <c r="I16" s="17">
        <f>'Main inputs'!I26*'Main inputs'!I7</f>
        <v>318.68219277108432</v>
      </c>
      <c r="J16" s="17">
        <f>'Main inputs'!J26*'Main inputs'!J7</f>
        <v>738.00086746987949</v>
      </c>
      <c r="K16" s="17">
        <f>'Main inputs'!K26*'Main inputs'!K7</f>
        <v>50.318240963855416</v>
      </c>
      <c r="L16" s="17">
        <f>'Main inputs'!L26*'Main inputs'!L7</f>
        <v>28.178214939759041</v>
      </c>
      <c r="M16" s="17">
        <f>'Main inputs'!M26*'Main inputs'!M7</f>
        <v>8.3863734939759027</v>
      </c>
      <c r="N16" s="17">
        <f>'Main inputs'!N26*'Main inputs'!N7</f>
        <v>2.6836395180722898</v>
      </c>
      <c r="O16" s="17">
        <f>'Main inputs'!O26*'Main inputs'!O7</f>
        <v>335.45493975903617</v>
      </c>
      <c r="P16" s="17">
        <f>'Main inputs'!P26*'Main inputs'!P7</f>
        <v>28.178214939759041</v>
      </c>
      <c r="Q16" s="17">
        <f>'Main inputs'!C35*'Main inputs'!C54</f>
        <v>20.146896000000002</v>
      </c>
      <c r="R16" s="17">
        <f>'Main inputs'!D35*'Main inputs'!D54</f>
        <v>35.976600000000005</v>
      </c>
      <c r="S16" s="17">
        <f>'Main inputs'!E35*'Main inputs'!E54</f>
        <v>224.85375000000002</v>
      </c>
      <c r="T16" s="17">
        <f>'Main inputs'!F35*'Main inputs'!F54</f>
        <v>449.70749999999998</v>
      </c>
      <c r="U16" s="17">
        <f>'Main inputs'!G35*'Main inputs'!G54</f>
        <v>179.88299999999998</v>
      </c>
      <c r="V16" s="17">
        <f>'Main inputs'!H35*'Main inputs'!H54</f>
        <v>60.440688000000002</v>
      </c>
      <c r="W16" s="17">
        <f>'Main inputs'!I35*'Main inputs'!I54</f>
        <v>395.74259999999998</v>
      </c>
      <c r="X16" s="17">
        <f>'Main inputs'!J35*'Main inputs'!J54</f>
        <v>15.110172</v>
      </c>
      <c r="Y16" s="17">
        <f>'Main inputs'!K35*'Main inputs'!K54</f>
        <v>7.1953200000000015</v>
      </c>
      <c r="Z16" s="17">
        <f>'Main inputs'!L35*'Main inputs'!L54</f>
        <v>179.88299999999998</v>
      </c>
      <c r="AA16" s="17">
        <f>'Main inputs'!M35*'Main inputs'!M54</f>
        <v>71.953199999999995</v>
      </c>
      <c r="AB16" s="17">
        <f>'Main inputs'!N35*'Main inputs'!N54</f>
        <v>15.110172</v>
      </c>
      <c r="AC16" s="17">
        <f>'Main inputs'!C63*'Main inputs'!C82</f>
        <v>9.8106624</v>
      </c>
      <c r="AD16" s="17">
        <f>'Main inputs'!D63*'Main inputs'!D82</f>
        <v>9.1766400000000008</v>
      </c>
      <c r="AE16" s="17">
        <f>'Main inputs'!E63*'Main inputs'!E82</f>
        <v>62.567999999999991</v>
      </c>
      <c r="AF16" s="17">
        <f>'Main inputs'!F63*'Main inputs'!F82</f>
        <v>93.85199999999999</v>
      </c>
      <c r="AG16" s="17">
        <f>'Main inputs'!G63*'Main inputs'!G82</f>
        <v>16.818278400000001</v>
      </c>
      <c r="AH16" s="17">
        <f>'Main inputs'!H63*'Main inputs'!H82</f>
        <v>100.10879999999999</v>
      </c>
      <c r="AI16" s="17">
        <f>'Main inputs'!I63*'Main inputs'!I82</f>
        <v>375.40799999999996</v>
      </c>
      <c r="AJ16" s="17">
        <f>'Main inputs'!J63*'Main inputs'!J82</f>
        <v>375.40799999999996</v>
      </c>
      <c r="AK16" s="17">
        <f>'Main inputs'!K63*'Main inputs'!K82</f>
        <v>75.081599999999995</v>
      </c>
      <c r="AL16" s="17">
        <f>'Main inputs'!L63*'Main inputs'!L82</f>
        <v>8.4091392000000003</v>
      </c>
      <c r="AM16" s="17">
        <f>'Main inputs'!M63*'Main inputs'!M82</f>
        <v>12.513599999999999</v>
      </c>
      <c r="AN16" s="17">
        <f>'Main inputs'!N63*'Main inputs'!N82</f>
        <v>183.53279999999998</v>
      </c>
      <c r="AO16" s="17">
        <f>'Main inputs'!O63*'Main inputs'!O82</f>
        <v>66.739199999999997</v>
      </c>
      <c r="AP16" s="17">
        <f>'Main inputs'!P63*'Main inputs'!P82</f>
        <v>100.10879999999999</v>
      </c>
      <c r="AQ16" s="17">
        <f>'Main inputs'!Q63*'Main inputs'!Q82</f>
        <v>8.4091392000000003</v>
      </c>
      <c r="AR16" s="17">
        <f>'Main inputs'!C91*'Main inputs'!C110</f>
        <v>101.17245600000001</v>
      </c>
      <c r="AS16" s="17">
        <f>'Main inputs'!D91*'Main inputs'!D110</f>
        <v>17.206200000000003</v>
      </c>
      <c r="AT16" s="17">
        <f>'Main inputs'!E91*'Main inputs'!E110</f>
        <v>117.31499999999998</v>
      </c>
      <c r="AU16" s="17">
        <f>'Main inputs'!F91*'Main inputs'!F110</f>
        <v>35.194499999999998</v>
      </c>
      <c r="AV16" s="17">
        <f>'Main inputs'!G91*'Main inputs'!G110</f>
        <v>115.625664</v>
      </c>
      <c r="AW16" s="17">
        <f>'Main inputs'!H91*'Main inputs'!H110</f>
        <v>23.462999999999997</v>
      </c>
      <c r="AX16" s="17">
        <f>'Main inputs'!I91*'Main inputs'!I110</f>
        <v>15.641999999999999</v>
      </c>
      <c r="AY16" s="17">
        <f>'Main inputs'!J91*'Main inputs'!J110</f>
        <v>344.12399999999997</v>
      </c>
      <c r="AZ16" s="17">
        <f>'Main inputs'!K91*'Main inputs'!K110</f>
        <v>250.27199999999999</v>
      </c>
      <c r="BA16" s="17">
        <f>'Main inputs'!L91*'Main inputs'!L110</f>
        <v>101.17245600000001</v>
      </c>
      <c r="BB16" s="17">
        <f>'Main inputs'!M91*'Main inputs'!M110</f>
        <v>17.206200000000003</v>
      </c>
      <c r="BC16" s="17">
        <f>'Main inputs'!N91*'Main inputs'!N110</f>
        <v>140.77799999999999</v>
      </c>
      <c r="BD16" s="17">
        <f>'Main inputs'!O91*'Main inputs'!O110</f>
        <v>35.194499999999998</v>
      </c>
      <c r="BE16" s="17">
        <f>'Main inputs'!P91*'Main inputs'!P110</f>
        <v>101.17245600000001</v>
      </c>
    </row>
    <row r="17" spans="1:69" ht="15.75" customHeight="1" outlineLevel="2" x14ac:dyDescent="0.15">
      <c r="B17" s="204" t="s">
        <v>118</v>
      </c>
      <c r="C17" s="17">
        <f>'Main inputs'!C26*'Main inputs'!C8</f>
        <v>227.83511519999999</v>
      </c>
      <c r="D17" s="17">
        <f>'Main inputs'!D26*'Main inputs'!D8</f>
        <v>18.082152000000001</v>
      </c>
      <c r="E17" s="17">
        <f>'Main inputs'!E26*'Main inputs'!E8</f>
        <v>165.75306</v>
      </c>
      <c r="F17" s="17">
        <f>'Main inputs'!F26*'Main inputs'!F8</f>
        <v>6780.8069999999989</v>
      </c>
      <c r="G17" s="17">
        <f>'Main inputs'!G26*'Main inputs'!G8</f>
        <v>455.67023039999998</v>
      </c>
      <c r="H17" s="17">
        <f>'Main inputs'!H26*'Main inputs'!H8</f>
        <v>497.25917999999996</v>
      </c>
      <c r="I17" s="17">
        <f>'Main inputs'!I26*'Main inputs'!I8</f>
        <v>2147.2555499999994</v>
      </c>
      <c r="J17" s="17">
        <f>'Main inputs'!J26*'Main inputs'!J8</f>
        <v>4972.5917999999992</v>
      </c>
      <c r="K17" s="17">
        <f>'Main inputs'!K26*'Main inputs'!K8</f>
        <v>339.04034999999993</v>
      </c>
      <c r="L17" s="17">
        <f>'Main inputs'!L26*'Main inputs'!L8</f>
        <v>189.862596</v>
      </c>
      <c r="M17" s="17">
        <f>'Main inputs'!M26*'Main inputs'!M8</f>
        <v>56.506724999999989</v>
      </c>
      <c r="N17" s="17">
        <f>'Main inputs'!N26*'Main inputs'!N8</f>
        <v>18.082152000000001</v>
      </c>
      <c r="O17" s="17">
        <f>'Main inputs'!O26*'Main inputs'!O8</f>
        <v>2260.2689999999998</v>
      </c>
      <c r="P17" s="17">
        <f>'Main inputs'!P26*'Main inputs'!P8</f>
        <v>189.862596</v>
      </c>
      <c r="Q17" s="17">
        <f>'Main inputs'!C36*'Main inputs'!C54</f>
        <v>45.987480000000005</v>
      </c>
      <c r="R17" s="17">
        <f>'Main inputs'!D36*'Main inputs'!D54</f>
        <v>82.120500000000007</v>
      </c>
      <c r="S17" s="17">
        <f>'Main inputs'!E36*'Main inputs'!E54</f>
        <v>513.25312500000007</v>
      </c>
      <c r="T17" s="17">
        <f>'Main inputs'!F36*'Main inputs'!F54</f>
        <v>1026.5062499999999</v>
      </c>
      <c r="U17" s="17">
        <f>'Main inputs'!G36*'Main inputs'!G54</f>
        <v>410.60249999999996</v>
      </c>
      <c r="V17" s="17">
        <f>'Main inputs'!H36*'Main inputs'!H54</f>
        <v>137.96243999999999</v>
      </c>
      <c r="W17" s="17">
        <f>'Main inputs'!I36*'Main inputs'!I54</f>
        <v>903.32550000000003</v>
      </c>
      <c r="X17" s="17">
        <f>'Main inputs'!J36*'Main inputs'!J54</f>
        <v>34.490609999999997</v>
      </c>
      <c r="Y17" s="17">
        <f>'Main inputs'!K36*'Main inputs'!K54</f>
        <v>16.424100000000003</v>
      </c>
      <c r="Z17" s="17">
        <f>'Main inputs'!L36*'Main inputs'!L54</f>
        <v>410.60249999999996</v>
      </c>
      <c r="AA17" s="17">
        <f>'Main inputs'!M36*'Main inputs'!M54</f>
        <v>164.24099999999999</v>
      </c>
      <c r="AB17" s="17">
        <f>'Main inputs'!N36*'Main inputs'!N54</f>
        <v>34.490609999999997</v>
      </c>
      <c r="AC17" s="17">
        <f>'Main inputs'!C64*'Main inputs'!C82</f>
        <v>45.987479999999998</v>
      </c>
      <c r="AD17" s="17">
        <f>'Main inputs'!D64*'Main inputs'!D82</f>
        <v>43.015500000000003</v>
      </c>
      <c r="AE17" s="17">
        <f>'Main inputs'!E64*'Main inputs'!E82</f>
        <v>293.28749999999997</v>
      </c>
      <c r="AF17" s="17">
        <f>'Main inputs'!F64*'Main inputs'!F82</f>
        <v>439.93124999999992</v>
      </c>
      <c r="AG17" s="17">
        <f>'Main inputs'!G64*'Main inputs'!G82</f>
        <v>78.835679999999996</v>
      </c>
      <c r="AH17" s="17">
        <f>'Main inputs'!H64*'Main inputs'!H82</f>
        <v>469.25999999999993</v>
      </c>
      <c r="AI17" s="17">
        <f>'Main inputs'!I64*'Main inputs'!I82</f>
        <v>1759.7249999999997</v>
      </c>
      <c r="AJ17" s="17">
        <f>'Main inputs'!J64*'Main inputs'!J82</f>
        <v>1759.7249999999997</v>
      </c>
      <c r="AK17" s="17">
        <f>'Main inputs'!K64*'Main inputs'!K82</f>
        <v>351.94499999999994</v>
      </c>
      <c r="AL17" s="17">
        <f>'Main inputs'!L64*'Main inputs'!L82</f>
        <v>39.417839999999998</v>
      </c>
      <c r="AM17" s="17">
        <f>'Main inputs'!M64*'Main inputs'!M82</f>
        <v>58.657499999999992</v>
      </c>
      <c r="AN17" s="17">
        <f>'Main inputs'!N64*'Main inputs'!N82</f>
        <v>860.31</v>
      </c>
      <c r="AO17" s="17">
        <f>'Main inputs'!O64*'Main inputs'!O82</f>
        <v>312.83999999999997</v>
      </c>
      <c r="AP17" s="17">
        <f>'Main inputs'!P64*'Main inputs'!P82</f>
        <v>469.25999999999993</v>
      </c>
      <c r="AQ17" s="17">
        <f>'Main inputs'!Q64*'Main inputs'!Q82</f>
        <v>39.417839999999998</v>
      </c>
      <c r="AR17" s="17">
        <f>'Main inputs'!C92*'Main inputs'!C110</f>
        <v>168.62076000000002</v>
      </c>
      <c r="AS17" s="17">
        <f>'Main inputs'!D92*'Main inputs'!D110</f>
        <v>28.677000000000007</v>
      </c>
      <c r="AT17" s="17">
        <f>'Main inputs'!E92*'Main inputs'!E110</f>
        <v>195.52499999999998</v>
      </c>
      <c r="AU17" s="17">
        <f>'Main inputs'!F92*'Main inputs'!F110</f>
        <v>58.657499999999999</v>
      </c>
      <c r="AV17" s="17">
        <f>'Main inputs'!G92*'Main inputs'!G110</f>
        <v>192.70944000000003</v>
      </c>
      <c r="AW17" s="17">
        <f>'Main inputs'!H92*'Main inputs'!H110</f>
        <v>39.104999999999997</v>
      </c>
      <c r="AX17" s="17">
        <f>'Main inputs'!I92*'Main inputs'!I110</f>
        <v>26.07</v>
      </c>
      <c r="AY17" s="17">
        <f>'Main inputs'!J92*'Main inputs'!J110</f>
        <v>573.54</v>
      </c>
      <c r="AZ17" s="17">
        <f>'Main inputs'!K92*'Main inputs'!K110</f>
        <v>417.12</v>
      </c>
      <c r="BA17" s="17">
        <f>'Main inputs'!L92*'Main inputs'!L110</f>
        <v>168.62076000000002</v>
      </c>
      <c r="BB17" s="17">
        <f>'Main inputs'!M92*'Main inputs'!M110</f>
        <v>28.677000000000007</v>
      </c>
      <c r="BC17" s="17">
        <f>'Main inputs'!N92*'Main inputs'!N110</f>
        <v>234.63</v>
      </c>
      <c r="BD17" s="17">
        <f>'Main inputs'!O92*'Main inputs'!O110</f>
        <v>58.657499999999999</v>
      </c>
      <c r="BE17" s="17">
        <f>'Main inputs'!P92*'Main inputs'!P110</f>
        <v>168.62076000000002</v>
      </c>
    </row>
    <row r="18" spans="1:69" ht="15.75" customHeight="1" outlineLevel="2" x14ac:dyDescent="0.15">
      <c r="B18" s="204"/>
      <c r="Q18" s="17"/>
      <c r="AC18" s="17"/>
      <c r="AD18" s="17"/>
      <c r="AE18" s="17"/>
      <c r="AF18" s="17"/>
      <c r="AG18" s="17"/>
      <c r="AH18" s="17"/>
      <c r="AI18" s="17"/>
      <c r="AJ18" s="17"/>
      <c r="AK18" s="17"/>
      <c r="AL18" s="17"/>
      <c r="AM18" s="17"/>
      <c r="AN18" s="17"/>
      <c r="AO18" s="17"/>
      <c r="AP18" s="17"/>
      <c r="AQ18" s="17"/>
      <c r="AR18" s="17"/>
      <c r="AS18" s="17"/>
      <c r="AT18" s="17"/>
      <c r="AU18" s="17"/>
      <c r="AV18" s="17"/>
      <c r="AW18" s="17"/>
      <c r="AX18" s="17"/>
      <c r="AY18" s="17"/>
      <c r="AZ18" s="17"/>
      <c r="BA18" s="17"/>
      <c r="BB18" s="17"/>
      <c r="BC18" s="17"/>
      <c r="BD18" s="17"/>
      <c r="BE18" s="17"/>
    </row>
    <row r="19" spans="1:69" ht="15.75" customHeight="1" outlineLevel="1" x14ac:dyDescent="0.15">
      <c r="B19" s="204"/>
      <c r="Q19" s="17"/>
      <c r="AC19" s="17"/>
      <c r="AD19" s="17"/>
      <c r="AE19" s="17"/>
      <c r="AF19" s="17"/>
      <c r="AG19" s="17"/>
      <c r="AH19" s="17"/>
      <c r="AI19" s="17"/>
      <c r="AJ19" s="17"/>
      <c r="AK19" s="17"/>
      <c r="AL19" s="17"/>
      <c r="AM19" s="17"/>
      <c r="AN19" s="17"/>
      <c r="AO19" s="17"/>
      <c r="AP19" s="17"/>
      <c r="AQ19" s="17"/>
      <c r="AR19" s="17"/>
      <c r="AS19" s="17"/>
      <c r="AT19" s="17"/>
      <c r="AU19" s="17"/>
      <c r="AV19" s="17"/>
      <c r="AW19" s="17"/>
      <c r="AX19" s="17"/>
      <c r="AY19" s="17"/>
      <c r="AZ19" s="17"/>
      <c r="BA19" s="17"/>
      <c r="BB19" s="17"/>
      <c r="BC19" s="17"/>
      <c r="BD19" s="17"/>
      <c r="BE19" s="17"/>
    </row>
    <row r="20" spans="1:69" ht="15.75" customHeight="1" outlineLevel="1" x14ac:dyDescent="0.15">
      <c r="B20" s="210" t="s">
        <v>119</v>
      </c>
      <c r="C20" s="209">
        <f t="shared" ref="C20:Z20" si="5">SUM(C12:C15)</f>
        <v>792.90361445783128</v>
      </c>
      <c r="D20" s="209">
        <f t="shared" si="5"/>
        <v>636.3592604337349</v>
      </c>
      <c r="E20" s="209">
        <f t="shared" si="5"/>
        <v>819.03016843373496</v>
      </c>
      <c r="F20" s="209">
        <f t="shared" si="5"/>
        <v>8060.5901325301193</v>
      </c>
      <c r="G20" s="209">
        <f t="shared" si="5"/>
        <v>1262.7831325301204</v>
      </c>
      <c r="H20" s="209">
        <f t="shared" si="5"/>
        <v>2760.8013486746986</v>
      </c>
      <c r="I20" s="209">
        <f t="shared" si="5"/>
        <v>4410.7977186746975</v>
      </c>
      <c r="J20" s="209">
        <f t="shared" si="5"/>
        <v>7236.1339686746978</v>
      </c>
      <c r="K20" s="209">
        <f t="shared" si="5"/>
        <v>2602.5825186746983</v>
      </c>
      <c r="L20" s="209">
        <f t="shared" si="5"/>
        <v>714.59036144578317</v>
      </c>
      <c r="M20" s="209">
        <f t="shared" si="5"/>
        <v>683.78383343373491</v>
      </c>
      <c r="N20" s="209">
        <f t="shared" si="5"/>
        <v>629.3592604337349</v>
      </c>
      <c r="O20" s="209">
        <f t="shared" si="5"/>
        <v>3256.7991204819273</v>
      </c>
      <c r="P20" s="209">
        <f t="shared" si="5"/>
        <v>714.59036144578317</v>
      </c>
      <c r="Q20" s="209">
        <f t="shared" si="5"/>
        <v>720.27090071199245</v>
      </c>
      <c r="R20" s="209">
        <f t="shared" si="5"/>
        <v>784.39140071199245</v>
      </c>
      <c r="S20" s="209">
        <f t="shared" si="5"/>
        <v>1225.5240257119926</v>
      </c>
      <c r="T20" s="209">
        <f t="shared" si="5"/>
        <v>2553.2707593648929</v>
      </c>
      <c r="U20" s="209">
        <f t="shared" si="5"/>
        <v>1917.3670093648932</v>
      </c>
      <c r="V20" s="209">
        <f t="shared" si="5"/>
        <v>1514.7645093648932</v>
      </c>
      <c r="W20" s="209">
        <f t="shared" si="5"/>
        <v>3670.8304223442442</v>
      </c>
      <c r="X20" s="209">
        <f t="shared" si="5"/>
        <v>620.95919963038</v>
      </c>
      <c r="Y20" s="209">
        <f t="shared" si="5"/>
        <v>711.69500071199241</v>
      </c>
      <c r="Z20" s="209">
        <f t="shared" si="5"/>
        <v>1131.4734007119923</v>
      </c>
      <c r="AA20" s="209">
        <f>SUM(AA12:AA15)</f>
        <v>885.11190071199246</v>
      </c>
      <c r="AB20" s="209">
        <f t="shared" ref="AB20:BE20" si="6">SUM(AB12:AB15)</f>
        <v>620.95919963038</v>
      </c>
      <c r="AC20" s="209">
        <f t="shared" si="6"/>
        <v>718.31821403260096</v>
      </c>
      <c r="AD20" s="209">
        <f t="shared" si="6"/>
        <v>470.98077285613044</v>
      </c>
      <c r="AE20" s="209">
        <f t="shared" si="6"/>
        <v>957.13512579730673</v>
      </c>
      <c r="AF20" s="209">
        <f t="shared" si="6"/>
        <v>1113.7788757973067</v>
      </c>
      <c r="AG20" s="209">
        <f t="shared" si="6"/>
        <v>1000.6711552090716</v>
      </c>
      <c r="AH20" s="209">
        <f t="shared" si="6"/>
        <v>2189.7782140326008</v>
      </c>
      <c r="AI20" s="209">
        <f t="shared" si="6"/>
        <v>3499.0432140326006</v>
      </c>
      <c r="AJ20" s="209">
        <f t="shared" si="6"/>
        <v>3508.4432140326007</v>
      </c>
      <c r="AK20" s="209">
        <f t="shared" si="6"/>
        <v>2053.663214032601</v>
      </c>
      <c r="AL20" s="209">
        <f t="shared" si="6"/>
        <v>661.84762579730682</v>
      </c>
      <c r="AM20" s="209">
        <f t="shared" si="6"/>
        <v>550.62277285613038</v>
      </c>
      <c r="AN20" s="209">
        <f t="shared" si="6"/>
        <v>2156.863508150248</v>
      </c>
      <c r="AO20" s="209">
        <f t="shared" si="6"/>
        <v>1549.393508150248</v>
      </c>
      <c r="AP20" s="209">
        <f t="shared" si="6"/>
        <v>1705.813508150248</v>
      </c>
      <c r="AQ20" s="209">
        <f t="shared" si="6"/>
        <v>661.84762579730682</v>
      </c>
      <c r="AR20" s="209">
        <f t="shared" si="6"/>
        <v>999.81967649603939</v>
      </c>
      <c r="AS20" s="209">
        <f t="shared" si="6"/>
        <v>537.0712621313985</v>
      </c>
      <c r="AT20" s="209">
        <f t="shared" si="6"/>
        <v>1095.659593623111</v>
      </c>
      <c r="AU20" s="209">
        <f t="shared" si="6"/>
        <v>953.79209362311121</v>
      </c>
      <c r="AV20" s="209">
        <f t="shared" si="6"/>
        <v>1096.5047593689676</v>
      </c>
      <c r="AW20" s="209">
        <f t="shared" si="6"/>
        <v>611.49926213139861</v>
      </c>
      <c r="AX20" s="209">
        <f t="shared" si="6"/>
        <v>554.46426213139864</v>
      </c>
      <c r="AY20" s="209">
        <f t="shared" si="6"/>
        <v>2535.525422352393</v>
      </c>
      <c r="AZ20" s="209">
        <f t="shared" si="6"/>
        <v>2284.1054223523929</v>
      </c>
      <c r="BA20" s="209">
        <f t="shared" si="6"/>
        <v>999.81967649603939</v>
      </c>
      <c r="BB20" s="209">
        <f t="shared" si="6"/>
        <v>537.0712621313985</v>
      </c>
      <c r="BC20" s="209">
        <f t="shared" si="6"/>
        <v>1134.7645936231111</v>
      </c>
      <c r="BD20" s="209">
        <f t="shared" si="6"/>
        <v>953.79209362311121</v>
      </c>
      <c r="BE20" s="209">
        <f t="shared" si="6"/>
        <v>999.81967649603939</v>
      </c>
    </row>
    <row r="21" spans="1:69" ht="15.75" customHeight="1" outlineLevel="1" x14ac:dyDescent="0.15">
      <c r="Q21" s="17"/>
      <c r="AC21" s="17"/>
      <c r="AD21" s="17"/>
      <c r="AE21" s="17"/>
      <c r="AF21" s="17"/>
      <c r="AG21" s="17"/>
      <c r="AH21" s="17"/>
      <c r="AI21" s="17"/>
      <c r="AJ21" s="17"/>
      <c r="AK21" s="17"/>
      <c r="AL21" s="17"/>
      <c r="AM21" s="17"/>
      <c r="AN21" s="17"/>
      <c r="AO21" s="17"/>
      <c r="AP21" s="17"/>
      <c r="AQ21" s="17"/>
      <c r="AR21" s="17"/>
      <c r="AS21" s="17"/>
      <c r="AT21" s="17"/>
      <c r="AU21" s="17"/>
      <c r="AV21" s="17"/>
      <c r="AW21" s="17"/>
      <c r="AX21" s="17"/>
      <c r="AY21" s="17"/>
      <c r="AZ21" s="17"/>
      <c r="BA21" s="17"/>
      <c r="BB21" s="17"/>
      <c r="BC21" s="17"/>
      <c r="BD21" s="17"/>
      <c r="BE21" s="17"/>
    </row>
    <row r="22" spans="1:69" ht="15.75" customHeight="1" outlineLevel="1" x14ac:dyDescent="0.15">
      <c r="B22" s="211" t="s">
        <v>120</v>
      </c>
      <c r="C22" s="212">
        <f>C9-C20</f>
        <v>1647.8963855421689</v>
      </c>
      <c r="D22" s="212">
        <f t="shared" ref="D22:Z22" si="7">D9-D20</f>
        <v>677.56873956626544</v>
      </c>
      <c r="E22" s="212">
        <f t="shared" si="7"/>
        <v>745.16983156626509</v>
      </c>
      <c r="F22" s="212">
        <f t="shared" si="7"/>
        <v>3670.9098674698789</v>
      </c>
      <c r="G22" s="212">
        <f t="shared" si="7"/>
        <v>-973.85956110154893</v>
      </c>
      <c r="H22" s="212">
        <f t="shared" si="7"/>
        <v>1931.7986513252999</v>
      </c>
      <c r="I22" s="212">
        <f t="shared" si="7"/>
        <v>1454.9522813253016</v>
      </c>
      <c r="J22" s="212">
        <f t="shared" si="7"/>
        <v>389.34103132530072</v>
      </c>
      <c r="K22" s="212">
        <f t="shared" si="7"/>
        <v>916.86748132530101</v>
      </c>
      <c r="L22" s="212">
        <f t="shared" si="7"/>
        <v>2609.9879518072294</v>
      </c>
      <c r="M22" s="212">
        <f t="shared" si="7"/>
        <v>619.71616656626509</v>
      </c>
      <c r="N22" s="212">
        <f t="shared" si="7"/>
        <v>341.19857089156653</v>
      </c>
      <c r="O22" s="212">
        <f t="shared" si="7"/>
        <v>653.70087951807272</v>
      </c>
      <c r="P22" s="212">
        <f t="shared" si="7"/>
        <v>2803.8096385542167</v>
      </c>
      <c r="Q22" s="212">
        <f t="shared" si="7"/>
        <v>3304.0457167904665</v>
      </c>
      <c r="R22" s="212">
        <f t="shared" si="7"/>
        <v>1066.068119464999</v>
      </c>
      <c r="S22" s="212">
        <f t="shared" si="7"/>
        <v>3441.0059742880071</v>
      </c>
      <c r="T22" s="212">
        <f t="shared" si="7"/>
        <v>946.62674063510622</v>
      </c>
      <c r="U22" s="212">
        <f t="shared" si="7"/>
        <v>1582.5304906351059</v>
      </c>
      <c r="V22" s="212">
        <f t="shared" si="7"/>
        <v>-1304.1935022009657</v>
      </c>
      <c r="W22" s="212">
        <f t="shared" si="7"/>
        <v>-2013.6089710168087</v>
      </c>
      <c r="X22" s="212">
        <f t="shared" si="7"/>
        <v>3927.0283765063714</v>
      </c>
      <c r="Y22" s="212">
        <f t="shared" si="7"/>
        <v>282.54962428800786</v>
      </c>
      <c r="Z22" s="212">
        <f t="shared" si="7"/>
        <v>2182.675349288008</v>
      </c>
      <c r="AA22" s="212">
        <f>AA9-AA20</f>
        <v>771.96247428800768</v>
      </c>
      <c r="AB22" s="212">
        <f t="shared" ref="AB22:BE22" si="8">AB9-AB20</f>
        <v>7062.9542713627379</v>
      </c>
      <c r="AC22" s="212">
        <f t="shared" si="8"/>
        <v>3439.8692859673993</v>
      </c>
      <c r="AD22" s="212">
        <f t="shared" si="8"/>
        <v>311.11922714387026</v>
      </c>
      <c r="AE22" s="212">
        <f t="shared" si="8"/>
        <v>450.64487420269438</v>
      </c>
      <c r="AF22" s="212">
        <f t="shared" si="8"/>
        <v>1232.5211242026894</v>
      </c>
      <c r="AG22" s="212">
        <f t="shared" si="8"/>
        <v>-678.6160123519287</v>
      </c>
      <c r="AH22" s="212">
        <f t="shared" si="8"/>
        <v>547.57178596739868</v>
      </c>
      <c r="AI22" s="212">
        <f t="shared" si="8"/>
        <v>4321.9567859673989</v>
      </c>
      <c r="AJ22" s="212">
        <f t="shared" si="8"/>
        <v>2748.3567859673985</v>
      </c>
      <c r="AK22" s="212">
        <f t="shared" si="8"/>
        <v>1074.7367859673986</v>
      </c>
      <c r="AL22" s="212">
        <f t="shared" si="8"/>
        <v>3490.1266599169785</v>
      </c>
      <c r="AM22" s="212">
        <f t="shared" si="8"/>
        <v>492.17722714386957</v>
      </c>
      <c r="AN22" s="212">
        <f t="shared" si="8"/>
        <v>6498.3764918497536</v>
      </c>
      <c r="AO22" s="212">
        <f t="shared" si="8"/>
        <v>14.806491849752092</v>
      </c>
      <c r="AP22" s="212">
        <f t="shared" si="8"/>
        <v>5082.814491849751</v>
      </c>
      <c r="AQ22" s="212">
        <f t="shared" si="8"/>
        <v>6621.777374202693</v>
      </c>
      <c r="AR22" s="212">
        <f t="shared" si="8"/>
        <v>1659.9808235039604</v>
      </c>
      <c r="AS22" s="212">
        <f t="shared" si="8"/>
        <v>980.20273786860093</v>
      </c>
      <c r="AT22" s="212">
        <f t="shared" si="8"/>
        <v>1749.2291563768872</v>
      </c>
      <c r="AU22" s="212">
        <f t="shared" si="8"/>
        <v>-271.01879362311161</v>
      </c>
      <c r="AV22" s="212">
        <f t="shared" si="8"/>
        <v>1555.343812059604</v>
      </c>
      <c r="AW22" s="212">
        <f t="shared" si="8"/>
        <v>2386.5507378686016</v>
      </c>
      <c r="AX22" s="212">
        <f t="shared" si="8"/>
        <v>944.56073786860145</v>
      </c>
      <c r="AY22" s="212">
        <f t="shared" si="8"/>
        <v>2860.9645776476068</v>
      </c>
      <c r="AZ22" s="212">
        <f t="shared" si="8"/>
        <v>6395.1189776476076</v>
      </c>
      <c r="BA22" s="212">
        <f t="shared" si="8"/>
        <v>1646.3503235039607</v>
      </c>
      <c r="BB22" s="212">
        <f t="shared" si="8"/>
        <v>3412.5337378686008</v>
      </c>
      <c r="BC22" s="212">
        <f t="shared" si="8"/>
        <v>3802.2416563768875</v>
      </c>
      <c r="BD22" s="212">
        <f t="shared" si="8"/>
        <v>428.56965637688836</v>
      </c>
      <c r="BE22" s="212">
        <f t="shared" si="8"/>
        <v>4080.5793235039609</v>
      </c>
    </row>
    <row r="23" spans="1:69" ht="15.75" customHeight="1" outlineLevel="1" x14ac:dyDescent="0.15">
      <c r="B23" s="213"/>
      <c r="Q23" s="17"/>
      <c r="AC23" s="17"/>
      <c r="AD23" s="17"/>
      <c r="AE23" s="17"/>
      <c r="AF23" s="17"/>
      <c r="AG23" s="17"/>
      <c r="AH23" s="17"/>
      <c r="AI23" s="17"/>
      <c r="AJ23" s="17"/>
      <c r="AK23" s="17"/>
      <c r="AL23" s="17"/>
      <c r="AM23" s="17"/>
      <c r="AN23" s="17"/>
      <c r="AO23" s="17"/>
      <c r="AP23" s="214"/>
      <c r="AR23" s="17"/>
      <c r="AS23" s="17"/>
      <c r="AT23" s="17"/>
      <c r="AU23" s="17"/>
      <c r="AV23" s="17"/>
      <c r="AW23" s="17"/>
      <c r="AX23" s="17"/>
      <c r="AY23" s="17"/>
      <c r="AZ23" s="17"/>
      <c r="BA23" s="17"/>
      <c r="BB23" s="17"/>
      <c r="BC23" s="17"/>
      <c r="BD23" s="17"/>
      <c r="BE23" s="17"/>
    </row>
    <row r="24" spans="1:69" ht="15.75" customHeight="1" outlineLevel="1" x14ac:dyDescent="0.15">
      <c r="B24" s="215" t="s">
        <v>121</v>
      </c>
      <c r="C24" s="216"/>
      <c r="D24" s="216"/>
      <c r="E24" s="216"/>
      <c r="F24" s="216"/>
      <c r="G24" s="216"/>
      <c r="H24" s="216"/>
      <c r="I24" s="216"/>
      <c r="J24" s="216"/>
      <c r="K24" s="216"/>
      <c r="L24" s="216"/>
      <c r="M24" s="216"/>
      <c r="N24" s="216"/>
      <c r="O24" s="216"/>
      <c r="P24" s="216"/>
      <c r="Q24" s="217"/>
      <c r="R24" s="216"/>
      <c r="S24" s="216"/>
      <c r="T24" s="216"/>
      <c r="U24" s="216"/>
      <c r="V24" s="216"/>
      <c r="W24" s="216"/>
      <c r="X24" s="216"/>
      <c r="Y24" s="216"/>
      <c r="Z24" s="216"/>
      <c r="AA24" s="216"/>
      <c r="AB24" s="216"/>
      <c r="AC24" s="217"/>
      <c r="AD24" s="217"/>
      <c r="AE24" s="217"/>
      <c r="AF24" s="217"/>
      <c r="AG24" s="217"/>
      <c r="AH24" s="217"/>
      <c r="AI24" s="217"/>
      <c r="AJ24" s="217"/>
      <c r="AK24" s="217"/>
      <c r="AL24" s="217"/>
      <c r="AM24" s="217"/>
      <c r="AN24" s="217"/>
      <c r="AO24" s="217"/>
      <c r="AP24" s="217"/>
      <c r="AQ24" s="217"/>
      <c r="AR24" s="217"/>
      <c r="AS24" s="217"/>
      <c r="AT24" s="217"/>
      <c r="AU24" s="217"/>
      <c r="AV24" s="217"/>
      <c r="AW24" s="217"/>
      <c r="AX24" s="217"/>
      <c r="AY24" s="217"/>
      <c r="AZ24" s="217"/>
      <c r="BA24" s="217"/>
      <c r="BB24" s="217"/>
      <c r="BC24" s="217"/>
      <c r="BD24" s="217"/>
      <c r="BE24" s="17"/>
    </row>
    <row r="25" spans="1:69" ht="15.75" customHeight="1" outlineLevel="1" x14ac:dyDescent="0.15">
      <c r="B25" s="218" t="s">
        <v>122</v>
      </c>
      <c r="C25" s="209">
        <f>IF(C30="Standalone",'Main inputs'!C15)</f>
        <v>2361</v>
      </c>
      <c r="D25" s="209" cm="1">
        <f t="array" ref="D25">_xlfn.IFS(D30="Mini-grid",'Main inputs'!D18,D30="Grid",'Main inputs'!D18)</f>
        <v>1566</v>
      </c>
      <c r="E25" s="209" cm="1">
        <f t="array" ref="E25">_xlfn.IFS(E30="Mini-grid",'Main inputs'!E18,E30="Grid",'Main inputs'!E18)</f>
        <v>2420</v>
      </c>
      <c r="F25" s="209" cm="1">
        <f t="array" ref="F25">_xlfn.IFS(F30="Mini-grid",'Main inputs'!F18,F30="Grid",'Main inputs'!F18)</f>
        <v>3000</v>
      </c>
      <c r="G25" s="209">
        <f>IF(G30="Standalone",'Main inputs'!G15)</f>
        <v>2361</v>
      </c>
      <c r="H25" s="209" cm="1">
        <f t="array" ref="H25">_xlfn.IFS(H30="Mini-grid",'Main inputs'!H18,H30="Grid",'Main inputs'!H18)</f>
        <v>3250</v>
      </c>
      <c r="I25" s="209" cm="1">
        <f t="array" ref="I25">_xlfn.IFS(I30="Mini-grid",'Main inputs'!I18,I30="Grid",'Main inputs'!I18)</f>
        <v>2000</v>
      </c>
      <c r="J25" s="209" cm="1">
        <f t="array" ref="J25">_xlfn.IFS(J30="Mini-grid",'Main inputs'!J18,J30="Grid",'Main inputs'!J18)</f>
        <v>285</v>
      </c>
      <c r="K25" s="209" cm="1">
        <f t="array" ref="K25">_xlfn.IFS(K30="Mini-grid",'Main inputs'!K18,K30="Grid",'Main inputs'!K18)</f>
        <v>2000</v>
      </c>
      <c r="L25" s="209">
        <f>IF(L30="Standalone",'Main inputs'!L15)</f>
        <v>2361</v>
      </c>
      <c r="M25" s="209" cm="1">
        <f t="array" ref="M25">_xlfn.IFS(M30="Mini-grid",'Main inputs'!M18,M30="Grid",'Main inputs'!M18)</f>
        <v>1473</v>
      </c>
      <c r="N25" s="209" cm="1">
        <f t="array" ref="N25">_xlfn.IFS(N30="Mini-grid",'Main inputs'!N18,N30="Grid",'Main inputs'!N18)</f>
        <v>3614</v>
      </c>
      <c r="O25" s="209" cm="1">
        <f t="array" ref="O25">_xlfn.IFS(O30="Mini-grid",'Main inputs'!O18,O30="Grid",'Main inputs'!O18)</f>
        <v>1807</v>
      </c>
      <c r="P25" s="209">
        <f>IF(P30="Standalone",'Main inputs'!P15)</f>
        <v>2361</v>
      </c>
      <c r="Q25" s="209">
        <f>IF(Q30="Standalone",'Main inputs'!C43)</f>
        <v>738</v>
      </c>
      <c r="R25" s="209" cm="1">
        <f t="array" ref="R25">_xlfn.IFS(R30="Mini-grid",'Main inputs'!D46,R30="Grid",'Main inputs'!D46)</f>
        <v>1660</v>
      </c>
      <c r="S25" s="209" cm="1">
        <f t="array" ref="S25">_xlfn.IFS(S30="Mini-grid",'Main inputs'!E46,S30="Grid",'Main inputs'!E46)</f>
        <v>2500</v>
      </c>
      <c r="T25" s="209" cm="1">
        <f t="array" ref="T25">_xlfn.IFS(T30="Mini-grid",'Main inputs'!F46,T30="Grid",'Main inputs'!F46)</f>
        <v>2662</v>
      </c>
      <c r="U25" s="209" cm="1">
        <f t="array" ref="U25">_xlfn.IFS(U30="Mini-grid",'Main inputs'!G46,U30="Grid",'Main inputs'!G46)</f>
        <v>1597</v>
      </c>
      <c r="V25" s="209">
        <f>IF(V30="Standalone",'Main inputs'!H43)</f>
        <v>738</v>
      </c>
      <c r="W25" s="209" cm="1">
        <f t="array" ref="W25">_xlfn.IFS(W30="Mini-grid",'Main inputs'!I46,W30="Grid",'Main inputs'!I46)</f>
        <v>885</v>
      </c>
      <c r="X25" s="209">
        <f>IF(X30="Standalone",'Main inputs'!J43)</f>
        <v>738</v>
      </c>
      <c r="Y25" s="209" cm="1">
        <f t="array" ref="Y25">_xlfn.IFS(Y30="Mini-grid",'Main inputs'!K46,Y30="Grid",'Main inputs'!K46)</f>
        <v>1200</v>
      </c>
      <c r="Z25" s="209" cm="1">
        <f t="array" ref="Z25">_xlfn.IFS(Z30="Mini-grid",'Main inputs'!L46,Z30="Grid",'Main inputs'!L46)</f>
        <v>2263</v>
      </c>
      <c r="AA25" s="209" cm="1">
        <f t="array" ref="AA25">_xlfn.IFS(AA30="Mini-grid",'Main inputs'!M46,AA30="Grid",'Main inputs'!M46)</f>
        <v>879</v>
      </c>
      <c r="AB25" s="209">
        <f>IF(AB30="Standalone",'Main inputs'!N43)</f>
        <v>738</v>
      </c>
      <c r="AC25" s="209">
        <f>IF(AC30="Standalone",'Main inputs'!C71)</f>
        <v>738</v>
      </c>
      <c r="AD25" s="209" cm="1">
        <f t="array" ref="AD25">_xlfn.IFS(AD30="Mini-grid",'Main inputs'!D74,AD30="Grid",'Main inputs'!D74)</f>
        <v>1118</v>
      </c>
      <c r="AE25" s="209" cm="1">
        <f t="array" ref="AE25">_xlfn.IFS(AE30="Mini-grid",'Main inputs'!E74,AE30="Grid",'Main inputs'!E74)</f>
        <v>894</v>
      </c>
      <c r="AF25" s="209" cm="1">
        <f t="array" ref="AF25">_xlfn.IFS(AF30="Mini-grid",'Main inputs'!F74,AF30="Grid",'Main inputs'!F74)</f>
        <v>1888</v>
      </c>
      <c r="AG25" s="209">
        <f>IF(AG30="Standalone",'Main inputs'!G71)</f>
        <v>738</v>
      </c>
      <c r="AH25" s="209" cm="1">
        <f t="array" ref="AH25">_xlfn.IFS(AH30="Mini-grid",'Main inputs'!H74,AH30="Grid",'Main inputs'!H74)</f>
        <v>2329</v>
      </c>
      <c r="AI25" s="209" cm="1">
        <f t="array" ref="AI25">_xlfn.IFS(AI30="Mini-grid",'Main inputs'!I74,AI30="Grid",'Main inputs'!I74)</f>
        <v>4550</v>
      </c>
      <c r="AJ25" s="209" cm="1">
        <f t="array" ref="AJ25">_xlfn.IFS(AJ30="Mini-grid",'Main inputs'!J74,AJ30="Grid",'Main inputs'!J74)</f>
        <v>1888</v>
      </c>
      <c r="AK25" s="209" cm="1">
        <f t="array" ref="AK25">_xlfn.IFS(AK30="Mini-grid",'Main inputs'!K74,AK30="Grid",'Main inputs'!K74)</f>
        <v>2329</v>
      </c>
      <c r="AL25" s="209">
        <f>IF(AL30="Standalone",'Main inputs'!L71)</f>
        <v>738</v>
      </c>
      <c r="AM25" s="209" cm="1">
        <f t="array" ref="AM25">_xlfn.IFS(AM30="Mini-grid",'Main inputs'!M74,AM30="Grid",'Main inputs'!M74)</f>
        <v>1778</v>
      </c>
      <c r="AN25" s="209" cm="1">
        <f t="array" ref="AN25">_xlfn.IFS(AN30="Mini-grid",'Main inputs'!N74,AN30="Grid",'Main inputs'!N74)</f>
        <v>2059</v>
      </c>
      <c r="AO25" s="209" cm="1">
        <f t="array" ref="AO25">_xlfn.IFS(AO30="Mini-grid",'Main inputs'!O74,AO30="Grid",'Main inputs'!O74)</f>
        <v>900</v>
      </c>
      <c r="AP25" s="209" cm="1">
        <f t="array" ref="AP25">_xlfn.IFS(AP30="Mini-grid",'Main inputs'!P74,AP30="Grid",'Main inputs'!P74)</f>
        <v>2000</v>
      </c>
      <c r="AQ25" s="209">
        <f>IF(AQ30="Standalone",'Main inputs'!Q71)</f>
        <v>738</v>
      </c>
      <c r="AR25" s="209">
        <f>IF(AR30="Standalone",'Main inputs'!C99)</f>
        <v>690</v>
      </c>
      <c r="AS25" s="209" cm="1">
        <f t="array" ref="AS25">_xlfn.IFS(AS30="Mini-grid",'Main inputs'!D102,AS30="Grid",'Main inputs'!D102)</f>
        <v>1880</v>
      </c>
      <c r="AT25" s="209" cm="1">
        <f t="array" ref="AT25">_xlfn.IFS(AT30="Mini-grid",'Main inputs'!E102,AT30="Grid",'Main inputs'!E102)</f>
        <v>2400</v>
      </c>
      <c r="AU25" s="209" cm="1">
        <f t="array" ref="AU25">_xlfn.IFS(AU30="Mini-grid",'Main inputs'!F102,AU30="Grid",'Main inputs'!F102)</f>
        <v>285</v>
      </c>
      <c r="AV25" s="209">
        <f>IF(AV30="Standalone",'Main inputs'!G99)</f>
        <v>690</v>
      </c>
      <c r="AW25" s="209" cm="1">
        <f t="array" ref="AW25">_xlfn.IFS(AW30="Mini-grid",'Main inputs'!H102,AW30="Grid",'Main inputs'!H102)</f>
        <v>1675</v>
      </c>
      <c r="AX25" s="209" cm="1">
        <f t="array" ref="AX25">_xlfn.IFS(AX30="Mini-grid",'Main inputs'!I102,AX30="Grid",'Main inputs'!I102)</f>
        <v>900</v>
      </c>
      <c r="AY25" s="209" cm="1">
        <f t="array" ref="AY25">_xlfn.IFS(AY30="Mini-grid",'Main inputs'!J102,AY30="Grid",'Main inputs'!J102)</f>
        <v>2500</v>
      </c>
      <c r="AZ25" s="209" cm="1">
        <f t="array" ref="AZ25">_xlfn.IFS(AZ30="Mini-grid",'Main inputs'!K102,AZ30="Grid",'Main inputs'!K102)</f>
        <v>2000</v>
      </c>
      <c r="BA25" s="209">
        <f>IF(BA30="Standalone",'Main inputs'!L99)</f>
        <v>690</v>
      </c>
      <c r="BB25" s="209" cm="1">
        <f t="array" ref="BB25">_xlfn.IFS(BB30="Mini-grid",'Main inputs'!M102,BB30="Grid",'Main inputs'!M102)</f>
        <v>1880</v>
      </c>
      <c r="BC25" s="209" cm="1">
        <f t="array" ref="BC25">_xlfn.IFS(BC30="Mini-grid",'Main inputs'!N102,BC30="Grid",'Main inputs'!N102)</f>
        <v>2000</v>
      </c>
      <c r="BD25" s="209" cm="1">
        <f t="array" ref="BD25">_xlfn.IFS(BD30="Mini-grid",'Main inputs'!O102,BD30="Grid",'Main inputs'!O102)</f>
        <v>285</v>
      </c>
      <c r="BE25" s="209">
        <f>IF(BE30="Standalone",'Main inputs'!P99)</f>
        <v>690</v>
      </c>
      <c r="BF25" s="208"/>
      <c r="BG25" s="208"/>
      <c r="BH25" s="208"/>
      <c r="BI25" s="208"/>
      <c r="BJ25" s="208"/>
      <c r="BK25" s="208"/>
      <c r="BL25" s="208"/>
      <c r="BM25" s="208"/>
      <c r="BN25" s="208"/>
      <c r="BO25" s="208"/>
      <c r="BP25" s="208"/>
      <c r="BQ25" s="208"/>
    </row>
    <row r="26" spans="1:69" ht="15.75" customHeight="1" outlineLevel="1" x14ac:dyDescent="0.15">
      <c r="B26" s="204" t="s">
        <v>123</v>
      </c>
      <c r="C26" s="219">
        <f t="shared" ref="C26:Z26" si="9">C25/C22</f>
        <v>1.4327357112463204</v>
      </c>
      <c r="D26" s="127">
        <f t="shared" si="9"/>
        <v>2.3112046181505499</v>
      </c>
      <c r="E26" s="127">
        <f t="shared" si="9"/>
        <v>3.2475818229428666</v>
      </c>
      <c r="F26" s="127">
        <f t="shared" si="9"/>
        <v>0.81723608269023129</v>
      </c>
      <c r="G26" s="127">
        <f t="shared" si="9"/>
        <v>-2.4243742057935265</v>
      </c>
      <c r="H26" s="127">
        <f t="shared" si="9"/>
        <v>1.6823699497721232</v>
      </c>
      <c r="I26" s="127">
        <f t="shared" si="9"/>
        <v>1.3746155290936553</v>
      </c>
      <c r="J26" s="127">
        <f t="shared" si="9"/>
        <v>0.73200607454568001</v>
      </c>
      <c r="K26" s="127">
        <f t="shared" si="9"/>
        <v>2.1813403144247929</v>
      </c>
      <c r="L26" s="127">
        <f t="shared" si="9"/>
        <v>0.90460187694168359</v>
      </c>
      <c r="M26" s="127">
        <f t="shared" si="9"/>
        <v>2.3768945841152185</v>
      </c>
      <c r="N26" s="127">
        <f t="shared" si="9"/>
        <v>10.592072500645189</v>
      </c>
      <c r="O26" s="127">
        <f t="shared" si="9"/>
        <v>2.7642612341781962</v>
      </c>
      <c r="P26" s="219">
        <f t="shared" si="9"/>
        <v>0.84206857966914217</v>
      </c>
      <c r="Q26" s="127">
        <f t="shared" si="9"/>
        <v>0.22336252681058225</v>
      </c>
      <c r="R26" s="127">
        <f t="shared" si="9"/>
        <v>1.5571237613156117</v>
      </c>
      <c r="S26" s="127">
        <f t="shared" si="9"/>
        <v>0.72653172318809633</v>
      </c>
      <c r="T26" s="127">
        <f t="shared" si="9"/>
        <v>2.8120904319838078</v>
      </c>
      <c r="U26" s="127">
        <f t="shared" si="9"/>
        <v>1.0091432736686716</v>
      </c>
      <c r="V26" s="127">
        <f t="shared" si="9"/>
        <v>-0.56586695053651648</v>
      </c>
      <c r="W26" s="127">
        <f t="shared" si="9"/>
        <v>-0.43950936489575881</v>
      </c>
      <c r="X26" s="127">
        <f t="shared" si="9"/>
        <v>0.18792835937094804</v>
      </c>
      <c r="Y26" s="127">
        <f t="shared" si="9"/>
        <v>4.2470415702157105</v>
      </c>
      <c r="Z26" s="127">
        <f t="shared" si="9"/>
        <v>1.0368010069560707</v>
      </c>
      <c r="AA26" s="127">
        <f t="shared" ref="AA26" si="10">AA25/AA22</f>
        <v>1.1386563845745412</v>
      </c>
      <c r="AB26" s="127">
        <f t="shared" ref="AB26:BE26" si="11">AB25/AB22</f>
        <v>0.10448885433001806</v>
      </c>
      <c r="AC26" s="127">
        <f t="shared" si="11"/>
        <v>0.21454303598412788</v>
      </c>
      <c r="AD26" s="127">
        <f t="shared" si="11"/>
        <v>3.5934776846273322</v>
      </c>
      <c r="AE26" s="127">
        <f t="shared" si="11"/>
        <v>1.9838237405489496</v>
      </c>
      <c r="AF26" s="127">
        <f t="shared" si="11"/>
        <v>1.5318195874503457</v>
      </c>
      <c r="AG26" s="127">
        <f t="shared" si="11"/>
        <v>-1.0875074955014101</v>
      </c>
      <c r="AH26" s="127">
        <f t="shared" si="11"/>
        <v>4.2533236000926165</v>
      </c>
      <c r="AI26" s="127">
        <f t="shared" si="11"/>
        <v>1.0527638811135307</v>
      </c>
      <c r="AJ26" s="127">
        <f t="shared" si="11"/>
        <v>0.6869559329559316</v>
      </c>
      <c r="AK26" s="127">
        <f t="shared" si="11"/>
        <v>2.1670422287663729</v>
      </c>
      <c r="AL26" s="127">
        <f t="shared" si="11"/>
        <v>0.21145364392521937</v>
      </c>
      <c r="AM26" s="127">
        <f t="shared" si="11"/>
        <v>3.6125198443614059</v>
      </c>
      <c r="AN26" s="127">
        <f t="shared" si="11"/>
        <v>0.31684837014020228</v>
      </c>
      <c r="AO26" s="127">
        <f t="shared" si="11"/>
        <v>60.784148543266774</v>
      </c>
      <c r="AP26" s="127">
        <f t="shared" si="11"/>
        <v>0.39348278462788339</v>
      </c>
      <c r="AQ26" s="127">
        <f t="shared" si="11"/>
        <v>0.1114504397074902</v>
      </c>
      <c r="AR26" s="127">
        <f t="shared" si="11"/>
        <v>0.41566745243690084</v>
      </c>
      <c r="AS26" s="127">
        <f t="shared" si="11"/>
        <v>1.9179705660565289</v>
      </c>
      <c r="AT26" s="127">
        <f t="shared" si="11"/>
        <v>1.3720329273329916</v>
      </c>
      <c r="AU26" s="127">
        <f t="shared" si="11"/>
        <v>-1.0515875898862246</v>
      </c>
      <c r="AV26" s="127">
        <f t="shared" si="11"/>
        <v>0.44363181609749303</v>
      </c>
      <c r="AW26" s="127">
        <f t="shared" si="11"/>
        <v>0.70184973376929816</v>
      </c>
      <c r="AX26" s="127">
        <f t="shared" si="11"/>
        <v>0.95282385125476143</v>
      </c>
      <c r="AY26" s="127">
        <f t="shared" si="11"/>
        <v>0.87383116153629359</v>
      </c>
      <c r="AZ26" s="127">
        <f t="shared" si="11"/>
        <v>0.31273851307386991</v>
      </c>
      <c r="BA26" s="127">
        <f t="shared" si="11"/>
        <v>0.41910885559973593</v>
      </c>
      <c r="BB26" s="127">
        <f t="shared" si="11"/>
        <v>0.55091030431078158</v>
      </c>
      <c r="BC26" s="127">
        <f t="shared" si="11"/>
        <v>0.52600549379751338</v>
      </c>
      <c r="BD26" s="127">
        <f t="shared" si="11"/>
        <v>0.66500274986656593</v>
      </c>
      <c r="BE26" s="127">
        <f t="shared" si="11"/>
        <v>0.16909363727489127</v>
      </c>
    </row>
    <row r="27" spans="1:69" ht="15.75" customHeight="1" outlineLevel="1" x14ac:dyDescent="0.15">
      <c r="B27" s="220" t="s">
        <v>124</v>
      </c>
      <c r="C27" s="127">
        <f t="shared" ref="C27:Z27" si="12">C26*12</f>
        <v>17.192828534955844</v>
      </c>
      <c r="D27" s="127">
        <f t="shared" si="12"/>
        <v>27.734455417806601</v>
      </c>
      <c r="E27" s="127">
        <f t="shared" si="12"/>
        <v>38.970981875314401</v>
      </c>
      <c r="F27" s="127">
        <f t="shared" si="12"/>
        <v>9.8068329922827751</v>
      </c>
      <c r="G27" s="127">
        <f t="shared" si="12"/>
        <v>-29.092490469522318</v>
      </c>
      <c r="H27" s="127">
        <f t="shared" si="12"/>
        <v>20.188439397265476</v>
      </c>
      <c r="I27" s="127">
        <f t="shared" si="12"/>
        <v>16.495386349123862</v>
      </c>
      <c r="J27" s="127">
        <f t="shared" si="12"/>
        <v>8.7840728945481601</v>
      </c>
      <c r="K27" s="127">
        <f t="shared" si="12"/>
        <v>26.176083773097517</v>
      </c>
      <c r="L27" s="127">
        <f t="shared" si="12"/>
        <v>10.855222523300203</v>
      </c>
      <c r="M27" s="127">
        <f t="shared" si="12"/>
        <v>28.522735009382622</v>
      </c>
      <c r="N27" s="127">
        <f t="shared" si="12"/>
        <v>127.10487000774228</v>
      </c>
      <c r="O27" s="127">
        <f t="shared" si="12"/>
        <v>33.171134810138355</v>
      </c>
      <c r="P27" s="127">
        <f t="shared" si="12"/>
        <v>10.104822956029706</v>
      </c>
      <c r="Q27" s="127">
        <f t="shared" si="12"/>
        <v>2.6803503217269871</v>
      </c>
      <c r="R27" s="127">
        <f t="shared" si="12"/>
        <v>18.685485135787339</v>
      </c>
      <c r="S27" s="127">
        <f t="shared" si="12"/>
        <v>8.7183806782571551</v>
      </c>
      <c r="T27" s="127">
        <f t="shared" si="12"/>
        <v>33.745085183805692</v>
      </c>
      <c r="U27" s="127">
        <f t="shared" si="12"/>
        <v>12.10971928402406</v>
      </c>
      <c r="V27" s="127">
        <f t="shared" si="12"/>
        <v>-6.7904034064381982</v>
      </c>
      <c r="W27" s="127">
        <f t="shared" si="12"/>
        <v>-5.2741123787491055</v>
      </c>
      <c r="X27" s="127">
        <f t="shared" si="12"/>
        <v>2.2551403124513767</v>
      </c>
      <c r="Y27" s="127">
        <f t="shared" si="12"/>
        <v>50.964498842588526</v>
      </c>
      <c r="Z27" s="127">
        <f t="shared" si="12"/>
        <v>12.441612083472847</v>
      </c>
      <c r="AA27" s="127">
        <f t="shared" ref="AA27" si="13">AA26*12</f>
        <v>13.663876614894495</v>
      </c>
      <c r="AB27" s="127">
        <f t="shared" ref="AB27:BE27" si="14">AB26*12</f>
        <v>1.2538662519602166</v>
      </c>
      <c r="AC27" s="127">
        <f t="shared" si="14"/>
        <v>2.5745164318095348</v>
      </c>
      <c r="AD27" s="127">
        <f t="shared" si="14"/>
        <v>43.121732215527985</v>
      </c>
      <c r="AE27" s="127">
        <f t="shared" si="14"/>
        <v>23.805884886587396</v>
      </c>
      <c r="AF27" s="127">
        <f t="shared" si="14"/>
        <v>18.381835049404149</v>
      </c>
      <c r="AG27" s="127">
        <f t="shared" si="14"/>
        <v>-13.050089946016922</v>
      </c>
      <c r="AH27" s="127">
        <f t="shared" si="14"/>
        <v>51.039883201111394</v>
      </c>
      <c r="AI27" s="127">
        <f t="shared" si="14"/>
        <v>12.633166573362368</v>
      </c>
      <c r="AJ27" s="127">
        <f t="shared" si="14"/>
        <v>8.2434711954711801</v>
      </c>
      <c r="AK27" s="127">
        <f t="shared" si="14"/>
        <v>26.004506745196473</v>
      </c>
      <c r="AL27" s="127">
        <f t="shared" si="14"/>
        <v>2.5374437271026324</v>
      </c>
      <c r="AM27" s="127">
        <f t="shared" si="14"/>
        <v>43.35023813233687</v>
      </c>
      <c r="AN27" s="127">
        <f t="shared" si="14"/>
        <v>3.8021804416824274</v>
      </c>
      <c r="AO27" s="127">
        <f t="shared" si="14"/>
        <v>729.40978251920126</v>
      </c>
      <c r="AP27" s="127">
        <f t="shared" si="14"/>
        <v>4.7217934155346004</v>
      </c>
      <c r="AQ27" s="127">
        <f t="shared" si="14"/>
        <v>1.3374052764898825</v>
      </c>
      <c r="AR27" s="127">
        <f t="shared" si="14"/>
        <v>4.9880094292428101</v>
      </c>
      <c r="AS27" s="127">
        <f t="shared" si="14"/>
        <v>23.015646792678346</v>
      </c>
      <c r="AT27" s="127">
        <f t="shared" si="14"/>
        <v>16.4643951279959</v>
      </c>
      <c r="AU27" s="127">
        <f t="shared" si="14"/>
        <v>-12.619051078634694</v>
      </c>
      <c r="AV27" s="127">
        <f t="shared" si="14"/>
        <v>5.3235817931699163</v>
      </c>
      <c r="AW27" s="127">
        <f t="shared" si="14"/>
        <v>8.4221968052315788</v>
      </c>
      <c r="AX27" s="127">
        <f t="shared" si="14"/>
        <v>11.433886215057138</v>
      </c>
      <c r="AY27" s="127">
        <f t="shared" si="14"/>
        <v>10.485973938435523</v>
      </c>
      <c r="AZ27" s="127">
        <f t="shared" si="14"/>
        <v>3.7528621568864389</v>
      </c>
      <c r="BA27" s="127">
        <f t="shared" si="14"/>
        <v>5.0293062671968309</v>
      </c>
      <c r="BB27" s="127">
        <f t="shared" si="14"/>
        <v>6.6109236517293795</v>
      </c>
      <c r="BC27" s="127">
        <f t="shared" si="14"/>
        <v>6.3120659255701606</v>
      </c>
      <c r="BD27" s="127">
        <f t="shared" si="14"/>
        <v>7.9800329983987908</v>
      </c>
      <c r="BE27" s="127">
        <f t="shared" si="14"/>
        <v>2.0291236472986953</v>
      </c>
      <c r="BF27" s="208"/>
      <c r="BG27" s="208"/>
      <c r="BH27" s="208"/>
      <c r="BI27" s="208"/>
      <c r="BJ27" s="208"/>
      <c r="BK27" s="208"/>
      <c r="BL27" s="208"/>
      <c r="BM27" s="208"/>
      <c r="BN27" s="208"/>
      <c r="BO27" s="208"/>
      <c r="BP27" s="208"/>
      <c r="BQ27" s="208"/>
    </row>
    <row r="28" spans="1:69" ht="15.75" customHeight="1" outlineLevel="1" x14ac:dyDescent="0.15">
      <c r="B28" s="220" t="s">
        <v>125</v>
      </c>
      <c r="C28" s="221">
        <f>C22/'Main inputs'!C26</f>
        <v>4.180585200868868</v>
      </c>
      <c r="D28" s="221">
        <f>D22/'Main inputs'!D26</f>
        <v>21.658635071163065</v>
      </c>
      <c r="E28" s="221">
        <f>E22/'Main inputs'!E26</f>
        <v>2.5984929789248001</v>
      </c>
      <c r="F28" s="221">
        <f>F22/'Main inputs'!F26</f>
        <v>0.31291052870220171</v>
      </c>
      <c r="G28" s="221">
        <f>G22/'Main inputs'!G26</f>
        <v>-1.2353030519956814</v>
      </c>
      <c r="H28" s="221">
        <f>H22/'Main inputs'!H26</f>
        <v>2.2454680886253793</v>
      </c>
      <c r="I28" s="221">
        <f>I22/'Main inputs'!I26</f>
        <v>0.39164524157640407</v>
      </c>
      <c r="J28" s="221">
        <f>J22/'Main inputs'!J26</f>
        <v>4.5255899771628923E-2</v>
      </c>
      <c r="K28" s="221">
        <f>K22/'Main inputs'!K26</f>
        <v>1.5630865299838914</v>
      </c>
      <c r="L28" s="221">
        <f>L22/'Main inputs'!L26</f>
        <v>7.9456041786375788</v>
      </c>
      <c r="M28" s="221">
        <f>M22/'Main inputs'!M26</f>
        <v>6.3389967172102306</v>
      </c>
      <c r="N28" s="221">
        <f>N22/'Main inputs'!N26</f>
        <v>10.906488009575709</v>
      </c>
      <c r="O28" s="221">
        <f>O22/'Main inputs'!O26</f>
        <v>0.16716554903927189</v>
      </c>
      <c r="P28" s="221">
        <f>P22/'Main inputs'!P26</f>
        <v>8.5356568656858407</v>
      </c>
      <c r="Q28" s="221">
        <f>Q22/'Main inputs'!C54</f>
        <v>37.719483679362185</v>
      </c>
      <c r="R28" s="221">
        <f>R22/'Main inputs'!D54</f>
        <v>6.8154207867599981</v>
      </c>
      <c r="S28" s="221">
        <f>S22/'Main inputs'!E54</f>
        <v>3.5197606181184065</v>
      </c>
      <c r="T28" s="221">
        <f>T22/'Main inputs'!F54</f>
        <v>0.48414614020463181</v>
      </c>
      <c r="U28" s="221">
        <f>U22/'Main inputs'!G54</f>
        <v>2.023437527982491</v>
      </c>
      <c r="V28" s="221">
        <f>V22/'Main inputs'!H54</f>
        <v>-4.9629565021864428</v>
      </c>
      <c r="W28" s="221">
        <f>W22/'Main inputs'!I54</f>
        <v>-1.1702810446332188</v>
      </c>
      <c r="X28" s="221">
        <f>X22/'Main inputs'!J54</f>
        <v>59.775396772218443</v>
      </c>
      <c r="Y28" s="221">
        <f>Y22/'Main inputs'!K54</f>
        <v>9.0317614207904295</v>
      </c>
      <c r="Z28" s="221">
        <f>Z22/'Main inputs'!L54</f>
        <v>2.7907880696688507</v>
      </c>
      <c r="AA28" s="221">
        <f>AA22/'Main inputs'!M54</f>
        <v>2.4675951741721254</v>
      </c>
      <c r="AB28" s="221">
        <f>AB22/'Main inputs'!N54</f>
        <v>107.50900005727465</v>
      </c>
      <c r="AC28" s="221">
        <f>AC22/'Main inputs'!C79</f>
        <v>2.6928045262498919</v>
      </c>
      <c r="AD28" s="221">
        <f>AD22/'Main inputs'!D79</f>
        <v>4.7735976546815539</v>
      </c>
      <c r="AE28" s="221">
        <f>AE22/'Main inputs'!E79</f>
        <v>2.3047941398935912</v>
      </c>
      <c r="AF28" s="221">
        <f>AF22/'Main inputs'!F79</f>
        <v>6.3036497849517428</v>
      </c>
      <c r="AG28" s="221">
        <f>AG22/'Main inputs'!G79</f>
        <v>-0.30988730540117665</v>
      </c>
      <c r="AH28" s="221">
        <f>AH22/'Main inputs'!H79</f>
        <v>0.70013014444111843</v>
      </c>
      <c r="AI28" s="221">
        <f>AI22/'Main inputs'!I79</f>
        <v>5.5260922976184625</v>
      </c>
      <c r="AJ28" s="221">
        <f>AJ22/'Main inputs'!J79</f>
        <v>3.5140733742071331</v>
      </c>
      <c r="AK28" s="221">
        <f>AK22/'Main inputs'!K79</f>
        <v>1.3741679912637754</v>
      </c>
      <c r="AL28" s="221">
        <f>AL22/'Main inputs'!L79</f>
        <v>3.1875049408341813</v>
      </c>
      <c r="AM28" s="221">
        <f>AM22/'Main inputs'!M79</f>
        <v>7.5516260397985357</v>
      </c>
      <c r="AN28" s="221">
        <f>AN22/'Main inputs'!N79</f>
        <v>12.463322769178662</v>
      </c>
      <c r="AO28" s="221">
        <f>AO22/'Main inputs'!O79</f>
        <v>2.8397567797760054E-2</v>
      </c>
      <c r="AP28" s="221">
        <f>AP22/'Main inputs'!P79</f>
        <v>9.7483975677977579</v>
      </c>
      <c r="AQ28" s="221">
        <f>AQ22/'Main inputs'!Q79</f>
        <v>6.0476166494992354</v>
      </c>
      <c r="AR28" s="221">
        <f>AR22/'Main inputs'!C107</f>
        <v>1.2994691086822452</v>
      </c>
      <c r="AS28" s="221">
        <f>AS22/'Main inputs'!D107</f>
        <v>15.039551022149611</v>
      </c>
      <c r="AT28" s="221">
        <f>AT22/'Main inputs'!E107</f>
        <v>8.9463196848325666</v>
      </c>
      <c r="AU28" s="221">
        <f>AU22/'Main inputs'!F107</f>
        <v>-1.3861081376965179</v>
      </c>
      <c r="AV28" s="221">
        <f>AV22/'Main inputs'!G107</f>
        <v>1.0653623568822976</v>
      </c>
      <c r="AW28" s="221">
        <f>AW22/'Main inputs'!H107</f>
        <v>36.617579407266618</v>
      </c>
      <c r="AX28" s="221">
        <f>AX22/'Main inputs'!I107</f>
        <v>14.49268489249868</v>
      </c>
      <c r="AY28" s="221">
        <f>AY22/'Main inputs'!J107</f>
        <v>5.4870820438197292</v>
      </c>
      <c r="AZ28" s="221">
        <f>AZ22/'Main inputs'!K107</f>
        <v>12.265283808299976</v>
      </c>
      <c r="BA28" s="221">
        <f>BA22/'Main inputs'!L107</f>
        <v>1.2887988566919211</v>
      </c>
      <c r="BB28" s="221">
        <f>BB22/'Main inputs'!M107</f>
        <v>52.35955102214961</v>
      </c>
      <c r="BC28" s="221">
        <f>BC22/'Main inputs'!N107</f>
        <v>19.446319684832567</v>
      </c>
      <c r="BD28" s="221">
        <f>BD22/'Main inputs'!O107</f>
        <v>2.1918918623034824</v>
      </c>
      <c r="BE28" s="221">
        <f>BE22/'Main inputs'!P107</f>
        <v>3.1943662850441594</v>
      </c>
      <c r="BF28" s="208"/>
      <c r="BG28" s="208"/>
      <c r="BH28" s="208"/>
      <c r="BI28" s="208"/>
      <c r="BJ28" s="208"/>
      <c r="BK28" s="208"/>
      <c r="BL28" s="208"/>
      <c r="BM28" s="208"/>
      <c r="BN28" s="208"/>
      <c r="BO28" s="208"/>
      <c r="BP28" s="208"/>
      <c r="BQ28" s="208"/>
    </row>
    <row r="30" spans="1:69" ht="15.75" customHeight="1" x14ac:dyDescent="0.15">
      <c r="A30" s="306" t="s">
        <v>224</v>
      </c>
      <c r="B30" s="2" t="s">
        <v>126</v>
      </c>
      <c r="C30" s="40" t="s">
        <v>127</v>
      </c>
      <c r="D30" s="40" t="s">
        <v>118</v>
      </c>
      <c r="E30" s="40" t="s">
        <v>118</v>
      </c>
      <c r="F30" s="40" t="s">
        <v>118</v>
      </c>
      <c r="G30" s="40" t="s">
        <v>127</v>
      </c>
      <c r="H30" s="40" t="s">
        <v>118</v>
      </c>
      <c r="I30" s="40" t="s">
        <v>118</v>
      </c>
      <c r="J30" s="40" t="s">
        <v>118</v>
      </c>
      <c r="K30" s="40" t="s">
        <v>118</v>
      </c>
      <c r="L30" s="40" t="s">
        <v>127</v>
      </c>
      <c r="M30" s="40" t="s">
        <v>118</v>
      </c>
      <c r="N30" s="40" t="s">
        <v>118</v>
      </c>
      <c r="O30" s="40" t="s">
        <v>118</v>
      </c>
      <c r="P30" s="40" t="s">
        <v>127</v>
      </c>
      <c r="Q30" s="40" t="s">
        <v>127</v>
      </c>
      <c r="R30" s="40" t="s">
        <v>118</v>
      </c>
      <c r="S30" s="40" t="s">
        <v>118</v>
      </c>
      <c r="T30" s="40" t="s">
        <v>118</v>
      </c>
      <c r="U30" s="40" t="s">
        <v>118</v>
      </c>
      <c r="V30" s="40" t="s">
        <v>127</v>
      </c>
      <c r="W30" s="40" t="s">
        <v>118</v>
      </c>
      <c r="X30" s="40" t="s">
        <v>127</v>
      </c>
      <c r="Y30" s="40" t="s">
        <v>118</v>
      </c>
      <c r="Z30" s="40" t="s">
        <v>118</v>
      </c>
      <c r="AA30" s="40" t="s">
        <v>118</v>
      </c>
      <c r="AB30" s="40" t="s">
        <v>127</v>
      </c>
      <c r="AC30" s="40" t="s">
        <v>127</v>
      </c>
      <c r="AD30" s="40" t="s">
        <v>118</v>
      </c>
      <c r="AE30" s="40" t="s">
        <v>118</v>
      </c>
      <c r="AF30" s="40" t="s">
        <v>118</v>
      </c>
      <c r="AG30" s="40" t="s">
        <v>127</v>
      </c>
      <c r="AH30" s="40" t="s">
        <v>118</v>
      </c>
      <c r="AI30" s="40" t="s">
        <v>118</v>
      </c>
      <c r="AJ30" s="40" t="s">
        <v>118</v>
      </c>
      <c r="AK30" s="40" t="s">
        <v>118</v>
      </c>
      <c r="AL30" s="40" t="s">
        <v>127</v>
      </c>
      <c r="AM30" s="40" t="s">
        <v>118</v>
      </c>
      <c r="AN30" s="40" t="s">
        <v>118</v>
      </c>
      <c r="AO30" s="40" t="s">
        <v>118</v>
      </c>
      <c r="AP30" s="40" t="s">
        <v>118</v>
      </c>
      <c r="AQ30" s="40" t="s">
        <v>127</v>
      </c>
      <c r="AR30" s="40" t="s">
        <v>127</v>
      </c>
      <c r="AS30" s="40" t="s">
        <v>118</v>
      </c>
      <c r="AT30" s="40" t="s">
        <v>118</v>
      </c>
      <c r="AU30" s="40" t="s">
        <v>118</v>
      </c>
      <c r="AV30" s="40" t="s">
        <v>127</v>
      </c>
      <c r="AW30" s="40" t="s">
        <v>118</v>
      </c>
      <c r="AX30" s="40" t="s">
        <v>118</v>
      </c>
      <c r="AY30" s="40" t="s">
        <v>118</v>
      </c>
      <c r="AZ30" s="40" t="s">
        <v>118</v>
      </c>
      <c r="BA30" s="40" t="s">
        <v>127</v>
      </c>
      <c r="BB30" s="40" t="s">
        <v>118</v>
      </c>
      <c r="BC30" s="40" t="s">
        <v>118</v>
      </c>
      <c r="BD30" s="40" t="s">
        <v>118</v>
      </c>
      <c r="BE30" s="40" t="s">
        <v>127</v>
      </c>
    </row>
    <row r="31" spans="1:69" ht="15.75" customHeight="1" x14ac:dyDescent="0.15">
      <c r="A31" s="306"/>
      <c r="B31" s="2" t="s">
        <v>128</v>
      </c>
      <c r="C31" s="20" t="s">
        <v>129</v>
      </c>
      <c r="D31" s="20" t="s">
        <v>130</v>
      </c>
      <c r="E31" s="20" t="s">
        <v>130</v>
      </c>
      <c r="F31" s="20" t="s">
        <v>130</v>
      </c>
      <c r="G31" s="20" t="s">
        <v>129</v>
      </c>
      <c r="H31" s="20" t="s">
        <v>130</v>
      </c>
      <c r="I31" s="20" t="s">
        <v>130</v>
      </c>
      <c r="J31" s="20" t="s">
        <v>130</v>
      </c>
      <c r="K31" s="20" t="s">
        <v>130</v>
      </c>
      <c r="L31" s="20" t="s">
        <v>129</v>
      </c>
      <c r="M31" s="20" t="s">
        <v>130</v>
      </c>
      <c r="N31" s="20" t="s">
        <v>130</v>
      </c>
      <c r="O31" s="20" t="s">
        <v>130</v>
      </c>
      <c r="P31" s="20" t="s">
        <v>129</v>
      </c>
      <c r="Q31" s="20" t="s">
        <v>129</v>
      </c>
      <c r="R31" s="20" t="s">
        <v>130</v>
      </c>
      <c r="S31" s="20" t="s">
        <v>130</v>
      </c>
      <c r="T31" s="20" t="s">
        <v>130</v>
      </c>
      <c r="U31" s="20" t="s">
        <v>130</v>
      </c>
      <c r="V31" s="20" t="s">
        <v>129</v>
      </c>
      <c r="W31" s="20" t="s">
        <v>130</v>
      </c>
      <c r="X31" s="20" t="s">
        <v>129</v>
      </c>
      <c r="Y31" s="20" t="s">
        <v>130</v>
      </c>
      <c r="Z31" s="20" t="s">
        <v>130</v>
      </c>
      <c r="AA31" s="20" t="s">
        <v>130</v>
      </c>
      <c r="AB31" s="20" t="s">
        <v>129</v>
      </c>
      <c r="AC31" s="20" t="s">
        <v>129</v>
      </c>
      <c r="AD31" s="20" t="s">
        <v>130</v>
      </c>
      <c r="AE31" s="20" t="s">
        <v>130</v>
      </c>
      <c r="AF31" s="20" t="s">
        <v>130</v>
      </c>
      <c r="AG31" s="20" t="s">
        <v>129</v>
      </c>
      <c r="AH31" s="20" t="s">
        <v>130</v>
      </c>
      <c r="AI31" s="20" t="s">
        <v>130</v>
      </c>
      <c r="AJ31" s="20" t="s">
        <v>130</v>
      </c>
      <c r="AK31" s="20" t="s">
        <v>130</v>
      </c>
      <c r="AL31" s="20" t="s">
        <v>129</v>
      </c>
      <c r="AM31" s="20" t="s">
        <v>129</v>
      </c>
      <c r="AN31" s="20" t="s">
        <v>130</v>
      </c>
      <c r="AO31" s="20" t="s">
        <v>130</v>
      </c>
      <c r="AP31" s="20" t="s">
        <v>130</v>
      </c>
      <c r="AQ31" s="20" t="s">
        <v>129</v>
      </c>
      <c r="AR31" s="20" t="s">
        <v>129</v>
      </c>
      <c r="AS31" s="20" t="s">
        <v>130</v>
      </c>
      <c r="AT31" s="20" t="s">
        <v>130</v>
      </c>
      <c r="AU31" s="20" t="s">
        <v>130</v>
      </c>
      <c r="AV31" s="20" t="s">
        <v>129</v>
      </c>
      <c r="AW31" s="20" t="s">
        <v>130</v>
      </c>
      <c r="AX31" s="20" t="s">
        <v>130</v>
      </c>
      <c r="AY31" s="20" t="s">
        <v>130</v>
      </c>
      <c r="AZ31" s="20" t="s">
        <v>130</v>
      </c>
      <c r="BA31" s="20" t="s">
        <v>129</v>
      </c>
      <c r="BB31" s="20" t="s">
        <v>130</v>
      </c>
      <c r="BC31" s="20" t="s">
        <v>130</v>
      </c>
      <c r="BD31" s="20" t="s">
        <v>130</v>
      </c>
      <c r="BE31" s="20" t="s">
        <v>129</v>
      </c>
    </row>
    <row r="32" spans="1:69" ht="15.75" customHeight="1" x14ac:dyDescent="0.15">
      <c r="A32" s="306"/>
      <c r="B32" s="2" t="s">
        <v>131</v>
      </c>
      <c r="C32" s="40" t="s">
        <v>132</v>
      </c>
      <c r="D32" s="21"/>
      <c r="E32" s="21"/>
      <c r="F32" s="21"/>
      <c r="G32" s="40" t="s">
        <v>132</v>
      </c>
      <c r="H32" s="21"/>
      <c r="I32" s="21"/>
      <c r="J32" s="21"/>
      <c r="K32" s="21"/>
      <c r="L32" s="40" t="s">
        <v>132</v>
      </c>
      <c r="M32" s="21"/>
      <c r="N32" s="21"/>
      <c r="O32" s="21"/>
      <c r="P32" s="40" t="s">
        <v>133</v>
      </c>
      <c r="Q32" s="40" t="s">
        <v>132</v>
      </c>
      <c r="R32" s="21"/>
      <c r="S32" s="21"/>
      <c r="T32" s="21"/>
      <c r="U32" s="21"/>
      <c r="V32" s="40" t="s">
        <v>132</v>
      </c>
      <c r="W32" s="21"/>
      <c r="X32" s="40" t="s">
        <v>132</v>
      </c>
      <c r="Y32" s="21"/>
      <c r="Z32" s="21"/>
      <c r="AA32" s="21"/>
      <c r="AB32" s="40" t="s">
        <v>133</v>
      </c>
      <c r="AC32" s="40" t="s">
        <v>132</v>
      </c>
      <c r="AD32" s="21"/>
      <c r="AE32" s="21"/>
      <c r="AF32" s="21"/>
      <c r="AG32" s="40" t="s">
        <v>132</v>
      </c>
      <c r="AH32" s="21"/>
      <c r="AI32" s="21"/>
      <c r="AJ32" s="21"/>
      <c r="AK32" s="21"/>
      <c r="AL32" s="40" t="s">
        <v>132</v>
      </c>
      <c r="AM32" s="21"/>
      <c r="AN32" s="21"/>
      <c r="AO32" s="21"/>
      <c r="AP32" s="21"/>
      <c r="AQ32" s="40" t="s">
        <v>133</v>
      </c>
      <c r="AR32" s="40" t="s">
        <v>132</v>
      </c>
      <c r="AS32" s="21"/>
      <c r="AT32" s="21"/>
      <c r="AU32" s="21"/>
      <c r="AV32" s="40" t="s">
        <v>132</v>
      </c>
      <c r="AW32" s="21"/>
      <c r="AX32" s="21"/>
      <c r="AY32" s="21"/>
      <c r="AZ32" s="21"/>
      <c r="BA32" s="40" t="s">
        <v>132</v>
      </c>
      <c r="BB32" s="21"/>
      <c r="BC32" s="21"/>
      <c r="BD32" s="21"/>
      <c r="BE32" s="40" t="s">
        <v>133</v>
      </c>
    </row>
    <row r="34" spans="3:9" ht="15.75" customHeight="1" x14ac:dyDescent="0.15">
      <c r="C34" s="307" t="s">
        <v>225</v>
      </c>
      <c r="D34" s="308"/>
      <c r="E34" s="308"/>
      <c r="F34" s="308"/>
      <c r="G34" s="309"/>
      <c r="H34" s="309"/>
      <c r="I34" s="309"/>
    </row>
    <row r="35" spans="3:9" ht="15.75" customHeight="1" x14ac:dyDescent="0.15">
      <c r="C35" s="308"/>
      <c r="D35" s="308"/>
      <c r="E35" s="308"/>
      <c r="F35" s="308"/>
      <c r="G35" s="309"/>
      <c r="H35" s="309"/>
      <c r="I35" s="309"/>
    </row>
    <row r="36" spans="3:9" ht="15.75" customHeight="1" x14ac:dyDescent="0.15">
      <c r="C36" s="308"/>
      <c r="D36" s="308"/>
      <c r="E36" s="308"/>
      <c r="F36" s="308"/>
      <c r="G36" s="309"/>
      <c r="H36" s="309"/>
      <c r="I36" s="309"/>
    </row>
    <row r="37" spans="3:9" ht="15.75" customHeight="1" x14ac:dyDescent="0.15">
      <c r="C37" s="308"/>
      <c r="D37" s="308"/>
      <c r="E37" s="308"/>
      <c r="F37" s="308"/>
      <c r="G37" s="309"/>
      <c r="H37" s="309"/>
      <c r="I37" s="309"/>
    </row>
    <row r="38" spans="3:9" ht="15.75" customHeight="1" x14ac:dyDescent="0.15">
      <c r="C38" s="308"/>
      <c r="D38" s="308"/>
      <c r="E38" s="308"/>
      <c r="F38" s="308"/>
      <c r="G38" s="309"/>
      <c r="H38" s="309"/>
      <c r="I38" s="309"/>
    </row>
    <row r="39" spans="3:9" ht="15.75" customHeight="1" x14ac:dyDescent="0.15">
      <c r="C39" s="308"/>
      <c r="D39" s="308"/>
      <c r="E39" s="308"/>
      <c r="F39" s="308"/>
      <c r="G39" s="309"/>
      <c r="H39" s="309"/>
      <c r="I39" s="309"/>
    </row>
    <row r="40" spans="3:9" ht="15.75" customHeight="1" x14ac:dyDescent="0.15">
      <c r="C40" s="308"/>
      <c r="D40" s="308"/>
      <c r="E40" s="308"/>
      <c r="F40" s="308"/>
      <c r="G40" s="309"/>
      <c r="H40" s="309"/>
      <c r="I40" s="309"/>
    </row>
    <row r="41" spans="3:9" ht="15.75" customHeight="1" x14ac:dyDescent="0.15">
      <c r="C41" s="308"/>
      <c r="D41" s="308"/>
      <c r="E41" s="308"/>
      <c r="F41" s="308"/>
      <c r="G41" s="309"/>
      <c r="H41" s="309"/>
      <c r="I41" s="309"/>
    </row>
    <row r="42" spans="3:9" ht="15.75" customHeight="1" x14ac:dyDescent="0.15">
      <c r="C42" s="308"/>
      <c r="D42" s="308"/>
      <c r="E42" s="308"/>
      <c r="F42" s="308"/>
      <c r="G42" s="309"/>
      <c r="H42" s="309"/>
      <c r="I42" s="309"/>
    </row>
    <row r="43" spans="3:9" ht="15.75" customHeight="1" x14ac:dyDescent="0.15">
      <c r="C43" s="308"/>
      <c r="D43" s="308"/>
      <c r="E43" s="308"/>
      <c r="F43" s="308"/>
      <c r="G43" s="309"/>
      <c r="H43" s="309"/>
      <c r="I43" s="309"/>
    </row>
    <row r="44" spans="3:9" ht="15.75" customHeight="1" x14ac:dyDescent="0.15">
      <c r="C44" s="309"/>
      <c r="D44" s="309"/>
      <c r="E44" s="309"/>
      <c r="F44" s="309"/>
      <c r="G44" s="309"/>
      <c r="H44" s="309"/>
      <c r="I44" s="309"/>
    </row>
    <row r="45" spans="3:9" ht="15.75" customHeight="1" x14ac:dyDescent="0.15">
      <c r="C45" s="309"/>
      <c r="D45" s="309"/>
      <c r="E45" s="309"/>
      <c r="F45" s="309"/>
      <c r="G45" s="309"/>
      <c r="H45" s="309"/>
      <c r="I45" s="309"/>
    </row>
    <row r="46" spans="3:9" ht="15.75" customHeight="1" x14ac:dyDescent="0.15">
      <c r="C46" s="309"/>
      <c r="D46" s="309"/>
      <c r="E46" s="309"/>
      <c r="F46" s="309"/>
      <c r="G46" s="309"/>
      <c r="H46" s="309"/>
      <c r="I46" s="309"/>
    </row>
    <row r="47" spans="3:9" ht="15.75" customHeight="1" x14ac:dyDescent="0.15">
      <c r="C47" s="309"/>
      <c r="D47" s="309"/>
      <c r="E47" s="309"/>
      <c r="F47" s="309"/>
      <c r="G47" s="309"/>
      <c r="H47" s="309"/>
      <c r="I47" s="309"/>
    </row>
  </sheetData>
  <sheetProtection algorithmName="SHA-512" hashValue="S+qLW895OdYtzSapzuVe3/gyQ3nen0rkTkJookeRnKumZ+kQIu7AVlQ3px0H0JCzkiJMKx4OlbCWyI/NXPFkyA==" saltValue="8ywS6v9pF+wWC6vZ5eDL9g==" spinCount="100000" sheet="1" objects="1" scenarios="1"/>
  <mergeCells count="18">
    <mergeCell ref="C1:O1"/>
    <mergeCell ref="Q1:Z1"/>
    <mergeCell ref="AC1:AP1"/>
    <mergeCell ref="AR1:BD1"/>
    <mergeCell ref="C2:F2"/>
    <mergeCell ref="G2:K2"/>
    <mergeCell ref="L2:O2"/>
    <mergeCell ref="BA2:BD2"/>
    <mergeCell ref="Q2:U2"/>
    <mergeCell ref="V2:W2"/>
    <mergeCell ref="X2:AA2"/>
    <mergeCell ref="AC2:AF2"/>
    <mergeCell ref="AG2:AK2"/>
    <mergeCell ref="A30:A32"/>
    <mergeCell ref="C34:I47"/>
    <mergeCell ref="AL2:AP2"/>
    <mergeCell ref="AR2:AU2"/>
    <mergeCell ref="AV2:AZ2"/>
  </mergeCells>
  <conditionalFormatting sqref="C22:BE22">
    <cfRule type="cellIs" dxfId="8" priority="1" operator="lessThan">
      <formula>0</formula>
    </cfRule>
  </conditionalFormatting>
  <conditionalFormatting sqref="C26:BE26">
    <cfRule type="cellIs" dxfId="7" priority="2" operator="between">
      <formula>0</formula>
      <formula>15</formula>
    </cfRule>
    <cfRule type="cellIs" dxfId="6" priority="3" operator="lessThan">
      <formula>0</formula>
    </cfRule>
    <cfRule type="cellIs" dxfId="5" priority="4" operator="greaterThanOrEqual">
      <formula>15</formula>
    </cfRule>
  </conditionalFormatting>
  <conditionalFormatting sqref="C27:BE27">
    <cfRule type="cellIs" dxfId="4" priority="5" operator="between">
      <formula>0</formula>
      <formula>180</formula>
    </cfRule>
    <cfRule type="cellIs" dxfId="3" priority="7" operator="greaterThanOrEqual">
      <formula>180</formula>
    </cfRule>
  </conditionalFormatting>
  <conditionalFormatting sqref="C27:BE28">
    <cfRule type="cellIs" dxfId="2" priority="6" operator="lessThan">
      <formula>0</formula>
    </cfRule>
  </conditionalFormatting>
  <conditionalFormatting sqref="C28:BE28">
    <cfRule type="colorScale" priority="9">
      <colorScale>
        <cfvo type="min"/>
        <cfvo type="max"/>
        <color rgb="FFFFFFFF"/>
        <color rgb="FF57BB8A"/>
      </colorScale>
    </cfRule>
  </conditionalFormatting>
  <dataValidations count="3">
    <dataValidation type="list" allowBlank="1" sqref="P32 AB32 AQ32 BE32" xr:uid="{00000000-0002-0000-0200-000000000000}">
      <formula1>"No,Mono-cultivation,Crop rotation,Year-round horticulture irrigation"</formula1>
    </dataValidation>
    <dataValidation type="list" allowBlank="1" sqref="C32 G32 L32 Q32 V32 X32 AC32 AG32 AL32 AR32 AV32 BA32" xr:uid="{00000000-0002-0000-0200-000002000000}">
      <formula1>"No,Mono-cultivation,Crop rotation"</formula1>
    </dataValidation>
    <dataValidation type="list" allowBlank="1" sqref="C30:BE30" xr:uid="{00000000-0002-0000-0200-000003000000}">
      <formula1>"Grid,Mini-grid,Standalone"</formula1>
    </dataValidation>
  </dataValidation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D18"/>
  <sheetViews>
    <sheetView zoomScale="110" zoomScaleNormal="110" workbookViewId="0">
      <pane xSplit="1" topLeftCell="B1" activePane="topRight" state="frozen"/>
      <selection pane="topRight" activeCell="F34" sqref="F34"/>
    </sheetView>
  </sheetViews>
  <sheetFormatPr baseColWidth="10" defaultColWidth="12.6640625" defaultRowHeight="15.75" customHeight="1" x14ac:dyDescent="0.15"/>
  <sheetData>
    <row r="1" spans="1:56" ht="15.75" customHeight="1" x14ac:dyDescent="0.15">
      <c r="B1" s="310" t="str">
        <f>'Main inputs'!A2</f>
        <v>Nigeria</v>
      </c>
      <c r="C1" s="297"/>
      <c r="D1" s="297"/>
      <c r="E1" s="297"/>
      <c r="F1" s="297"/>
      <c r="G1" s="297"/>
      <c r="H1" s="297"/>
      <c r="I1" s="297"/>
      <c r="J1" s="297"/>
      <c r="K1" s="297"/>
      <c r="L1" s="297"/>
      <c r="M1" s="297"/>
      <c r="N1" s="298"/>
      <c r="O1" s="10"/>
      <c r="P1" s="311" t="str">
        <f>'Main inputs'!A30</f>
        <v xml:space="preserve"> Rwanda</v>
      </c>
      <c r="Q1" s="270"/>
      <c r="R1" s="270"/>
      <c r="S1" s="270"/>
      <c r="T1" s="270"/>
      <c r="U1" s="270"/>
      <c r="V1" s="270"/>
      <c r="W1" s="270"/>
      <c r="X1" s="270"/>
      <c r="Y1" s="270"/>
      <c r="Z1" s="11"/>
      <c r="AA1" s="11"/>
      <c r="AB1" s="281" t="str">
        <f>'Main inputs'!A58</f>
        <v>Zambia</v>
      </c>
      <c r="AC1" s="270"/>
      <c r="AD1" s="270"/>
      <c r="AE1" s="270"/>
      <c r="AF1" s="270"/>
      <c r="AG1" s="270"/>
      <c r="AH1" s="270"/>
      <c r="AI1" s="270"/>
      <c r="AJ1" s="270"/>
      <c r="AK1" s="270"/>
      <c r="AL1" s="270"/>
      <c r="AM1" s="270"/>
      <c r="AN1" s="270"/>
      <c r="AO1" s="270"/>
      <c r="AP1" s="3"/>
      <c r="AQ1" s="276" t="str">
        <f>'Main inputs'!A86</f>
        <v xml:space="preserve"> Zimbabwe</v>
      </c>
      <c r="AR1" s="270"/>
      <c r="AS1" s="270"/>
      <c r="AT1" s="270"/>
      <c r="AU1" s="270"/>
      <c r="AV1" s="270"/>
      <c r="AW1" s="270"/>
      <c r="AX1" s="270"/>
      <c r="AY1" s="270"/>
      <c r="AZ1" s="270"/>
      <c r="BA1" s="270"/>
      <c r="BB1" s="270"/>
      <c r="BC1" s="270"/>
      <c r="BD1" s="4"/>
    </row>
    <row r="2" spans="1:56" ht="15.75" customHeight="1" x14ac:dyDescent="0.15">
      <c r="A2" s="1"/>
      <c r="B2" s="312" t="str">
        <f>'Main inputs'!C2</f>
        <v>Maize</v>
      </c>
      <c r="C2" s="297"/>
      <c r="D2" s="297"/>
      <c r="E2" s="298"/>
      <c r="F2" s="305" t="str">
        <f>'Main inputs'!G2</f>
        <v>Cassava</v>
      </c>
      <c r="G2" s="297"/>
      <c r="H2" s="297"/>
      <c r="I2" s="297"/>
      <c r="J2" s="298"/>
      <c r="K2" s="305" t="str">
        <f>'Main inputs'!L2</f>
        <v>Rice</v>
      </c>
      <c r="L2" s="297"/>
      <c r="M2" s="297"/>
      <c r="N2" s="298"/>
      <c r="O2" s="12" t="str">
        <f>'Main inputs'!P2</f>
        <v>Tomato</v>
      </c>
      <c r="P2" s="296" t="str">
        <f>'Main inputs'!C30</f>
        <v>Maize</v>
      </c>
      <c r="Q2" s="297"/>
      <c r="R2" s="297"/>
      <c r="S2" s="297"/>
      <c r="T2" s="298"/>
      <c r="U2" s="296" t="str">
        <f>'Main inputs'!H30</f>
        <v>Cassava</v>
      </c>
      <c r="V2" s="298"/>
      <c r="W2" s="296" t="str">
        <f>'Main inputs'!J30</f>
        <v>Beans</v>
      </c>
      <c r="X2" s="297"/>
      <c r="Y2" s="297"/>
      <c r="Z2" s="298"/>
      <c r="AA2" s="13" t="str">
        <f>'Main inputs'!N30</f>
        <v>Tomato</v>
      </c>
      <c r="AB2" s="302" t="str">
        <f>'Main inputs'!C58</f>
        <v>Maize</v>
      </c>
      <c r="AC2" s="297"/>
      <c r="AD2" s="297"/>
      <c r="AE2" s="298"/>
      <c r="AF2" s="302" t="str">
        <f>'Main inputs'!G58</f>
        <v>Cassava</v>
      </c>
      <c r="AG2" s="297"/>
      <c r="AH2" s="297"/>
      <c r="AI2" s="297"/>
      <c r="AJ2" s="298"/>
      <c r="AK2" s="302" t="str">
        <f>'Main inputs'!L58</f>
        <v>Groundnuts</v>
      </c>
      <c r="AL2" s="297"/>
      <c r="AM2" s="297"/>
      <c r="AN2" s="297"/>
      <c r="AO2" s="298"/>
      <c r="AP2" s="14" t="str">
        <f>'Main inputs'!Q58</f>
        <v>Tomato</v>
      </c>
      <c r="AQ2" s="299" t="str">
        <f>'Main inputs'!C86</f>
        <v>Maize</v>
      </c>
      <c r="AR2" s="297"/>
      <c r="AS2" s="297"/>
      <c r="AT2" s="298"/>
      <c r="AU2" s="299" t="str">
        <f>'Main inputs'!G86</f>
        <v>Groundnuts</v>
      </c>
      <c r="AV2" s="297"/>
      <c r="AW2" s="297"/>
      <c r="AX2" s="297"/>
      <c r="AY2" s="298"/>
      <c r="AZ2" s="299" t="str">
        <f>'Main inputs'!L86</f>
        <v>Sorghum</v>
      </c>
      <c r="BA2" s="297"/>
      <c r="BB2" s="297"/>
      <c r="BC2" s="298"/>
      <c r="BD2" s="15" t="str">
        <f>'Main inputs'!P86</f>
        <v>Tomato</v>
      </c>
    </row>
    <row r="3" spans="1:56" ht="15.75" customHeight="1" x14ac:dyDescent="0.15">
      <c r="A3" s="1"/>
      <c r="B3" s="16" t="str">
        <f>'Main inputs'!C3</f>
        <v>Irrigation</v>
      </c>
      <c r="C3" s="16" t="str">
        <f>'Main inputs'!D3</f>
        <v>Drying</v>
      </c>
      <c r="D3" s="16" t="str">
        <f>'Main inputs'!E3</f>
        <v>Shelling</v>
      </c>
      <c r="E3" s="16" t="str">
        <f>'Main inputs'!F3</f>
        <v>Milling</v>
      </c>
      <c r="F3" s="16" t="str">
        <f>'Main inputs'!G3</f>
        <v>Irrigation</v>
      </c>
      <c r="G3" s="16" t="str">
        <f>'Main inputs'!H3</f>
        <v>Peeling</v>
      </c>
      <c r="H3" s="16" t="str">
        <f>'Main inputs'!I3</f>
        <v>Grating</v>
      </c>
      <c r="I3" s="16" t="str">
        <f>'Main inputs'!J3</f>
        <v>Milling</v>
      </c>
      <c r="J3" s="16" t="str">
        <f>'Main inputs'!K3</f>
        <v>Chipping</v>
      </c>
      <c r="K3" s="6" t="str">
        <f>'Main inputs'!L3</f>
        <v>Irrigation</v>
      </c>
      <c r="L3" s="6" t="str">
        <f>'Main inputs'!M3</f>
        <v>Threshing</v>
      </c>
      <c r="M3" s="6" t="str">
        <f>'Main inputs'!N3</f>
        <v>Drying</v>
      </c>
      <c r="N3" s="6" t="str">
        <f>'Main inputs'!O3</f>
        <v>Milling</v>
      </c>
      <c r="O3" s="6" t="str">
        <f>'Main inputs'!P3</f>
        <v>Irrigation</v>
      </c>
      <c r="P3" s="7" t="str">
        <f>'Main inputs'!C31</f>
        <v>Irrigation</v>
      </c>
      <c r="Q3" s="7" t="str">
        <f>'Main inputs'!D31</f>
        <v>Drying</v>
      </c>
      <c r="R3" s="7" t="str">
        <f>'Main inputs'!E31</f>
        <v>Shelling</v>
      </c>
      <c r="S3" s="7" t="str">
        <f>'Main inputs'!F31</f>
        <v>Dehulling</v>
      </c>
      <c r="T3" s="7" t="str">
        <f>'Main inputs'!G31</f>
        <v>Milling</v>
      </c>
      <c r="U3" s="7" t="str">
        <f>'Main inputs'!H31</f>
        <v>Irrigation</v>
      </c>
      <c r="V3" s="7" t="str">
        <f>'Main inputs'!I31</f>
        <v>Milling</v>
      </c>
      <c r="W3" s="7" t="str">
        <f>'Main inputs'!J31</f>
        <v>Irrigation</v>
      </c>
      <c r="X3" s="7" t="str">
        <f>'Main inputs'!K31</f>
        <v>Drying</v>
      </c>
      <c r="Y3" s="7" t="str">
        <f>'Main inputs'!L31</f>
        <v>Threshing</v>
      </c>
      <c r="Z3" s="7" t="str">
        <f>'Main inputs'!M31</f>
        <v>Grinding</v>
      </c>
      <c r="AA3" s="7" t="str">
        <f>'Main inputs'!N31</f>
        <v>Irrigation</v>
      </c>
      <c r="AB3" s="8" t="str">
        <f>'Main inputs'!C59</f>
        <v>Irrigation</v>
      </c>
      <c r="AC3" s="8" t="str">
        <f>'Main inputs'!D59</f>
        <v>Shelling</v>
      </c>
      <c r="AD3" s="8" t="str">
        <f>'Main inputs'!E59</f>
        <v>Dehulling</v>
      </c>
      <c r="AE3" s="8" t="str">
        <f>'Main inputs'!F59</f>
        <v>Milling</v>
      </c>
      <c r="AF3" s="8" t="str">
        <f>'Main inputs'!G59</f>
        <v>Irrigation</v>
      </c>
      <c r="AG3" s="8" t="str">
        <f>'Main inputs'!H59</f>
        <v>Peeling</v>
      </c>
      <c r="AH3" s="8" t="str">
        <f>'Main inputs'!I59</f>
        <v>Grating</v>
      </c>
      <c r="AI3" s="8" t="str">
        <f>'Main inputs'!J59</f>
        <v>Milling</v>
      </c>
      <c r="AJ3" s="8" t="str">
        <f>'Main inputs'!K59</f>
        <v>Chipping</v>
      </c>
      <c r="AK3" s="8" t="str">
        <f>'Main inputs'!L59</f>
        <v>Irrigation</v>
      </c>
      <c r="AL3" s="8" t="str">
        <f>'Main inputs'!M59</f>
        <v>Shelling</v>
      </c>
      <c r="AM3" s="8" t="str">
        <f>'Main inputs'!N59</f>
        <v>Oil pressing</v>
      </c>
      <c r="AN3" s="8" t="str">
        <f>'Main inputs'!O59</f>
        <v>Crushing</v>
      </c>
      <c r="AO3" s="8" t="str">
        <f>'Main inputs'!P59</f>
        <v>Peanut butter</v>
      </c>
      <c r="AP3" s="8" t="str">
        <f>'Main inputs'!Q59</f>
        <v>Irrigation</v>
      </c>
      <c r="AQ3" s="9" t="str">
        <f>'Main inputs'!C87</f>
        <v>Irrigation</v>
      </c>
      <c r="AR3" s="9" t="str">
        <f>'Main inputs'!D87</f>
        <v>Shelling</v>
      </c>
      <c r="AS3" s="9" t="str">
        <f>'Main inputs'!E87</f>
        <v>Dehulling</v>
      </c>
      <c r="AT3" s="9" t="str">
        <f>'Main inputs'!F87</f>
        <v>Milling</v>
      </c>
      <c r="AU3" s="9" t="str">
        <f>'Main inputs'!G87</f>
        <v>Irrigation</v>
      </c>
      <c r="AV3" s="9" t="str">
        <f>'Main inputs'!H87</f>
        <v>Shelling</v>
      </c>
      <c r="AW3" s="9" t="str">
        <f>'Main inputs'!I87</f>
        <v>De-skinning</v>
      </c>
      <c r="AX3" s="9" t="str">
        <f>'Main inputs'!J87</f>
        <v>Roasting</v>
      </c>
      <c r="AY3" s="9" t="str">
        <f>'Main inputs'!K87</f>
        <v>Peanut butter</v>
      </c>
      <c r="AZ3" s="9" t="str">
        <f>'Main inputs'!L87</f>
        <v>Irrigation</v>
      </c>
      <c r="BA3" s="9" t="str">
        <f>'Main inputs'!M87</f>
        <v>Threshing</v>
      </c>
      <c r="BB3" s="9" t="str">
        <f>'Main inputs'!N87</f>
        <v>Dehulling</v>
      </c>
      <c r="BC3" s="9" t="str">
        <f>'Main inputs'!O87</f>
        <v>Milling</v>
      </c>
      <c r="BD3" s="9" t="str">
        <f>'Main inputs'!P87</f>
        <v>Irrigation</v>
      </c>
    </row>
    <row r="4" spans="1:56" ht="15.75" customHeight="1" x14ac:dyDescent="0.15">
      <c r="A4" s="5" t="s">
        <v>134</v>
      </c>
      <c r="B4" s="17">
        <f>0-'Payback period results'!C25</f>
        <v>-2361</v>
      </c>
      <c r="C4" s="17">
        <f>0-'Payback period results'!D25</f>
        <v>-1566</v>
      </c>
      <c r="D4" s="17">
        <f>0-'Payback period results'!E25</f>
        <v>-2420</v>
      </c>
      <c r="E4" s="17">
        <f>0-'Payback period results'!F25</f>
        <v>-3000</v>
      </c>
      <c r="F4" s="17">
        <f>0-'Payback period results'!G25</f>
        <v>-2361</v>
      </c>
      <c r="G4" s="17">
        <f>0-'Payback period results'!H25</f>
        <v>-3250</v>
      </c>
      <c r="H4" s="17">
        <f>0-'Payback period results'!I25</f>
        <v>-2000</v>
      </c>
      <c r="I4" s="17">
        <f>0-'Payback period results'!J25</f>
        <v>-285</v>
      </c>
      <c r="J4" s="17">
        <f>0-'Payback period results'!K25</f>
        <v>-2000</v>
      </c>
      <c r="K4" s="17">
        <f>0-'Payback period results'!L25</f>
        <v>-2361</v>
      </c>
      <c r="L4" s="17">
        <f>0-'Payback period results'!M25</f>
        <v>-1473</v>
      </c>
      <c r="M4" s="17">
        <f>0-'Payback period results'!N25</f>
        <v>-3614</v>
      </c>
      <c r="N4" s="17">
        <f>0-'Payback period results'!O25</f>
        <v>-1807</v>
      </c>
      <c r="O4" s="17">
        <f>0-'Payback period results'!P25</f>
        <v>-2361</v>
      </c>
      <c r="P4" s="17">
        <f>0-'Payback period results'!Q25</f>
        <v>-738</v>
      </c>
      <c r="Q4" s="17">
        <f>0-'Payback period results'!R25</f>
        <v>-1660</v>
      </c>
      <c r="R4" s="17">
        <f>0-'Payback period results'!S25</f>
        <v>-2500</v>
      </c>
      <c r="S4" s="17">
        <f>0-'Payback period results'!T25</f>
        <v>-2662</v>
      </c>
      <c r="T4" s="17">
        <f>0-'Payback period results'!U25</f>
        <v>-1597</v>
      </c>
      <c r="U4" s="17">
        <f>0-'Payback period results'!V25</f>
        <v>-738</v>
      </c>
      <c r="V4" s="17">
        <f>0-'Payback period results'!W25</f>
        <v>-885</v>
      </c>
      <c r="W4" s="17">
        <f>0-'Payback period results'!X25</f>
        <v>-738</v>
      </c>
      <c r="X4" s="17">
        <f>0-'Payback period results'!Y25</f>
        <v>-1200</v>
      </c>
      <c r="Y4" s="17">
        <f>0-'Payback period results'!Z25</f>
        <v>-2263</v>
      </c>
      <c r="Z4" s="17">
        <f>0-'Payback period results'!AA25</f>
        <v>-879</v>
      </c>
      <c r="AA4" s="17">
        <f>0-'Payback period results'!AB25</f>
        <v>-738</v>
      </c>
      <c r="AB4" s="17">
        <f>0-'Payback period results'!AC25</f>
        <v>-738</v>
      </c>
      <c r="AC4" s="17">
        <f>0-'Payback period results'!AD25</f>
        <v>-1118</v>
      </c>
      <c r="AD4" s="17">
        <f>0-'Payback period results'!AE25</f>
        <v>-894</v>
      </c>
      <c r="AE4" s="17">
        <f>0-'Payback period results'!AF25</f>
        <v>-1888</v>
      </c>
      <c r="AF4" s="17">
        <f>0-'Payback period results'!AG25</f>
        <v>-738</v>
      </c>
      <c r="AG4" s="17">
        <f>0-'Payback period results'!AH25</f>
        <v>-2329</v>
      </c>
      <c r="AH4" s="17">
        <f>0-'Payback period results'!AI25</f>
        <v>-4550</v>
      </c>
      <c r="AI4" s="17">
        <f>0-'Payback period results'!AJ25</f>
        <v>-1888</v>
      </c>
      <c r="AJ4" s="17">
        <f>0-'Payback period results'!AK25</f>
        <v>-2329</v>
      </c>
      <c r="AK4" s="17">
        <f>0-'Payback period results'!AL25</f>
        <v>-738</v>
      </c>
      <c r="AL4" s="17">
        <f>0-'Payback period results'!AM25</f>
        <v>-1778</v>
      </c>
      <c r="AM4" s="17">
        <f>0-'Payback period results'!AN25</f>
        <v>-2059</v>
      </c>
      <c r="AN4" s="17">
        <f>0-'Payback period results'!AO25</f>
        <v>-900</v>
      </c>
      <c r="AO4" s="17">
        <f>0-'Payback period results'!AP25</f>
        <v>-2000</v>
      </c>
      <c r="AP4" s="17">
        <f>0-'Payback period results'!AQ25</f>
        <v>-738</v>
      </c>
      <c r="AQ4" s="17">
        <f>0-'Payback period results'!AR25</f>
        <v>-690</v>
      </c>
      <c r="AR4" s="17">
        <f>0-'Payback period results'!AS25</f>
        <v>-1880</v>
      </c>
      <c r="AS4" s="17">
        <f>0-'Payback period results'!AT25</f>
        <v>-2400</v>
      </c>
      <c r="AT4" s="17">
        <f>0-'Payback period results'!AU25</f>
        <v>-285</v>
      </c>
      <c r="AU4" s="17">
        <f>0-'Payback period results'!AV25</f>
        <v>-690</v>
      </c>
      <c r="AV4" s="17">
        <f>0-'Payback period results'!AW25</f>
        <v>-1675</v>
      </c>
      <c r="AW4" s="17">
        <f>0-'Payback period results'!AX25</f>
        <v>-900</v>
      </c>
      <c r="AX4" s="17">
        <f>0-'Payback period results'!AY25</f>
        <v>-2500</v>
      </c>
      <c r="AY4" s="17">
        <f>0-'Payback period results'!AZ25</f>
        <v>-2000</v>
      </c>
      <c r="AZ4" s="17">
        <f>0-'Payback period results'!BA25</f>
        <v>-690</v>
      </c>
      <c r="BA4" s="17">
        <f>0-'Payback period results'!BB25</f>
        <v>-1880</v>
      </c>
      <c r="BB4" s="17">
        <f>0-'Payback period results'!BC25</f>
        <v>-2000</v>
      </c>
      <c r="BC4" s="17">
        <f>0-'Payback period results'!BD25</f>
        <v>-285</v>
      </c>
      <c r="BD4" s="17">
        <f>0-'Payback period results'!BE25</f>
        <v>-690</v>
      </c>
    </row>
    <row r="5" spans="1:56" ht="15.75" customHeight="1" x14ac:dyDescent="0.15">
      <c r="A5" s="5" t="s">
        <v>135</v>
      </c>
      <c r="B5" s="17">
        <f>'Payback period results'!$C$22</f>
        <v>1647.8963855421689</v>
      </c>
      <c r="C5" s="17">
        <f>'Payback period results'!$D$22</f>
        <v>677.56873956626544</v>
      </c>
      <c r="D5" s="17">
        <f>'Payback period results'!$E$22</f>
        <v>745.16983156626509</v>
      </c>
      <c r="E5" s="17">
        <f>'Payback period results'!$F$22</f>
        <v>3670.9098674698789</v>
      </c>
      <c r="F5" s="17">
        <f>'Payback period results'!$G$22</f>
        <v>-973.85956110154893</v>
      </c>
      <c r="G5" s="17">
        <f>'Payback period results'!$H$22</f>
        <v>1931.7986513252999</v>
      </c>
      <c r="H5" s="17">
        <f>'Payback period results'!$I$22</f>
        <v>1454.9522813253016</v>
      </c>
      <c r="I5" s="17">
        <f>'Payback period results'!$J$22</f>
        <v>389.34103132530072</v>
      </c>
      <c r="J5" s="17">
        <f>'Payback period results'!$K$22</f>
        <v>916.86748132530101</v>
      </c>
      <c r="K5" s="17">
        <f>'Payback period results'!$L$22</f>
        <v>2609.9879518072294</v>
      </c>
      <c r="L5" s="17">
        <f>'Payback period results'!$M$22</f>
        <v>619.71616656626509</v>
      </c>
      <c r="M5" s="17">
        <f>'Payback period results'!$N$22</f>
        <v>341.19857089156653</v>
      </c>
      <c r="N5" s="17">
        <f>'Payback period results'!$O$22</f>
        <v>653.70087951807272</v>
      </c>
      <c r="O5" s="17">
        <f>'Payback period results'!$P$22</f>
        <v>2803.8096385542167</v>
      </c>
      <c r="P5" s="17">
        <f>'Payback period results'!$Q$22</f>
        <v>3304.0457167904665</v>
      </c>
      <c r="Q5" s="17">
        <f>'Payback period results'!$R$22</f>
        <v>1066.068119464999</v>
      </c>
      <c r="R5" s="17">
        <f>'Payback period results'!$S$22</f>
        <v>3441.0059742880071</v>
      </c>
      <c r="S5" s="17">
        <f>'Payback period results'!$T$22</f>
        <v>946.62674063510622</v>
      </c>
      <c r="T5" s="17">
        <f>'Payback period results'!$U$22</f>
        <v>1582.5304906351059</v>
      </c>
      <c r="U5" s="17">
        <f>'Payback period results'!$V$22</f>
        <v>-1304.1935022009657</v>
      </c>
      <c r="V5" s="17">
        <f>'Payback period results'!$W$22</f>
        <v>-2013.6089710168087</v>
      </c>
      <c r="W5" s="17">
        <f>'Payback period results'!$X$22</f>
        <v>3927.0283765063714</v>
      </c>
      <c r="X5" s="17">
        <f>'Payback period results'!$Y$22</f>
        <v>282.54962428800786</v>
      </c>
      <c r="Y5" s="17">
        <f>'Payback period results'!$Z$22</f>
        <v>2182.675349288008</v>
      </c>
      <c r="Z5" s="17">
        <f>'Payback period results'!$AA$22</f>
        <v>771.96247428800768</v>
      </c>
      <c r="AA5" s="17">
        <f>'Payback period results'!$AB$22</f>
        <v>7062.9542713627379</v>
      </c>
      <c r="AB5" s="17">
        <f>'Payback period results'!$AC$22</f>
        <v>3439.8692859673993</v>
      </c>
      <c r="AC5" s="17">
        <f>'Payback period results'!$AD$22</f>
        <v>311.11922714387026</v>
      </c>
      <c r="AD5" s="17">
        <f>'Payback period results'!$AE$22</f>
        <v>450.64487420269438</v>
      </c>
      <c r="AE5" s="17">
        <f>'Payback period results'!$AF$22</f>
        <v>1232.5211242026894</v>
      </c>
      <c r="AF5" s="17">
        <f>'Payback period results'!$AG$22</f>
        <v>-678.6160123519287</v>
      </c>
      <c r="AG5" s="17">
        <f>'Payback period results'!$AH$22</f>
        <v>547.57178596739868</v>
      </c>
      <c r="AH5" s="17">
        <f>'Payback period results'!$AI$22</f>
        <v>4321.9567859673989</v>
      </c>
      <c r="AI5" s="17">
        <f>'Payback period results'!$AJ$22</f>
        <v>2748.3567859673985</v>
      </c>
      <c r="AJ5" s="17">
        <f>'Payback period results'!$AK$22</f>
        <v>1074.7367859673986</v>
      </c>
      <c r="AK5" s="17">
        <f>'Payback period results'!$AL$22</f>
        <v>3490.1266599169785</v>
      </c>
      <c r="AL5" s="17">
        <f>'Payback period results'!$AM$22</f>
        <v>492.17722714386957</v>
      </c>
      <c r="AM5" s="17">
        <f>'Payback period results'!$AN$22</f>
        <v>6498.3764918497536</v>
      </c>
      <c r="AN5" s="17">
        <f>'Payback period results'!$AO$22</f>
        <v>14.806491849752092</v>
      </c>
      <c r="AO5" s="17">
        <f>'Payback period results'!$AP$22</f>
        <v>5082.814491849751</v>
      </c>
      <c r="AP5" s="17">
        <f>'Payback period results'!$AQ$22</f>
        <v>6621.777374202693</v>
      </c>
      <c r="AQ5" s="17">
        <f>'Payback period results'!$AR$22</f>
        <v>1659.9808235039604</v>
      </c>
      <c r="AR5" s="17">
        <f>'Payback period results'!$AS$22</f>
        <v>980.20273786860093</v>
      </c>
      <c r="AS5" s="17">
        <f>'Payback period results'!$AT$22</f>
        <v>1749.2291563768872</v>
      </c>
      <c r="AT5" s="17">
        <f>'Payback period results'!$AU$22</f>
        <v>-271.01879362311161</v>
      </c>
      <c r="AU5" s="17">
        <f>'Payback period results'!$AV$22</f>
        <v>1555.343812059604</v>
      </c>
      <c r="AV5" s="17">
        <f>'Payback period results'!$AW$22</f>
        <v>2386.5507378686016</v>
      </c>
      <c r="AW5" s="17">
        <f>'Payback period results'!$AX$22</f>
        <v>944.56073786860145</v>
      </c>
      <c r="AX5" s="17">
        <f>'Payback period results'!$AY$22</f>
        <v>2860.9645776476068</v>
      </c>
      <c r="AY5" s="17">
        <f>'Payback period results'!$AZ$22</f>
        <v>6395.1189776476076</v>
      </c>
      <c r="AZ5" s="17">
        <f>'Payback period results'!$BA$22</f>
        <v>1646.3503235039607</v>
      </c>
      <c r="BA5" s="17">
        <f>'Payback period results'!$BB$22</f>
        <v>3412.5337378686008</v>
      </c>
      <c r="BB5" s="17">
        <f>'Payback period results'!$BC$22</f>
        <v>3802.2416563768875</v>
      </c>
      <c r="BC5" s="17">
        <f>'Payback period results'!$BD$22</f>
        <v>428.56965637688836</v>
      </c>
      <c r="BD5" s="17">
        <f>'Payback period results'!$BE$22</f>
        <v>4080.5793235039609</v>
      </c>
    </row>
    <row r="6" spans="1:56" ht="15.75" customHeight="1" x14ac:dyDescent="0.15">
      <c r="A6" s="5" t="s">
        <v>136</v>
      </c>
      <c r="B6" s="17">
        <f>'Payback period results'!$C$22</f>
        <v>1647.8963855421689</v>
      </c>
      <c r="C6" s="17">
        <f>'Payback period results'!$D$22</f>
        <v>677.56873956626544</v>
      </c>
      <c r="D6" s="17">
        <f>'Payback period results'!$E$22</f>
        <v>745.16983156626509</v>
      </c>
      <c r="E6" s="17">
        <f>'Payback period results'!$F$22</f>
        <v>3670.9098674698789</v>
      </c>
      <c r="F6" s="17">
        <f>'Payback period results'!$G$22</f>
        <v>-973.85956110154893</v>
      </c>
      <c r="G6" s="17">
        <f>'Payback period results'!$H$22</f>
        <v>1931.7986513252999</v>
      </c>
      <c r="H6" s="17">
        <f>'Payback period results'!$I$22</f>
        <v>1454.9522813253016</v>
      </c>
      <c r="I6" s="17">
        <f>'Payback period results'!$J$22</f>
        <v>389.34103132530072</v>
      </c>
      <c r="J6" s="17">
        <f>'Payback period results'!$K$22</f>
        <v>916.86748132530101</v>
      </c>
      <c r="K6" s="17">
        <f>'Payback period results'!$L$22</f>
        <v>2609.9879518072294</v>
      </c>
      <c r="L6" s="17">
        <f>'Payback period results'!$M$22</f>
        <v>619.71616656626509</v>
      </c>
      <c r="M6" s="17">
        <f>'Payback period results'!$N$22</f>
        <v>341.19857089156653</v>
      </c>
      <c r="N6" s="17">
        <f>'Payback period results'!$O$22</f>
        <v>653.70087951807272</v>
      </c>
      <c r="O6" s="17">
        <f>'Payback period results'!$P$22</f>
        <v>2803.8096385542167</v>
      </c>
      <c r="P6" s="17">
        <f>'Payback period results'!$Q$22</f>
        <v>3304.0457167904665</v>
      </c>
      <c r="Q6" s="17">
        <f>'Payback period results'!$R$22</f>
        <v>1066.068119464999</v>
      </c>
      <c r="R6" s="17">
        <f>'Payback period results'!$S$22</f>
        <v>3441.0059742880071</v>
      </c>
      <c r="S6" s="17">
        <f>'Payback period results'!$T$22</f>
        <v>946.62674063510622</v>
      </c>
      <c r="T6" s="17">
        <f>'Payback period results'!$U$22</f>
        <v>1582.5304906351059</v>
      </c>
      <c r="U6" s="17">
        <f>'Payback period results'!$V$22</f>
        <v>-1304.1935022009657</v>
      </c>
      <c r="V6" s="17">
        <f>'Payback period results'!$W$22</f>
        <v>-2013.6089710168087</v>
      </c>
      <c r="W6" s="17">
        <f>'Payback period results'!$X$22</f>
        <v>3927.0283765063714</v>
      </c>
      <c r="X6" s="17">
        <f>'Payback period results'!$Y$22</f>
        <v>282.54962428800786</v>
      </c>
      <c r="Y6" s="17">
        <f>'Payback period results'!$Z$22</f>
        <v>2182.675349288008</v>
      </c>
      <c r="Z6" s="17">
        <f>'Payback period results'!$AA$22</f>
        <v>771.96247428800768</v>
      </c>
      <c r="AA6" s="17">
        <f>'Payback period results'!$AB$22</f>
        <v>7062.9542713627379</v>
      </c>
      <c r="AB6" s="17">
        <f>'Payback period results'!$AC$22</f>
        <v>3439.8692859673993</v>
      </c>
      <c r="AC6" s="17">
        <f>'Payback period results'!$AD$22</f>
        <v>311.11922714387026</v>
      </c>
      <c r="AD6" s="17">
        <f>'Payback period results'!$AE$22</f>
        <v>450.64487420269438</v>
      </c>
      <c r="AE6" s="17">
        <f>'Payback period results'!$AF$22</f>
        <v>1232.5211242026894</v>
      </c>
      <c r="AF6" s="17">
        <f>'Payback period results'!$AG$22</f>
        <v>-678.6160123519287</v>
      </c>
      <c r="AG6" s="17">
        <f>'Payback period results'!$AH$22</f>
        <v>547.57178596739868</v>
      </c>
      <c r="AH6" s="17">
        <f>'Payback period results'!$AI$22</f>
        <v>4321.9567859673989</v>
      </c>
      <c r="AI6" s="17">
        <f>'Payback period results'!$AJ$22</f>
        <v>2748.3567859673985</v>
      </c>
      <c r="AJ6" s="17">
        <f>'Payback period results'!$AK$22</f>
        <v>1074.7367859673986</v>
      </c>
      <c r="AK6" s="17">
        <f>'Payback period results'!$AL$22</f>
        <v>3490.1266599169785</v>
      </c>
      <c r="AL6" s="17">
        <f>'Payback period results'!$AM$22</f>
        <v>492.17722714386957</v>
      </c>
      <c r="AM6" s="17">
        <f>'Payback period results'!$AN$22</f>
        <v>6498.3764918497536</v>
      </c>
      <c r="AN6" s="17">
        <f>'Payback period results'!$AO$22</f>
        <v>14.806491849752092</v>
      </c>
      <c r="AO6" s="17">
        <f>'Payback period results'!$AP$22</f>
        <v>5082.814491849751</v>
      </c>
      <c r="AP6" s="17">
        <f>'Payback period results'!$AQ$22</f>
        <v>6621.777374202693</v>
      </c>
      <c r="AQ6" s="17">
        <f>'Payback period results'!$AR$22</f>
        <v>1659.9808235039604</v>
      </c>
      <c r="AR6" s="17">
        <f>'Payback period results'!$AS$22</f>
        <v>980.20273786860093</v>
      </c>
      <c r="AS6" s="17">
        <f>'Payback period results'!$AT$22</f>
        <v>1749.2291563768872</v>
      </c>
      <c r="AT6" s="17">
        <f>'Payback period results'!$AU$22</f>
        <v>-271.01879362311161</v>
      </c>
      <c r="AU6" s="17">
        <f>'Payback period results'!$AV$22</f>
        <v>1555.343812059604</v>
      </c>
      <c r="AV6" s="17">
        <f>'Payback period results'!$AW$22</f>
        <v>2386.5507378686016</v>
      </c>
      <c r="AW6" s="17">
        <f>'Payback period results'!$AX$22</f>
        <v>944.56073786860145</v>
      </c>
      <c r="AX6" s="17">
        <f>'Payback period results'!$AY$22</f>
        <v>2860.9645776476068</v>
      </c>
      <c r="AY6" s="17">
        <f>'Payback period results'!$AZ$22</f>
        <v>6395.1189776476076</v>
      </c>
      <c r="AZ6" s="17">
        <f>'Payback period results'!$BA$22</f>
        <v>1646.3503235039607</v>
      </c>
      <c r="BA6" s="17">
        <f>'Payback period results'!$BB$22</f>
        <v>3412.5337378686008</v>
      </c>
      <c r="BB6" s="17">
        <f>'Payback period results'!$BC$22</f>
        <v>3802.2416563768875</v>
      </c>
      <c r="BC6" s="17">
        <f>'Payback period results'!$BD$22</f>
        <v>428.56965637688836</v>
      </c>
      <c r="BD6" s="17">
        <f>'Payback period results'!$BE$22</f>
        <v>4080.5793235039609</v>
      </c>
    </row>
    <row r="7" spans="1:56" ht="15.75" customHeight="1" x14ac:dyDescent="0.15">
      <c r="A7" s="5" t="s">
        <v>137</v>
      </c>
      <c r="B7" s="17">
        <f>'Payback period results'!$C$22</f>
        <v>1647.8963855421689</v>
      </c>
      <c r="C7" s="17">
        <f>'Payback period results'!$D$22</f>
        <v>677.56873956626544</v>
      </c>
      <c r="D7" s="17">
        <f>'Payback period results'!$E$22</f>
        <v>745.16983156626509</v>
      </c>
      <c r="E7" s="17">
        <f>'Payback period results'!$F$22</f>
        <v>3670.9098674698789</v>
      </c>
      <c r="F7" s="17">
        <f>'Payback period results'!$G$22</f>
        <v>-973.85956110154893</v>
      </c>
      <c r="G7" s="17">
        <f>'Payback period results'!$H$22</f>
        <v>1931.7986513252999</v>
      </c>
      <c r="H7" s="17">
        <f>'Payback period results'!$I$22</f>
        <v>1454.9522813253016</v>
      </c>
      <c r="I7" s="17">
        <f>'Payback period results'!$J$22</f>
        <v>389.34103132530072</v>
      </c>
      <c r="J7" s="17">
        <f>'Payback period results'!$K$22</f>
        <v>916.86748132530101</v>
      </c>
      <c r="K7" s="17">
        <f>'Payback period results'!$L$22</f>
        <v>2609.9879518072294</v>
      </c>
      <c r="L7" s="17">
        <f>'Payback period results'!$M$22</f>
        <v>619.71616656626509</v>
      </c>
      <c r="M7" s="17">
        <f>'Payback period results'!$N$22</f>
        <v>341.19857089156653</v>
      </c>
      <c r="N7" s="17">
        <f>'Payback period results'!$O$22</f>
        <v>653.70087951807272</v>
      </c>
      <c r="O7" s="17">
        <f>'Payback period results'!$P$22</f>
        <v>2803.8096385542167</v>
      </c>
      <c r="P7" s="17">
        <f>'Payback period results'!$Q$22</f>
        <v>3304.0457167904665</v>
      </c>
      <c r="Q7" s="17">
        <f>'Payback period results'!$R$22</f>
        <v>1066.068119464999</v>
      </c>
      <c r="R7" s="17">
        <f>'Payback period results'!$S$22</f>
        <v>3441.0059742880071</v>
      </c>
      <c r="S7" s="17">
        <f>'Payback period results'!$T$22</f>
        <v>946.62674063510622</v>
      </c>
      <c r="T7" s="17">
        <f>'Payback period results'!$U$22</f>
        <v>1582.5304906351059</v>
      </c>
      <c r="U7" s="17">
        <f>'Payback period results'!$V$22</f>
        <v>-1304.1935022009657</v>
      </c>
      <c r="V7" s="17">
        <f>'Payback period results'!$W$22</f>
        <v>-2013.6089710168087</v>
      </c>
      <c r="W7" s="17">
        <f>'Payback period results'!$X$22</f>
        <v>3927.0283765063714</v>
      </c>
      <c r="X7" s="17">
        <f>'Payback period results'!$Y$22</f>
        <v>282.54962428800786</v>
      </c>
      <c r="Y7" s="17">
        <f>'Payback period results'!$Z$22</f>
        <v>2182.675349288008</v>
      </c>
      <c r="Z7" s="17">
        <f>'Payback period results'!$AA$22</f>
        <v>771.96247428800768</v>
      </c>
      <c r="AA7" s="17">
        <f>'Payback period results'!$AB$22</f>
        <v>7062.9542713627379</v>
      </c>
      <c r="AB7" s="17">
        <f>'Payback period results'!$AC$22</f>
        <v>3439.8692859673993</v>
      </c>
      <c r="AC7" s="17">
        <f>'Payback period results'!$AD$22</f>
        <v>311.11922714387026</v>
      </c>
      <c r="AD7" s="17">
        <f>'Payback period results'!$AE$22</f>
        <v>450.64487420269438</v>
      </c>
      <c r="AE7" s="17">
        <f>'Payback period results'!$AF$22</f>
        <v>1232.5211242026894</v>
      </c>
      <c r="AF7" s="17">
        <f>'Payback period results'!$AG$22</f>
        <v>-678.6160123519287</v>
      </c>
      <c r="AG7" s="17">
        <f>'Payback period results'!$AH$22</f>
        <v>547.57178596739868</v>
      </c>
      <c r="AH7" s="17">
        <f>'Payback period results'!$AI$22</f>
        <v>4321.9567859673989</v>
      </c>
      <c r="AI7" s="17">
        <f>'Payback period results'!$AJ$22</f>
        <v>2748.3567859673985</v>
      </c>
      <c r="AJ7" s="17">
        <f>'Payback period results'!$AK$22</f>
        <v>1074.7367859673986</v>
      </c>
      <c r="AK7" s="17">
        <f>'Payback period results'!$AL$22</f>
        <v>3490.1266599169785</v>
      </c>
      <c r="AL7" s="17">
        <f>'Payback period results'!$AM$22</f>
        <v>492.17722714386957</v>
      </c>
      <c r="AM7" s="17">
        <f>'Payback period results'!$AN$22</f>
        <v>6498.3764918497536</v>
      </c>
      <c r="AN7" s="17">
        <f>'Payback period results'!$AO$22</f>
        <v>14.806491849752092</v>
      </c>
      <c r="AO7" s="17">
        <f>'Payback period results'!$AP$22</f>
        <v>5082.814491849751</v>
      </c>
      <c r="AP7" s="17">
        <f>'Payback period results'!$AQ$22</f>
        <v>6621.777374202693</v>
      </c>
      <c r="AQ7" s="17">
        <f>'Payback period results'!$AR$22</f>
        <v>1659.9808235039604</v>
      </c>
      <c r="AR7" s="17">
        <f>'Payback period results'!$AS$22</f>
        <v>980.20273786860093</v>
      </c>
      <c r="AS7" s="17">
        <f>'Payback period results'!$AT$22</f>
        <v>1749.2291563768872</v>
      </c>
      <c r="AT7" s="17">
        <f>'Payback period results'!$AU$22</f>
        <v>-271.01879362311161</v>
      </c>
      <c r="AU7" s="17">
        <f>'Payback period results'!$AV$22</f>
        <v>1555.343812059604</v>
      </c>
      <c r="AV7" s="17">
        <f>'Payback period results'!$AW$22</f>
        <v>2386.5507378686016</v>
      </c>
      <c r="AW7" s="17">
        <f>'Payback period results'!$AX$22</f>
        <v>944.56073786860145</v>
      </c>
      <c r="AX7" s="17">
        <f>'Payback period results'!$AY$22</f>
        <v>2860.9645776476068</v>
      </c>
      <c r="AY7" s="17">
        <f>'Payback period results'!$AZ$22</f>
        <v>6395.1189776476076</v>
      </c>
      <c r="AZ7" s="17">
        <f>'Payback period results'!$BA$22</f>
        <v>1646.3503235039607</v>
      </c>
      <c r="BA7" s="17">
        <f>'Payback period results'!$BB$22</f>
        <v>3412.5337378686008</v>
      </c>
      <c r="BB7" s="17">
        <f>'Payback period results'!$BC$22</f>
        <v>3802.2416563768875</v>
      </c>
      <c r="BC7" s="17">
        <f>'Payback period results'!$BD$22</f>
        <v>428.56965637688836</v>
      </c>
      <c r="BD7" s="17">
        <f>'Payback period results'!$BE$22</f>
        <v>4080.5793235039609</v>
      </c>
    </row>
    <row r="8" spans="1:56" ht="15.75" customHeight="1" x14ac:dyDescent="0.15">
      <c r="A8" s="5" t="s">
        <v>138</v>
      </c>
      <c r="B8" s="17">
        <f>'Payback period results'!$C$22</f>
        <v>1647.8963855421689</v>
      </c>
      <c r="C8" s="17">
        <f>'Payback period results'!$D$22</f>
        <v>677.56873956626544</v>
      </c>
      <c r="D8" s="17">
        <f>'Payback period results'!$E$22</f>
        <v>745.16983156626509</v>
      </c>
      <c r="E8" s="17">
        <f>'Payback period results'!$F$22</f>
        <v>3670.9098674698789</v>
      </c>
      <c r="F8" s="17">
        <f>'Payback period results'!$G$22</f>
        <v>-973.85956110154893</v>
      </c>
      <c r="G8" s="17">
        <f>'Payback period results'!$H$22</f>
        <v>1931.7986513252999</v>
      </c>
      <c r="H8" s="17">
        <f>'Payback period results'!$I$22</f>
        <v>1454.9522813253016</v>
      </c>
      <c r="I8" s="17">
        <f>'Payback period results'!$J$22</f>
        <v>389.34103132530072</v>
      </c>
      <c r="J8" s="17">
        <f>'Payback period results'!$K$22</f>
        <v>916.86748132530101</v>
      </c>
      <c r="K8" s="17">
        <f>'Payback period results'!$L$22</f>
        <v>2609.9879518072294</v>
      </c>
      <c r="L8" s="17">
        <f>'Payback period results'!$M$22</f>
        <v>619.71616656626509</v>
      </c>
      <c r="M8" s="17">
        <f>'Payback period results'!$N$22</f>
        <v>341.19857089156653</v>
      </c>
      <c r="N8" s="17">
        <f>'Payback period results'!$O$22</f>
        <v>653.70087951807272</v>
      </c>
      <c r="O8" s="17">
        <f>'Payback period results'!$P$22</f>
        <v>2803.8096385542167</v>
      </c>
      <c r="P8" s="17">
        <f>'Payback period results'!$Q$22</f>
        <v>3304.0457167904665</v>
      </c>
      <c r="Q8" s="17">
        <f>'Payback period results'!$R$22</f>
        <v>1066.068119464999</v>
      </c>
      <c r="R8" s="17">
        <f>'Payback period results'!$S$22</f>
        <v>3441.0059742880071</v>
      </c>
      <c r="S8" s="17">
        <f>'Payback period results'!$T$22</f>
        <v>946.62674063510622</v>
      </c>
      <c r="T8" s="17">
        <f>'Payback period results'!$U$22</f>
        <v>1582.5304906351059</v>
      </c>
      <c r="U8" s="17">
        <f>'Payback period results'!$V$22</f>
        <v>-1304.1935022009657</v>
      </c>
      <c r="V8" s="17">
        <f>'Payback period results'!$W$22</f>
        <v>-2013.6089710168087</v>
      </c>
      <c r="W8" s="17">
        <f>'Payback period results'!$X$22</f>
        <v>3927.0283765063714</v>
      </c>
      <c r="X8" s="17">
        <f>'Payback period results'!$Y$22</f>
        <v>282.54962428800786</v>
      </c>
      <c r="Y8" s="17">
        <f>'Payback period results'!$Z$22</f>
        <v>2182.675349288008</v>
      </c>
      <c r="Z8" s="17">
        <f>'Payback period results'!$AA$22</f>
        <v>771.96247428800768</v>
      </c>
      <c r="AA8" s="17">
        <f>'Payback period results'!$AB$22</f>
        <v>7062.9542713627379</v>
      </c>
      <c r="AB8" s="17">
        <f>'Payback period results'!$AC$22</f>
        <v>3439.8692859673993</v>
      </c>
      <c r="AC8" s="17">
        <f>'Payback period results'!$AD$22</f>
        <v>311.11922714387026</v>
      </c>
      <c r="AD8" s="17">
        <f>'Payback period results'!$AE$22</f>
        <v>450.64487420269438</v>
      </c>
      <c r="AE8" s="17">
        <f>'Payback period results'!$AF$22</f>
        <v>1232.5211242026894</v>
      </c>
      <c r="AF8" s="17">
        <f>'Payback period results'!$AG$22</f>
        <v>-678.6160123519287</v>
      </c>
      <c r="AG8" s="17">
        <f>'Payback period results'!$AH$22</f>
        <v>547.57178596739868</v>
      </c>
      <c r="AH8" s="17">
        <f>'Payback period results'!$AI$22</f>
        <v>4321.9567859673989</v>
      </c>
      <c r="AI8" s="17">
        <f>'Payback period results'!$AJ$22</f>
        <v>2748.3567859673985</v>
      </c>
      <c r="AJ8" s="17">
        <f>'Payback period results'!$AK$22</f>
        <v>1074.7367859673986</v>
      </c>
      <c r="AK8" s="17">
        <f>'Payback period results'!$AL$22</f>
        <v>3490.1266599169785</v>
      </c>
      <c r="AL8" s="17">
        <f>'Payback period results'!$AM$22</f>
        <v>492.17722714386957</v>
      </c>
      <c r="AM8" s="17">
        <f>'Payback period results'!$AN$22</f>
        <v>6498.3764918497536</v>
      </c>
      <c r="AN8" s="17">
        <f>'Payback period results'!$AO$22</f>
        <v>14.806491849752092</v>
      </c>
      <c r="AO8" s="17">
        <f>'Payback period results'!$AP$22</f>
        <v>5082.814491849751</v>
      </c>
      <c r="AP8" s="17">
        <f>'Payback period results'!$AQ$22</f>
        <v>6621.777374202693</v>
      </c>
      <c r="AQ8" s="17">
        <f>'Payback period results'!$AR$22</f>
        <v>1659.9808235039604</v>
      </c>
      <c r="AR8" s="17">
        <f>'Payback period results'!$AS$22</f>
        <v>980.20273786860093</v>
      </c>
      <c r="AS8" s="17">
        <f>'Payback period results'!$AT$22</f>
        <v>1749.2291563768872</v>
      </c>
      <c r="AT8" s="17">
        <f>'Payback period results'!$AU$22</f>
        <v>-271.01879362311161</v>
      </c>
      <c r="AU8" s="17">
        <f>'Payback period results'!$AV$22</f>
        <v>1555.343812059604</v>
      </c>
      <c r="AV8" s="17">
        <f>'Payback period results'!$AW$22</f>
        <v>2386.5507378686016</v>
      </c>
      <c r="AW8" s="17">
        <f>'Payback period results'!$AX$22</f>
        <v>944.56073786860145</v>
      </c>
      <c r="AX8" s="17">
        <f>'Payback period results'!$AY$22</f>
        <v>2860.9645776476068</v>
      </c>
      <c r="AY8" s="17">
        <f>'Payback period results'!$AZ$22</f>
        <v>6395.1189776476076</v>
      </c>
      <c r="AZ8" s="17">
        <f>'Payback period results'!$BA$22</f>
        <v>1646.3503235039607</v>
      </c>
      <c r="BA8" s="17">
        <f>'Payback period results'!$BB$22</f>
        <v>3412.5337378686008</v>
      </c>
      <c r="BB8" s="17">
        <f>'Payback period results'!$BC$22</f>
        <v>3802.2416563768875</v>
      </c>
      <c r="BC8" s="17">
        <f>'Payback period results'!$BD$22</f>
        <v>428.56965637688836</v>
      </c>
      <c r="BD8" s="17">
        <f>'Payback period results'!$BE$22</f>
        <v>4080.5793235039609</v>
      </c>
    </row>
    <row r="9" spans="1:56" ht="15.75" customHeight="1" x14ac:dyDescent="0.15">
      <c r="A9" s="5" t="s">
        <v>139</v>
      </c>
      <c r="B9" s="17">
        <f>'Payback period results'!$C$22</f>
        <v>1647.8963855421689</v>
      </c>
      <c r="C9" s="17">
        <f>'Payback period results'!$D$22</f>
        <v>677.56873956626544</v>
      </c>
      <c r="D9" s="17">
        <f>'Payback period results'!$E$22</f>
        <v>745.16983156626509</v>
      </c>
      <c r="E9" s="17">
        <f>'Payback period results'!$F$22</f>
        <v>3670.9098674698789</v>
      </c>
      <c r="F9" s="17">
        <f>'Payback period results'!$G$22</f>
        <v>-973.85956110154893</v>
      </c>
      <c r="G9" s="17">
        <f>'Payback period results'!$H$22</f>
        <v>1931.7986513252999</v>
      </c>
      <c r="H9" s="17">
        <f>'Payback period results'!$I$22</f>
        <v>1454.9522813253016</v>
      </c>
      <c r="I9" s="17">
        <f>'Payback period results'!$J$22</f>
        <v>389.34103132530072</v>
      </c>
      <c r="J9" s="17">
        <f>'Payback period results'!$K$22</f>
        <v>916.86748132530101</v>
      </c>
      <c r="K9" s="17">
        <f>'Payback period results'!$L$22</f>
        <v>2609.9879518072294</v>
      </c>
      <c r="L9" s="17">
        <f>'Payback period results'!$M$22</f>
        <v>619.71616656626509</v>
      </c>
      <c r="M9" s="17">
        <f>'Payback period results'!$N$22</f>
        <v>341.19857089156653</v>
      </c>
      <c r="N9" s="17">
        <f>'Payback period results'!$O$22</f>
        <v>653.70087951807272</v>
      </c>
      <c r="O9" s="17">
        <f>'Payback period results'!$P$22</f>
        <v>2803.8096385542167</v>
      </c>
      <c r="P9" s="17">
        <f>'Payback period results'!$Q$22</f>
        <v>3304.0457167904665</v>
      </c>
      <c r="Q9" s="17">
        <f>'Payback period results'!$R$22</f>
        <v>1066.068119464999</v>
      </c>
      <c r="R9" s="17">
        <f>'Payback period results'!$S$22</f>
        <v>3441.0059742880071</v>
      </c>
      <c r="S9" s="17">
        <f>'Payback period results'!$T$22</f>
        <v>946.62674063510622</v>
      </c>
      <c r="T9" s="17">
        <f>'Payback period results'!$U$22</f>
        <v>1582.5304906351059</v>
      </c>
      <c r="U9" s="17">
        <f>'Payback period results'!$V$22</f>
        <v>-1304.1935022009657</v>
      </c>
      <c r="V9" s="17">
        <f>'Payback period results'!$W$22</f>
        <v>-2013.6089710168087</v>
      </c>
      <c r="W9" s="17">
        <f>'Payback period results'!$X$22</f>
        <v>3927.0283765063714</v>
      </c>
      <c r="X9" s="17">
        <f>'Payback period results'!$Y$22</f>
        <v>282.54962428800786</v>
      </c>
      <c r="Y9" s="17">
        <f>'Payback period results'!$Z$22</f>
        <v>2182.675349288008</v>
      </c>
      <c r="Z9" s="17">
        <f>'Payback period results'!$AA$22</f>
        <v>771.96247428800768</v>
      </c>
      <c r="AA9" s="17">
        <f>'Payback period results'!$AB$22</f>
        <v>7062.9542713627379</v>
      </c>
      <c r="AB9" s="17">
        <f>'Payback period results'!$AC$22</f>
        <v>3439.8692859673993</v>
      </c>
      <c r="AC9" s="17">
        <f>'Payback period results'!$AD$22</f>
        <v>311.11922714387026</v>
      </c>
      <c r="AD9" s="17">
        <f>'Payback period results'!$AE$22</f>
        <v>450.64487420269438</v>
      </c>
      <c r="AE9" s="17">
        <f>'Payback period results'!$AF$22</f>
        <v>1232.5211242026894</v>
      </c>
      <c r="AF9" s="17">
        <f>'Payback period results'!$AG$22</f>
        <v>-678.6160123519287</v>
      </c>
      <c r="AG9" s="17">
        <f>'Payback period results'!$AH$22</f>
        <v>547.57178596739868</v>
      </c>
      <c r="AH9" s="17">
        <f>'Payback period results'!$AI$22</f>
        <v>4321.9567859673989</v>
      </c>
      <c r="AI9" s="17">
        <f>'Payback period results'!$AJ$22</f>
        <v>2748.3567859673985</v>
      </c>
      <c r="AJ9" s="17">
        <f>'Payback period results'!$AK$22</f>
        <v>1074.7367859673986</v>
      </c>
      <c r="AK9" s="17">
        <f>'Payback period results'!$AL$22</f>
        <v>3490.1266599169785</v>
      </c>
      <c r="AL9" s="17">
        <f>'Payback period results'!$AM$22</f>
        <v>492.17722714386957</v>
      </c>
      <c r="AM9" s="17">
        <f>'Payback period results'!$AN$22</f>
        <v>6498.3764918497536</v>
      </c>
      <c r="AN9" s="17">
        <f>'Payback period results'!$AO$22</f>
        <v>14.806491849752092</v>
      </c>
      <c r="AO9" s="17">
        <f>'Payback period results'!$AP$22</f>
        <v>5082.814491849751</v>
      </c>
      <c r="AP9" s="17">
        <f>'Payback period results'!$AQ$22</f>
        <v>6621.777374202693</v>
      </c>
      <c r="AQ9" s="17">
        <f>'Payback period results'!$AR$22</f>
        <v>1659.9808235039604</v>
      </c>
      <c r="AR9" s="17">
        <f>'Payback period results'!$AS$22</f>
        <v>980.20273786860093</v>
      </c>
      <c r="AS9" s="17">
        <f>'Payback period results'!$AT$22</f>
        <v>1749.2291563768872</v>
      </c>
      <c r="AT9" s="17">
        <f>'Payback period results'!$AU$22</f>
        <v>-271.01879362311161</v>
      </c>
      <c r="AU9" s="17">
        <f>'Payback period results'!$AV$22</f>
        <v>1555.343812059604</v>
      </c>
      <c r="AV9" s="17">
        <f>'Payback period results'!$AW$22</f>
        <v>2386.5507378686016</v>
      </c>
      <c r="AW9" s="17">
        <f>'Payback period results'!$AX$22</f>
        <v>944.56073786860145</v>
      </c>
      <c r="AX9" s="17">
        <f>'Payback period results'!$AY$22</f>
        <v>2860.9645776476068</v>
      </c>
      <c r="AY9" s="17">
        <f>'Payback period results'!$AZ$22</f>
        <v>6395.1189776476076</v>
      </c>
      <c r="AZ9" s="17">
        <f>'Payback period results'!$BA$22</f>
        <v>1646.3503235039607</v>
      </c>
      <c r="BA9" s="17">
        <f>'Payback period results'!$BB$22</f>
        <v>3412.5337378686008</v>
      </c>
      <c r="BB9" s="17">
        <f>'Payback period results'!$BC$22</f>
        <v>3802.2416563768875</v>
      </c>
      <c r="BC9" s="17">
        <f>'Payback period results'!$BD$22</f>
        <v>428.56965637688836</v>
      </c>
      <c r="BD9" s="17">
        <f>'Payback period results'!$BE$22</f>
        <v>4080.5793235039609</v>
      </c>
    </row>
    <row r="10" spans="1:56" ht="15.75" customHeight="1" x14ac:dyDescent="0.15">
      <c r="A10" s="5" t="s">
        <v>140</v>
      </c>
      <c r="B10" s="17">
        <f>'Payback period results'!$C$22</f>
        <v>1647.8963855421689</v>
      </c>
      <c r="C10" s="17">
        <f>'Payback period results'!$D$22</f>
        <v>677.56873956626544</v>
      </c>
      <c r="D10" s="17">
        <f>'Payback period results'!$E$22</f>
        <v>745.16983156626509</v>
      </c>
      <c r="E10" s="17">
        <f>'Payback period results'!$F$22</f>
        <v>3670.9098674698789</v>
      </c>
      <c r="F10" s="17">
        <f>'Payback period results'!$G$22</f>
        <v>-973.85956110154893</v>
      </c>
      <c r="G10" s="17">
        <f>'Payback period results'!$H$22</f>
        <v>1931.7986513252999</v>
      </c>
      <c r="H10" s="17">
        <f>'Payback period results'!$I$22</f>
        <v>1454.9522813253016</v>
      </c>
      <c r="I10" s="17">
        <f>'Payback period results'!$J$22</f>
        <v>389.34103132530072</v>
      </c>
      <c r="J10" s="17">
        <f>'Payback period results'!$K$22</f>
        <v>916.86748132530101</v>
      </c>
      <c r="K10" s="17">
        <f>'Payback period results'!$L$22</f>
        <v>2609.9879518072294</v>
      </c>
      <c r="L10" s="17">
        <f>'Payback period results'!$M$22</f>
        <v>619.71616656626509</v>
      </c>
      <c r="M10" s="17">
        <f>'Payback period results'!$N$22</f>
        <v>341.19857089156653</v>
      </c>
      <c r="N10" s="17">
        <f>'Payback period results'!$O$22</f>
        <v>653.70087951807272</v>
      </c>
      <c r="O10" s="17">
        <f>'Payback period results'!$P$22</f>
        <v>2803.8096385542167</v>
      </c>
      <c r="P10" s="17">
        <f>'Payback period results'!$Q$22</f>
        <v>3304.0457167904665</v>
      </c>
      <c r="Q10" s="17">
        <f>'Payback period results'!$R$22</f>
        <v>1066.068119464999</v>
      </c>
      <c r="R10" s="17">
        <f>'Payback period results'!$S$22</f>
        <v>3441.0059742880071</v>
      </c>
      <c r="S10" s="17">
        <f>'Payback period results'!$T$22</f>
        <v>946.62674063510622</v>
      </c>
      <c r="T10" s="17">
        <f>'Payback period results'!$U$22</f>
        <v>1582.5304906351059</v>
      </c>
      <c r="U10" s="17">
        <f>'Payback period results'!$V$22</f>
        <v>-1304.1935022009657</v>
      </c>
      <c r="V10" s="17">
        <f>'Payback period results'!$W$22</f>
        <v>-2013.6089710168087</v>
      </c>
      <c r="W10" s="17">
        <f>'Payback period results'!$X$22</f>
        <v>3927.0283765063714</v>
      </c>
      <c r="X10" s="17">
        <f>'Payback period results'!$Y$22</f>
        <v>282.54962428800786</v>
      </c>
      <c r="Y10" s="17">
        <f>'Payback period results'!$Z$22</f>
        <v>2182.675349288008</v>
      </c>
      <c r="Z10" s="17">
        <f>'Payback period results'!$AA$22</f>
        <v>771.96247428800768</v>
      </c>
      <c r="AA10" s="17">
        <f>'Payback period results'!$AB$22</f>
        <v>7062.9542713627379</v>
      </c>
      <c r="AB10" s="17">
        <f>'Payback period results'!$AC$22</f>
        <v>3439.8692859673993</v>
      </c>
      <c r="AC10" s="17">
        <f>'Payback period results'!$AD$22</f>
        <v>311.11922714387026</v>
      </c>
      <c r="AD10" s="17">
        <f>'Payback period results'!$AE$22</f>
        <v>450.64487420269438</v>
      </c>
      <c r="AE10" s="17">
        <f>'Payback period results'!$AF$22</f>
        <v>1232.5211242026894</v>
      </c>
      <c r="AF10" s="17">
        <f>'Payback period results'!$AG$22</f>
        <v>-678.6160123519287</v>
      </c>
      <c r="AG10" s="17">
        <f>'Payback period results'!$AH$22</f>
        <v>547.57178596739868</v>
      </c>
      <c r="AH10" s="17">
        <f>'Payback period results'!$AI$22</f>
        <v>4321.9567859673989</v>
      </c>
      <c r="AI10" s="17">
        <f>'Payback period results'!$AJ$22</f>
        <v>2748.3567859673985</v>
      </c>
      <c r="AJ10" s="17">
        <f>'Payback period results'!$AK$22</f>
        <v>1074.7367859673986</v>
      </c>
      <c r="AK10" s="17">
        <f>'Payback period results'!$AL$22</f>
        <v>3490.1266599169785</v>
      </c>
      <c r="AL10" s="17">
        <f>'Payback period results'!$AM$22</f>
        <v>492.17722714386957</v>
      </c>
      <c r="AM10" s="17">
        <f>'Payback period results'!$AN$22</f>
        <v>6498.3764918497536</v>
      </c>
      <c r="AN10" s="17">
        <f>'Payback period results'!$AO$22</f>
        <v>14.806491849752092</v>
      </c>
      <c r="AO10" s="17">
        <f>'Payback period results'!$AP$22</f>
        <v>5082.814491849751</v>
      </c>
      <c r="AP10" s="17">
        <f>'Payback period results'!$AQ$22</f>
        <v>6621.777374202693</v>
      </c>
      <c r="AQ10" s="17">
        <f>'Payback period results'!$AR$22</f>
        <v>1659.9808235039604</v>
      </c>
      <c r="AR10" s="17">
        <f>'Payback period results'!$AS$22</f>
        <v>980.20273786860093</v>
      </c>
      <c r="AS10" s="17">
        <f>'Payback period results'!$AT$22</f>
        <v>1749.2291563768872</v>
      </c>
      <c r="AT10" s="17">
        <f>'Payback period results'!$AU$22</f>
        <v>-271.01879362311161</v>
      </c>
      <c r="AU10" s="17">
        <f>'Payback period results'!$AV$22</f>
        <v>1555.343812059604</v>
      </c>
      <c r="AV10" s="17">
        <f>'Payback period results'!$AW$22</f>
        <v>2386.5507378686016</v>
      </c>
      <c r="AW10" s="17">
        <f>'Payback period results'!$AX$22</f>
        <v>944.56073786860145</v>
      </c>
      <c r="AX10" s="17">
        <f>'Payback period results'!$AY$22</f>
        <v>2860.9645776476068</v>
      </c>
      <c r="AY10" s="17">
        <f>'Payback period results'!$AZ$22</f>
        <v>6395.1189776476076</v>
      </c>
      <c r="AZ10" s="17">
        <f>'Payback period results'!$BA$22</f>
        <v>1646.3503235039607</v>
      </c>
      <c r="BA10" s="17">
        <f>'Payback period results'!$BB$22</f>
        <v>3412.5337378686008</v>
      </c>
      <c r="BB10" s="17">
        <f>'Payback period results'!$BC$22</f>
        <v>3802.2416563768875</v>
      </c>
      <c r="BC10" s="17">
        <f>'Payback period results'!$BD$22</f>
        <v>428.56965637688836</v>
      </c>
      <c r="BD10" s="17">
        <f>'Payback period results'!$BE$22</f>
        <v>4080.5793235039609</v>
      </c>
    </row>
    <row r="11" spans="1:56" ht="15.75" customHeight="1" x14ac:dyDescent="0.15">
      <c r="A11" s="5" t="s">
        <v>141</v>
      </c>
      <c r="B11" s="17">
        <f>'Payback period results'!$C$22</f>
        <v>1647.8963855421689</v>
      </c>
      <c r="C11" s="17">
        <f>'Payback period results'!$D$22</f>
        <v>677.56873956626544</v>
      </c>
      <c r="D11" s="17">
        <f>'Payback period results'!$E$22</f>
        <v>745.16983156626509</v>
      </c>
      <c r="E11" s="17">
        <f>'Payback period results'!$F$22</f>
        <v>3670.9098674698789</v>
      </c>
      <c r="F11" s="17">
        <f>'Payback period results'!$G$22</f>
        <v>-973.85956110154893</v>
      </c>
      <c r="G11" s="17">
        <f>'Payback period results'!$H$22</f>
        <v>1931.7986513252999</v>
      </c>
      <c r="H11" s="17">
        <f>'Payback period results'!$I$22</f>
        <v>1454.9522813253016</v>
      </c>
      <c r="I11" s="17">
        <f>'Payback period results'!$J$22</f>
        <v>389.34103132530072</v>
      </c>
      <c r="J11" s="17">
        <f>'Payback period results'!$K$22</f>
        <v>916.86748132530101</v>
      </c>
      <c r="K11" s="17">
        <f>'Payback period results'!$L$22</f>
        <v>2609.9879518072294</v>
      </c>
      <c r="L11" s="17">
        <f>'Payback period results'!$M$22</f>
        <v>619.71616656626509</v>
      </c>
      <c r="M11" s="17">
        <f>'Payback period results'!$N$22</f>
        <v>341.19857089156653</v>
      </c>
      <c r="N11" s="17">
        <f>'Payback period results'!$O$22</f>
        <v>653.70087951807272</v>
      </c>
      <c r="O11" s="17">
        <f>'Payback period results'!$P$22</f>
        <v>2803.8096385542167</v>
      </c>
      <c r="P11" s="17">
        <f>'Payback period results'!$Q$22</f>
        <v>3304.0457167904665</v>
      </c>
      <c r="Q11" s="17">
        <f>'Payback period results'!$R$22</f>
        <v>1066.068119464999</v>
      </c>
      <c r="R11" s="17">
        <f>'Payback period results'!$S$22</f>
        <v>3441.0059742880071</v>
      </c>
      <c r="S11" s="17">
        <f>'Payback period results'!$T$22</f>
        <v>946.62674063510622</v>
      </c>
      <c r="T11" s="17">
        <f>'Payback period results'!$U$22</f>
        <v>1582.5304906351059</v>
      </c>
      <c r="U11" s="17">
        <f>'Payback period results'!$V$22</f>
        <v>-1304.1935022009657</v>
      </c>
      <c r="V11" s="17">
        <f>'Payback period results'!$W$22</f>
        <v>-2013.6089710168087</v>
      </c>
      <c r="W11" s="17">
        <f>'Payback period results'!$X$22</f>
        <v>3927.0283765063714</v>
      </c>
      <c r="X11" s="17">
        <f>'Payback period results'!$Y$22</f>
        <v>282.54962428800786</v>
      </c>
      <c r="Y11" s="17">
        <f>'Payback period results'!$Z$22</f>
        <v>2182.675349288008</v>
      </c>
      <c r="Z11" s="17">
        <f>'Payback period results'!$AA$22</f>
        <v>771.96247428800768</v>
      </c>
      <c r="AA11" s="17">
        <f>'Payback period results'!$AB$22</f>
        <v>7062.9542713627379</v>
      </c>
      <c r="AB11" s="17">
        <f>'Payback period results'!$AC$22</f>
        <v>3439.8692859673993</v>
      </c>
      <c r="AC11" s="17">
        <f>'Payback period results'!$AD$22</f>
        <v>311.11922714387026</v>
      </c>
      <c r="AD11" s="17">
        <f>'Payback period results'!$AE$22</f>
        <v>450.64487420269438</v>
      </c>
      <c r="AE11" s="17">
        <f>'Payback period results'!$AF$22</f>
        <v>1232.5211242026894</v>
      </c>
      <c r="AF11" s="17">
        <f>'Payback period results'!$AG$22</f>
        <v>-678.6160123519287</v>
      </c>
      <c r="AG11" s="17">
        <f>'Payback period results'!$AH$22</f>
        <v>547.57178596739868</v>
      </c>
      <c r="AH11" s="17">
        <f>'Payback period results'!$AI$22</f>
        <v>4321.9567859673989</v>
      </c>
      <c r="AI11" s="17">
        <f>'Payback period results'!$AJ$22</f>
        <v>2748.3567859673985</v>
      </c>
      <c r="AJ11" s="17">
        <f>'Payback period results'!$AK$22</f>
        <v>1074.7367859673986</v>
      </c>
      <c r="AK11" s="17">
        <f>'Payback period results'!$AL$22</f>
        <v>3490.1266599169785</v>
      </c>
      <c r="AL11" s="17">
        <f>'Payback period results'!$AM$22</f>
        <v>492.17722714386957</v>
      </c>
      <c r="AM11" s="17">
        <f>'Payback period results'!$AN$22</f>
        <v>6498.3764918497536</v>
      </c>
      <c r="AN11" s="17">
        <f>'Payback period results'!$AO$22</f>
        <v>14.806491849752092</v>
      </c>
      <c r="AO11" s="17">
        <f>'Payback period results'!$AP$22</f>
        <v>5082.814491849751</v>
      </c>
      <c r="AP11" s="17">
        <f>'Payback period results'!$AQ$22</f>
        <v>6621.777374202693</v>
      </c>
      <c r="AQ11" s="17">
        <f>'Payback period results'!$AR$22</f>
        <v>1659.9808235039604</v>
      </c>
      <c r="AR11" s="17">
        <f>'Payback period results'!$AS$22</f>
        <v>980.20273786860093</v>
      </c>
      <c r="AS11" s="17">
        <f>'Payback period results'!$AT$22</f>
        <v>1749.2291563768872</v>
      </c>
      <c r="AT11" s="17">
        <f>'Payback period results'!$AU$22</f>
        <v>-271.01879362311161</v>
      </c>
      <c r="AU11" s="17">
        <f>'Payback period results'!$AV$22</f>
        <v>1555.343812059604</v>
      </c>
      <c r="AV11" s="17">
        <f>'Payback period results'!$AW$22</f>
        <v>2386.5507378686016</v>
      </c>
      <c r="AW11" s="17">
        <f>'Payback period results'!$AX$22</f>
        <v>944.56073786860145</v>
      </c>
      <c r="AX11" s="17">
        <f>'Payback period results'!$AY$22</f>
        <v>2860.9645776476068</v>
      </c>
      <c r="AY11" s="17">
        <f>'Payback period results'!$AZ$22</f>
        <v>6395.1189776476076</v>
      </c>
      <c r="AZ11" s="17">
        <f>'Payback period results'!$BA$22</f>
        <v>1646.3503235039607</v>
      </c>
      <c r="BA11" s="17">
        <f>'Payback period results'!$BB$22</f>
        <v>3412.5337378686008</v>
      </c>
      <c r="BB11" s="17">
        <f>'Payback period results'!$BC$22</f>
        <v>3802.2416563768875</v>
      </c>
      <c r="BC11" s="17">
        <f>'Payback period results'!$BD$22</f>
        <v>428.56965637688836</v>
      </c>
      <c r="BD11" s="17">
        <f>'Payback period results'!$BE$22</f>
        <v>4080.5793235039609</v>
      </c>
    </row>
    <row r="12" spans="1:56" ht="15.75" customHeight="1" x14ac:dyDescent="0.15">
      <c r="A12" s="5" t="s">
        <v>142</v>
      </c>
      <c r="B12" s="17">
        <f>'Payback period results'!$C$22</f>
        <v>1647.8963855421689</v>
      </c>
      <c r="C12" s="17">
        <f>'Payback period results'!$D$22</f>
        <v>677.56873956626544</v>
      </c>
      <c r="D12" s="17">
        <f>'Payback period results'!$E$22</f>
        <v>745.16983156626509</v>
      </c>
      <c r="E12" s="17">
        <f>'Payback period results'!$F$22</f>
        <v>3670.9098674698789</v>
      </c>
      <c r="F12" s="17">
        <f>'Payback period results'!$G$22</f>
        <v>-973.85956110154893</v>
      </c>
      <c r="G12" s="17">
        <f>'Payback period results'!$H$22</f>
        <v>1931.7986513252999</v>
      </c>
      <c r="H12" s="17">
        <f>'Payback period results'!$I$22</f>
        <v>1454.9522813253016</v>
      </c>
      <c r="I12" s="17">
        <f>'Payback period results'!$J$22</f>
        <v>389.34103132530072</v>
      </c>
      <c r="J12" s="17">
        <f>'Payback period results'!$K$22</f>
        <v>916.86748132530101</v>
      </c>
      <c r="K12" s="17">
        <f>'Payback period results'!$L$22</f>
        <v>2609.9879518072294</v>
      </c>
      <c r="L12" s="17">
        <f>'Payback period results'!$M$22</f>
        <v>619.71616656626509</v>
      </c>
      <c r="M12" s="17">
        <f>'Payback period results'!$N$22</f>
        <v>341.19857089156653</v>
      </c>
      <c r="N12" s="17">
        <f>'Payback period results'!$O$22</f>
        <v>653.70087951807272</v>
      </c>
      <c r="O12" s="17">
        <f>'Payback period results'!$P$22</f>
        <v>2803.8096385542167</v>
      </c>
      <c r="P12" s="17">
        <f>'Payback period results'!$Q$22</f>
        <v>3304.0457167904665</v>
      </c>
      <c r="Q12" s="17">
        <f>'Payback period results'!$R$22</f>
        <v>1066.068119464999</v>
      </c>
      <c r="R12" s="17">
        <f>'Payback period results'!$S$22</f>
        <v>3441.0059742880071</v>
      </c>
      <c r="S12" s="17">
        <f>'Payback period results'!$T$22</f>
        <v>946.62674063510622</v>
      </c>
      <c r="T12" s="17">
        <f>'Payback period results'!$U$22</f>
        <v>1582.5304906351059</v>
      </c>
      <c r="U12" s="17">
        <f>'Payback period results'!$V$22</f>
        <v>-1304.1935022009657</v>
      </c>
      <c r="V12" s="17">
        <f>'Payback period results'!$W$22</f>
        <v>-2013.6089710168087</v>
      </c>
      <c r="W12" s="17">
        <f>'Payback period results'!$X$22</f>
        <v>3927.0283765063714</v>
      </c>
      <c r="X12" s="17">
        <f>'Payback period results'!$Y$22</f>
        <v>282.54962428800786</v>
      </c>
      <c r="Y12" s="17">
        <f>'Payback period results'!$Z$22</f>
        <v>2182.675349288008</v>
      </c>
      <c r="Z12" s="17">
        <f>'Payback period results'!$AA$22</f>
        <v>771.96247428800768</v>
      </c>
      <c r="AA12" s="17">
        <f>'Payback period results'!$AB$22</f>
        <v>7062.9542713627379</v>
      </c>
      <c r="AB12" s="17">
        <f>'Payback period results'!$AC$22</f>
        <v>3439.8692859673993</v>
      </c>
      <c r="AC12" s="17">
        <f>'Payback period results'!$AD$22</f>
        <v>311.11922714387026</v>
      </c>
      <c r="AD12" s="17">
        <f>'Payback period results'!$AE$22</f>
        <v>450.64487420269438</v>
      </c>
      <c r="AE12" s="17">
        <f>'Payback period results'!$AF$22</f>
        <v>1232.5211242026894</v>
      </c>
      <c r="AF12" s="17">
        <f>'Payback period results'!$AG$22</f>
        <v>-678.6160123519287</v>
      </c>
      <c r="AG12" s="17">
        <f>'Payback period results'!$AH$22</f>
        <v>547.57178596739868</v>
      </c>
      <c r="AH12" s="17">
        <f>'Payback period results'!$AI$22</f>
        <v>4321.9567859673989</v>
      </c>
      <c r="AI12" s="17">
        <f>'Payback period results'!$AJ$22</f>
        <v>2748.3567859673985</v>
      </c>
      <c r="AJ12" s="17">
        <f>'Payback period results'!$AK$22</f>
        <v>1074.7367859673986</v>
      </c>
      <c r="AK12" s="17">
        <f>'Payback period results'!$AL$22</f>
        <v>3490.1266599169785</v>
      </c>
      <c r="AL12" s="17">
        <f>'Payback period results'!$AM$22</f>
        <v>492.17722714386957</v>
      </c>
      <c r="AM12" s="17">
        <f>'Payback period results'!$AN$22</f>
        <v>6498.3764918497536</v>
      </c>
      <c r="AN12" s="17">
        <f>'Payback period results'!$AO$22</f>
        <v>14.806491849752092</v>
      </c>
      <c r="AO12" s="17">
        <f>'Payback period results'!$AP$22</f>
        <v>5082.814491849751</v>
      </c>
      <c r="AP12" s="17">
        <f>'Payback period results'!$AQ$22</f>
        <v>6621.777374202693</v>
      </c>
      <c r="AQ12" s="17">
        <f>'Payback period results'!$AR$22</f>
        <v>1659.9808235039604</v>
      </c>
      <c r="AR12" s="17">
        <f>'Payback period results'!$AS$22</f>
        <v>980.20273786860093</v>
      </c>
      <c r="AS12" s="17">
        <f>'Payback period results'!$AT$22</f>
        <v>1749.2291563768872</v>
      </c>
      <c r="AT12" s="17">
        <f>'Payback period results'!$AU$22</f>
        <v>-271.01879362311161</v>
      </c>
      <c r="AU12" s="17">
        <f>'Payback period results'!$AV$22</f>
        <v>1555.343812059604</v>
      </c>
      <c r="AV12" s="17">
        <f>'Payback period results'!$AW$22</f>
        <v>2386.5507378686016</v>
      </c>
      <c r="AW12" s="17">
        <f>'Payback period results'!$AX$22</f>
        <v>944.56073786860145</v>
      </c>
      <c r="AX12" s="17">
        <f>'Payback period results'!$AY$22</f>
        <v>2860.9645776476068</v>
      </c>
      <c r="AY12" s="17">
        <f>'Payback period results'!$AZ$22</f>
        <v>6395.1189776476076</v>
      </c>
      <c r="AZ12" s="17">
        <f>'Payback period results'!$BA$22</f>
        <v>1646.3503235039607</v>
      </c>
      <c r="BA12" s="17">
        <f>'Payback period results'!$BB$22</f>
        <v>3412.5337378686008</v>
      </c>
      <c r="BB12" s="17">
        <f>'Payback period results'!$BC$22</f>
        <v>3802.2416563768875</v>
      </c>
      <c r="BC12" s="17">
        <f>'Payback period results'!$BD$22</f>
        <v>428.56965637688836</v>
      </c>
      <c r="BD12" s="17">
        <f>'Payback period results'!$BE$22</f>
        <v>4080.5793235039609</v>
      </c>
    </row>
    <row r="13" spans="1:56" ht="15.75" customHeight="1" x14ac:dyDescent="0.15">
      <c r="A13" s="5" t="s">
        <v>143</v>
      </c>
      <c r="B13" s="17">
        <f>'Payback period results'!$C$22</f>
        <v>1647.8963855421689</v>
      </c>
      <c r="C13" s="17">
        <f>'Payback period results'!$D$22</f>
        <v>677.56873956626544</v>
      </c>
      <c r="D13" s="17">
        <f>'Payback period results'!$E$22</f>
        <v>745.16983156626509</v>
      </c>
      <c r="E13" s="17">
        <f>'Payback period results'!$F$22</f>
        <v>3670.9098674698789</v>
      </c>
      <c r="F13" s="17">
        <f>'Payback period results'!$G$22</f>
        <v>-973.85956110154893</v>
      </c>
      <c r="G13" s="17">
        <f>'Payback period results'!$H$22</f>
        <v>1931.7986513252999</v>
      </c>
      <c r="H13" s="17">
        <f>'Payback period results'!$I$22</f>
        <v>1454.9522813253016</v>
      </c>
      <c r="I13" s="17">
        <f>'Payback period results'!$J$22</f>
        <v>389.34103132530072</v>
      </c>
      <c r="J13" s="17">
        <f>'Payback period results'!$K$22</f>
        <v>916.86748132530101</v>
      </c>
      <c r="K13" s="17">
        <f>'Payback period results'!$L$22</f>
        <v>2609.9879518072294</v>
      </c>
      <c r="L13" s="17">
        <f>'Payback period results'!$M$22</f>
        <v>619.71616656626509</v>
      </c>
      <c r="M13" s="17">
        <f>'Payback period results'!$N$22</f>
        <v>341.19857089156653</v>
      </c>
      <c r="N13" s="17">
        <f>'Payback period results'!$O$22</f>
        <v>653.70087951807272</v>
      </c>
      <c r="O13" s="17">
        <f>'Payback period results'!$P$22</f>
        <v>2803.8096385542167</v>
      </c>
      <c r="P13" s="17">
        <f>'Payback period results'!$Q$22</f>
        <v>3304.0457167904665</v>
      </c>
      <c r="Q13" s="17">
        <f>'Payback period results'!$R$22</f>
        <v>1066.068119464999</v>
      </c>
      <c r="R13" s="17">
        <f>'Payback period results'!$S$22</f>
        <v>3441.0059742880071</v>
      </c>
      <c r="S13" s="17">
        <f>'Payback period results'!$T$22</f>
        <v>946.62674063510622</v>
      </c>
      <c r="T13" s="17">
        <f>'Payback period results'!$U$22</f>
        <v>1582.5304906351059</v>
      </c>
      <c r="U13" s="17">
        <f>'Payback period results'!$V$22</f>
        <v>-1304.1935022009657</v>
      </c>
      <c r="V13" s="17">
        <f>'Payback period results'!$W$22</f>
        <v>-2013.6089710168087</v>
      </c>
      <c r="W13" s="17">
        <f>'Payback period results'!$X$22</f>
        <v>3927.0283765063714</v>
      </c>
      <c r="X13" s="17">
        <f>'Payback period results'!$Y$22</f>
        <v>282.54962428800786</v>
      </c>
      <c r="Y13" s="17">
        <f>'Payback period results'!$Z$22</f>
        <v>2182.675349288008</v>
      </c>
      <c r="Z13" s="17">
        <f>'Payback period results'!$AA$22</f>
        <v>771.96247428800768</v>
      </c>
      <c r="AA13" s="17">
        <f>'Payback period results'!$AB$22</f>
        <v>7062.9542713627379</v>
      </c>
      <c r="AB13" s="17">
        <f>'Payback period results'!$AC$22</f>
        <v>3439.8692859673993</v>
      </c>
      <c r="AC13" s="17">
        <f>'Payback period results'!$AD$22</f>
        <v>311.11922714387026</v>
      </c>
      <c r="AD13" s="17">
        <f>'Payback period results'!$AE$22</f>
        <v>450.64487420269438</v>
      </c>
      <c r="AE13" s="17">
        <f>'Payback period results'!$AF$22</f>
        <v>1232.5211242026894</v>
      </c>
      <c r="AF13" s="17">
        <f>'Payback period results'!$AG$22</f>
        <v>-678.6160123519287</v>
      </c>
      <c r="AG13" s="17">
        <f>'Payback period results'!$AH$22</f>
        <v>547.57178596739868</v>
      </c>
      <c r="AH13" s="17">
        <f>'Payback period results'!$AI$22</f>
        <v>4321.9567859673989</v>
      </c>
      <c r="AI13" s="17">
        <f>'Payback period results'!$AJ$22</f>
        <v>2748.3567859673985</v>
      </c>
      <c r="AJ13" s="17">
        <f>'Payback period results'!$AK$22</f>
        <v>1074.7367859673986</v>
      </c>
      <c r="AK13" s="17">
        <f>'Payback period results'!$AL$22</f>
        <v>3490.1266599169785</v>
      </c>
      <c r="AL13" s="17">
        <f>'Payback period results'!$AM$22</f>
        <v>492.17722714386957</v>
      </c>
      <c r="AM13" s="17">
        <f>'Payback period results'!$AN$22</f>
        <v>6498.3764918497536</v>
      </c>
      <c r="AN13" s="17">
        <f>'Payback period results'!$AO$22</f>
        <v>14.806491849752092</v>
      </c>
      <c r="AO13" s="17">
        <f>'Payback period results'!$AP$22</f>
        <v>5082.814491849751</v>
      </c>
      <c r="AP13" s="17">
        <f>'Payback period results'!$AQ$22</f>
        <v>6621.777374202693</v>
      </c>
      <c r="AQ13" s="17">
        <f>'Payback period results'!$AR$22</f>
        <v>1659.9808235039604</v>
      </c>
      <c r="AR13" s="17">
        <f>'Payback period results'!$AS$22</f>
        <v>980.20273786860093</v>
      </c>
      <c r="AS13" s="17">
        <f>'Payback period results'!$AT$22</f>
        <v>1749.2291563768872</v>
      </c>
      <c r="AT13" s="17">
        <f>'Payback period results'!$AU$22</f>
        <v>-271.01879362311161</v>
      </c>
      <c r="AU13" s="17">
        <f>'Payback period results'!$AV$22</f>
        <v>1555.343812059604</v>
      </c>
      <c r="AV13" s="17">
        <f>'Payback period results'!$AW$22</f>
        <v>2386.5507378686016</v>
      </c>
      <c r="AW13" s="17">
        <f>'Payback period results'!$AX$22</f>
        <v>944.56073786860145</v>
      </c>
      <c r="AX13" s="17">
        <f>'Payback period results'!$AY$22</f>
        <v>2860.9645776476068</v>
      </c>
      <c r="AY13" s="17">
        <f>'Payback period results'!$AZ$22</f>
        <v>6395.1189776476076</v>
      </c>
      <c r="AZ13" s="17">
        <f>'Payback period results'!$BA$22</f>
        <v>1646.3503235039607</v>
      </c>
      <c r="BA13" s="17">
        <f>'Payback period results'!$BB$22</f>
        <v>3412.5337378686008</v>
      </c>
      <c r="BB13" s="17">
        <f>'Payback period results'!$BC$22</f>
        <v>3802.2416563768875</v>
      </c>
      <c r="BC13" s="17">
        <f>'Payback period results'!$BD$22</f>
        <v>428.56965637688836</v>
      </c>
      <c r="BD13" s="17">
        <f>'Payback period results'!$BE$22</f>
        <v>4080.5793235039609</v>
      </c>
    </row>
    <row r="14" spans="1:56" ht="15.75" customHeight="1" x14ac:dyDescent="0.15">
      <c r="A14" s="5" t="s">
        <v>144</v>
      </c>
      <c r="B14" s="17">
        <f>'Payback period results'!$C$22</f>
        <v>1647.8963855421689</v>
      </c>
      <c r="C14" s="17">
        <f>'Payback period results'!$D$22</f>
        <v>677.56873956626544</v>
      </c>
      <c r="D14" s="17">
        <f>'Payback period results'!$E$22</f>
        <v>745.16983156626509</v>
      </c>
      <c r="E14" s="17">
        <f>'Payback period results'!$F$22</f>
        <v>3670.9098674698789</v>
      </c>
      <c r="F14" s="17">
        <f>'Payback period results'!$G$22</f>
        <v>-973.85956110154893</v>
      </c>
      <c r="G14" s="17">
        <f>'Payback period results'!$H$22</f>
        <v>1931.7986513252999</v>
      </c>
      <c r="H14" s="17">
        <f>'Payback period results'!$I$22</f>
        <v>1454.9522813253016</v>
      </c>
      <c r="I14" s="17">
        <f>'Payback period results'!$J$22</f>
        <v>389.34103132530072</v>
      </c>
      <c r="J14" s="17">
        <f>'Payback period results'!$K$22</f>
        <v>916.86748132530101</v>
      </c>
      <c r="K14" s="17">
        <f>'Payback period results'!$L$22</f>
        <v>2609.9879518072294</v>
      </c>
      <c r="L14" s="17">
        <f>'Payback period results'!$M$22</f>
        <v>619.71616656626509</v>
      </c>
      <c r="M14" s="17">
        <f>'Payback period results'!$N$22</f>
        <v>341.19857089156653</v>
      </c>
      <c r="N14" s="17">
        <f>'Payback period results'!$O$22</f>
        <v>653.70087951807272</v>
      </c>
      <c r="O14" s="17">
        <f>'Payback period results'!$P$22</f>
        <v>2803.8096385542167</v>
      </c>
      <c r="P14" s="17">
        <f>'Payback period results'!$Q$22</f>
        <v>3304.0457167904665</v>
      </c>
      <c r="Q14" s="17">
        <f>'Payback period results'!$R$22</f>
        <v>1066.068119464999</v>
      </c>
      <c r="R14" s="17">
        <f>'Payback period results'!$S$22</f>
        <v>3441.0059742880071</v>
      </c>
      <c r="S14" s="17">
        <f>'Payback period results'!$T$22</f>
        <v>946.62674063510622</v>
      </c>
      <c r="T14" s="17">
        <f>'Payback period results'!$U$22</f>
        <v>1582.5304906351059</v>
      </c>
      <c r="U14" s="17">
        <f>'Payback period results'!$V$22</f>
        <v>-1304.1935022009657</v>
      </c>
      <c r="V14" s="17">
        <f>'Payback period results'!$W$22</f>
        <v>-2013.6089710168087</v>
      </c>
      <c r="W14" s="17">
        <f>'Payback period results'!$X$22</f>
        <v>3927.0283765063714</v>
      </c>
      <c r="X14" s="17">
        <f>'Payback period results'!$Y$22</f>
        <v>282.54962428800786</v>
      </c>
      <c r="Y14" s="17">
        <f>'Payback period results'!$Z$22</f>
        <v>2182.675349288008</v>
      </c>
      <c r="Z14" s="17">
        <f>'Payback period results'!$AA$22</f>
        <v>771.96247428800768</v>
      </c>
      <c r="AA14" s="17">
        <f>'Payback period results'!$AB$22</f>
        <v>7062.9542713627379</v>
      </c>
      <c r="AB14" s="17">
        <f>'Payback period results'!$AC$22</f>
        <v>3439.8692859673993</v>
      </c>
      <c r="AC14" s="17">
        <f>'Payback period results'!$AD$22</f>
        <v>311.11922714387026</v>
      </c>
      <c r="AD14" s="17">
        <f>'Payback period results'!$AE$22</f>
        <v>450.64487420269438</v>
      </c>
      <c r="AE14" s="17">
        <f>'Payback period results'!$AF$22</f>
        <v>1232.5211242026894</v>
      </c>
      <c r="AF14" s="17">
        <f>'Payback period results'!$AG$22</f>
        <v>-678.6160123519287</v>
      </c>
      <c r="AG14" s="17">
        <f>'Payback period results'!$AH$22</f>
        <v>547.57178596739868</v>
      </c>
      <c r="AH14" s="17">
        <f>'Payback period results'!$AI$22</f>
        <v>4321.9567859673989</v>
      </c>
      <c r="AI14" s="17">
        <f>'Payback period results'!$AJ$22</f>
        <v>2748.3567859673985</v>
      </c>
      <c r="AJ14" s="17">
        <f>'Payback period results'!$AK$22</f>
        <v>1074.7367859673986</v>
      </c>
      <c r="AK14" s="17">
        <f>'Payback period results'!$AL$22</f>
        <v>3490.1266599169785</v>
      </c>
      <c r="AL14" s="17">
        <f>'Payback period results'!$AM$22</f>
        <v>492.17722714386957</v>
      </c>
      <c r="AM14" s="17">
        <f>'Payback period results'!$AN$22</f>
        <v>6498.3764918497536</v>
      </c>
      <c r="AN14" s="17">
        <f>'Payback period results'!$AO$22</f>
        <v>14.806491849752092</v>
      </c>
      <c r="AO14" s="17">
        <f>'Payback period results'!$AP$22</f>
        <v>5082.814491849751</v>
      </c>
      <c r="AP14" s="17">
        <f>'Payback period results'!$AQ$22</f>
        <v>6621.777374202693</v>
      </c>
      <c r="AQ14" s="17">
        <f>'Payback period results'!$AR$22</f>
        <v>1659.9808235039604</v>
      </c>
      <c r="AR14" s="17">
        <f>'Payback period results'!$AS$22</f>
        <v>980.20273786860093</v>
      </c>
      <c r="AS14" s="17">
        <f>'Payback period results'!$AT$22</f>
        <v>1749.2291563768872</v>
      </c>
      <c r="AT14" s="17">
        <f>'Payback period results'!$AU$22</f>
        <v>-271.01879362311161</v>
      </c>
      <c r="AU14" s="17">
        <f>'Payback period results'!$AV$22</f>
        <v>1555.343812059604</v>
      </c>
      <c r="AV14" s="17">
        <f>'Payback period results'!$AW$22</f>
        <v>2386.5507378686016</v>
      </c>
      <c r="AW14" s="17">
        <f>'Payback period results'!$AX$22</f>
        <v>944.56073786860145</v>
      </c>
      <c r="AX14" s="17">
        <f>'Payback period results'!$AY$22</f>
        <v>2860.9645776476068</v>
      </c>
      <c r="AY14" s="17">
        <f>'Payback period results'!$AZ$22</f>
        <v>6395.1189776476076</v>
      </c>
      <c r="AZ14" s="17">
        <f>'Payback period results'!$BA$22</f>
        <v>1646.3503235039607</v>
      </c>
      <c r="BA14" s="17">
        <f>'Payback period results'!$BB$22</f>
        <v>3412.5337378686008</v>
      </c>
      <c r="BB14" s="17">
        <f>'Payback period results'!$BC$22</f>
        <v>3802.2416563768875</v>
      </c>
      <c r="BC14" s="17">
        <f>'Payback period results'!$BD$22</f>
        <v>428.56965637688836</v>
      </c>
      <c r="BD14" s="17">
        <f>'Payback period results'!$BE$22</f>
        <v>4080.5793235039609</v>
      </c>
    </row>
    <row r="16" spans="1:56" ht="15.75" customHeight="1" x14ac:dyDescent="0.15">
      <c r="A16" s="5" t="s">
        <v>145</v>
      </c>
      <c r="B16" s="18">
        <f t="shared" ref="B16:Y16" si="0">NPV(10%,B5:B14)+B4</f>
        <v>7764.609924212049</v>
      </c>
      <c r="C16" s="18">
        <f t="shared" si="0"/>
        <v>2597.3665889926551</v>
      </c>
      <c r="D16" s="18">
        <f t="shared" si="0"/>
        <v>2158.7460352055687</v>
      </c>
      <c r="E16" s="18">
        <f t="shared" si="0"/>
        <v>19556.152019662146</v>
      </c>
      <c r="F16" s="18">
        <f t="shared" si="0"/>
        <v>-8344.9454247205758</v>
      </c>
      <c r="G16" s="18">
        <f t="shared" si="0"/>
        <v>8620.0664477780992</v>
      </c>
      <c r="H16" s="18">
        <f t="shared" si="0"/>
        <v>6940.0519282014302</v>
      </c>
      <c r="I16" s="18">
        <f t="shared" si="0"/>
        <v>2107.332093982578</v>
      </c>
      <c r="J16" s="18">
        <f t="shared" si="0"/>
        <v>3633.7537660417447</v>
      </c>
      <c r="K16" s="18">
        <f t="shared" si="0"/>
        <v>13676.246114960231</v>
      </c>
      <c r="L16" s="18">
        <f t="shared" si="0"/>
        <v>2334.8875719564749</v>
      </c>
      <c r="M16" s="18">
        <f t="shared" si="0"/>
        <v>-1517.4824847862337</v>
      </c>
      <c r="N16" s="18">
        <f t="shared" si="0"/>
        <v>2209.7089212569667</v>
      </c>
      <c r="O16" s="18">
        <f t="shared" si="0"/>
        <v>14867.196475717967</v>
      </c>
      <c r="P16" s="18">
        <f t="shared" si="0"/>
        <v>19563.930627135149</v>
      </c>
      <c r="Q16" s="18">
        <f t="shared" si="0"/>
        <v>4890.5270993050808</v>
      </c>
      <c r="R16" s="18">
        <f t="shared" si="0"/>
        <v>18643.492120143375</v>
      </c>
      <c r="S16" s="18">
        <f t="shared" si="0"/>
        <v>3154.6115318869097</v>
      </c>
      <c r="T16" s="18">
        <f t="shared" si="0"/>
        <v>8126.9647965311615</v>
      </c>
      <c r="U16" s="18">
        <f t="shared" si="0"/>
        <v>-8751.7044930978373</v>
      </c>
      <c r="V16" s="18">
        <f t="shared" si="0"/>
        <v>-13257.755447061732</v>
      </c>
      <c r="W16" s="18">
        <f t="shared" si="0"/>
        <v>23391.8893854499</v>
      </c>
      <c r="X16" s="18">
        <f t="shared" si="0"/>
        <v>536.14512712930923</v>
      </c>
      <c r="Y16" s="18">
        <f t="shared" si="0"/>
        <v>11148.595153667564</v>
      </c>
      <c r="Z16" s="18">
        <f>NPV(10%,Z5:Z14)+Z4</f>
        <v>3864.3752263484857</v>
      </c>
      <c r="AA16" s="18">
        <f t="shared" ref="AA16:BD16" si="1">NPV(10%,AA5:AA14)+AA4</f>
        <v>42660.796484911843</v>
      </c>
      <c r="AB16" s="18">
        <f t="shared" si="1"/>
        <v>20398.507662479125</v>
      </c>
      <c r="AC16" s="18">
        <f t="shared" si="1"/>
        <v>793.69296906048771</v>
      </c>
      <c r="AD16" s="18">
        <f t="shared" si="1"/>
        <v>1875.017670380299</v>
      </c>
      <c r="AE16" s="18">
        <f t="shared" si="1"/>
        <v>5685.3087568619976</v>
      </c>
      <c r="AF16" s="18">
        <f t="shared" si="1"/>
        <v>-4907.8016269021418</v>
      </c>
      <c r="AG16" s="18">
        <f t="shared" si="1"/>
        <v>1035.5915840672415</v>
      </c>
      <c r="AH16" s="18">
        <f t="shared" si="1"/>
        <v>22006.5534993324</v>
      </c>
      <c r="AI16" s="18">
        <f t="shared" si="1"/>
        <v>14999.462701795517</v>
      </c>
      <c r="AJ16" s="18">
        <f t="shared" si="1"/>
        <v>4274.7923023460489</v>
      </c>
      <c r="AK16" s="18">
        <f t="shared" si="1"/>
        <v>20707.317469268812</v>
      </c>
      <c r="AL16" s="18">
        <f t="shared" si="1"/>
        <v>1246.2160000851613</v>
      </c>
      <c r="AM16" s="18">
        <f t="shared" si="1"/>
        <v>37870.710432304571</v>
      </c>
      <c r="AN16" s="18">
        <f t="shared" si="1"/>
        <v>-809.02051722912893</v>
      </c>
      <c r="AO16" s="18">
        <f t="shared" si="1"/>
        <v>29231.694731019033</v>
      </c>
      <c r="AP16" s="18">
        <f t="shared" si="1"/>
        <v>39949.955434825373</v>
      </c>
      <c r="AQ16" s="18">
        <f t="shared" si="1"/>
        <v>9509.8635642030004</v>
      </c>
      <c r="AR16" s="18">
        <f t="shared" si="1"/>
        <v>4142.9215000290715</v>
      </c>
      <c r="AS16" s="18">
        <f t="shared" si="1"/>
        <v>8348.255934612971</v>
      </c>
      <c r="AT16" s="18">
        <f t="shared" si="1"/>
        <v>-1950.2931643243369</v>
      </c>
      <c r="AU16" s="18">
        <f t="shared" si="1"/>
        <v>8866.9144256427644</v>
      </c>
      <c r="AV16" s="18">
        <f t="shared" si="1"/>
        <v>12989.321160002639</v>
      </c>
      <c r="AW16" s="18">
        <f t="shared" si="1"/>
        <v>4903.9168392475485</v>
      </c>
      <c r="AX16" s="18">
        <f t="shared" si="1"/>
        <v>15079.388834399768</v>
      </c>
      <c r="AY16" s="18">
        <f t="shared" si="1"/>
        <v>37295.237707121232</v>
      </c>
      <c r="AZ16" s="18">
        <f t="shared" si="1"/>
        <v>9426.1100422686941</v>
      </c>
      <c r="BA16" s="18">
        <f t="shared" si="1"/>
        <v>19088.542552814837</v>
      </c>
      <c r="BB16" s="18">
        <f t="shared" si="1"/>
        <v>21363.129009713495</v>
      </c>
      <c r="BC16" s="18">
        <f t="shared" si="1"/>
        <v>2348.3750130765866</v>
      </c>
      <c r="BD16" s="18">
        <f t="shared" si="1"/>
        <v>24383.393483421092</v>
      </c>
    </row>
    <row r="17" spans="1:56" ht="15.75" customHeight="1" x14ac:dyDescent="0.15">
      <c r="A17" s="5" t="s">
        <v>146</v>
      </c>
      <c r="B17" s="19">
        <f t="shared" ref="B17:Y17" si="2">IRR(B4:B14)</f>
        <v>0.69438687366909635</v>
      </c>
      <c r="C17" s="19">
        <f t="shared" si="2"/>
        <v>0.41966393906342558</v>
      </c>
      <c r="D17" s="19">
        <f t="shared" si="2"/>
        <v>0.28230440001283452</v>
      </c>
      <c r="E17" s="19">
        <f t="shared" si="2"/>
        <v>1.2232218361236304</v>
      </c>
      <c r="F17" s="19" t="e">
        <f t="shared" si="2"/>
        <v>#NUM!</v>
      </c>
      <c r="G17" s="19">
        <f t="shared" si="2"/>
        <v>0.58859256613962296</v>
      </c>
      <c r="H17" s="19">
        <f t="shared" si="2"/>
        <v>0.72434592100814621</v>
      </c>
      <c r="I17" s="19">
        <f t="shared" si="2"/>
        <v>1.3658602283984456</v>
      </c>
      <c r="J17" s="19">
        <f t="shared" si="2"/>
        <v>0.44704555498918919</v>
      </c>
      <c r="K17" s="19">
        <f t="shared" si="2"/>
        <v>1.1048109272681819</v>
      </c>
      <c r="L17" s="19">
        <f t="shared" si="2"/>
        <v>0.4068666698408816</v>
      </c>
      <c r="M17" s="19">
        <f t="shared" si="2"/>
        <v>-1.0323894401032874E-2</v>
      </c>
      <c r="N17" s="19">
        <f t="shared" si="2"/>
        <v>0.34277648849096076</v>
      </c>
      <c r="O17" s="19">
        <f t="shared" si="2"/>
        <v>1.1870774778665414</v>
      </c>
      <c r="P17" s="19">
        <f t="shared" si="2"/>
        <v>4.4770265322111946</v>
      </c>
      <c r="Q17" s="19">
        <f t="shared" si="2"/>
        <v>0.63757892723411791</v>
      </c>
      <c r="R17" s="19">
        <f t="shared" si="2"/>
        <v>1.3761625152528905</v>
      </c>
      <c r="S17" s="19">
        <f t="shared" si="2"/>
        <v>0.33597418788847744</v>
      </c>
      <c r="T17" s="19">
        <f t="shared" si="2"/>
        <v>0.98992171016513786</v>
      </c>
      <c r="U17" s="19" t="e">
        <f t="shared" si="2"/>
        <v>#NUM!</v>
      </c>
      <c r="V17" s="19" t="e">
        <f t="shared" si="2"/>
        <v>#NUM!</v>
      </c>
      <c r="W17" s="19">
        <f t="shared" si="2"/>
        <v>5.3211766096885391</v>
      </c>
      <c r="X17" s="19">
        <f t="shared" si="2"/>
        <v>0.1962071152316982</v>
      </c>
      <c r="Y17" s="19">
        <f t="shared" si="2"/>
        <v>0.9633721095463248</v>
      </c>
      <c r="Z17" s="19">
        <f>IRR(Z4:Z14)</f>
        <v>0.87660672890326063</v>
      </c>
      <c r="AA17" s="19">
        <f t="shared" ref="AA17:BD17" si="3">IRR(AA4:AA14)</f>
        <v>9.5703987410949303</v>
      </c>
      <c r="AB17" s="19">
        <f t="shared" si="3"/>
        <v>4.6610693553004783</v>
      </c>
      <c r="AC17" s="19">
        <f t="shared" si="3"/>
        <v>0.24789339057370419</v>
      </c>
      <c r="AD17" s="19">
        <f t="shared" si="3"/>
        <v>0.49504127195183534</v>
      </c>
      <c r="AE17" s="19">
        <f t="shared" si="3"/>
        <v>0.6484114623442212</v>
      </c>
      <c r="AF17" s="19" t="e">
        <f t="shared" si="3"/>
        <v>#NUM!</v>
      </c>
      <c r="AG17" s="19">
        <f t="shared" si="3"/>
        <v>0.19577568830527148</v>
      </c>
      <c r="AH17" s="19">
        <f t="shared" si="3"/>
        <v>0.94867760271532608</v>
      </c>
      <c r="AI17" s="19">
        <f t="shared" si="3"/>
        <v>1.4555147892991491</v>
      </c>
      <c r="AJ17" s="19">
        <f t="shared" si="3"/>
        <v>0.45024559668044262</v>
      </c>
      <c r="AK17" s="19">
        <f t="shared" si="3"/>
        <v>4.7291687917485064</v>
      </c>
      <c r="AL17" s="19">
        <f t="shared" si="3"/>
        <v>0.24616476290894296</v>
      </c>
      <c r="AM17" s="19">
        <f t="shared" si="3"/>
        <v>3.1560817219587811</v>
      </c>
      <c r="AN17" s="19">
        <f t="shared" si="3"/>
        <v>-0.2402316362102479</v>
      </c>
      <c r="AO17" s="19">
        <f t="shared" si="3"/>
        <v>2.5413990551386161</v>
      </c>
      <c r="AP17" s="19">
        <f t="shared" si="3"/>
        <v>8.9725980670745411</v>
      </c>
      <c r="AQ17" s="19">
        <f t="shared" si="3"/>
        <v>2.4057578512282158</v>
      </c>
      <c r="AR17" s="19">
        <f t="shared" si="3"/>
        <v>0.51309558219363538</v>
      </c>
      <c r="AS17" s="19">
        <f t="shared" si="3"/>
        <v>0.72573451328641392</v>
      </c>
      <c r="AT17" s="19" t="e">
        <f t="shared" si="3"/>
        <v>#NUM!</v>
      </c>
      <c r="AU17" s="19">
        <f t="shared" si="3"/>
        <v>2.2541045365443502</v>
      </c>
      <c r="AV17" s="19">
        <f t="shared" si="3"/>
        <v>1.4246034795622182</v>
      </c>
      <c r="AW17" s="19">
        <f t="shared" si="3"/>
        <v>1.0487061990533801</v>
      </c>
      <c r="AX17" s="19">
        <f t="shared" si="3"/>
        <v>1.1438277805246782</v>
      </c>
      <c r="AY17" s="19">
        <f t="shared" si="3"/>
        <v>3.1975576058165789</v>
      </c>
      <c r="AZ17" s="19">
        <f t="shared" si="3"/>
        <v>2.386002916791881</v>
      </c>
      <c r="BA17" s="19">
        <f t="shared" si="3"/>
        <v>1.8151194502494716</v>
      </c>
      <c r="BB17" s="19">
        <f t="shared" si="3"/>
        <v>1.9010758067467979</v>
      </c>
      <c r="BC17" s="19">
        <f t="shared" si="3"/>
        <v>1.5035977516337753</v>
      </c>
      <c r="BD17" s="19">
        <f t="shared" si="3"/>
        <v>5.913883053844736</v>
      </c>
    </row>
    <row r="18" spans="1:56" ht="15.75" customHeight="1" x14ac:dyDescent="0.15">
      <c r="A18" s="5" t="s">
        <v>147</v>
      </c>
      <c r="B18" s="2" t="str">
        <f t="shared" ref="B18:Y18" si="4">IF(B16&lt;0,"Loss-making","Profitable")</f>
        <v>Profitable</v>
      </c>
      <c r="C18" s="2" t="str">
        <f t="shared" si="4"/>
        <v>Profitable</v>
      </c>
      <c r="D18" s="2" t="str">
        <f t="shared" si="4"/>
        <v>Profitable</v>
      </c>
      <c r="E18" s="2" t="str">
        <f t="shared" si="4"/>
        <v>Profitable</v>
      </c>
      <c r="F18" s="2" t="str">
        <f t="shared" si="4"/>
        <v>Loss-making</v>
      </c>
      <c r="G18" s="2" t="str">
        <f t="shared" si="4"/>
        <v>Profitable</v>
      </c>
      <c r="H18" s="2" t="str">
        <f t="shared" si="4"/>
        <v>Profitable</v>
      </c>
      <c r="I18" s="2" t="str">
        <f t="shared" si="4"/>
        <v>Profitable</v>
      </c>
      <c r="J18" s="2" t="str">
        <f t="shared" si="4"/>
        <v>Profitable</v>
      </c>
      <c r="K18" s="2" t="str">
        <f t="shared" si="4"/>
        <v>Profitable</v>
      </c>
      <c r="L18" s="2" t="str">
        <f t="shared" si="4"/>
        <v>Profitable</v>
      </c>
      <c r="M18" s="2" t="str">
        <f t="shared" si="4"/>
        <v>Loss-making</v>
      </c>
      <c r="N18" s="2" t="str">
        <f t="shared" si="4"/>
        <v>Profitable</v>
      </c>
      <c r="O18" s="2" t="str">
        <f t="shared" si="4"/>
        <v>Profitable</v>
      </c>
      <c r="P18" s="2" t="str">
        <f t="shared" si="4"/>
        <v>Profitable</v>
      </c>
      <c r="Q18" s="2" t="str">
        <f t="shared" si="4"/>
        <v>Profitable</v>
      </c>
      <c r="R18" s="2" t="str">
        <f t="shared" si="4"/>
        <v>Profitable</v>
      </c>
      <c r="S18" s="2" t="str">
        <f t="shared" si="4"/>
        <v>Profitable</v>
      </c>
      <c r="T18" s="2" t="str">
        <f t="shared" si="4"/>
        <v>Profitable</v>
      </c>
      <c r="U18" s="2" t="str">
        <f t="shared" si="4"/>
        <v>Loss-making</v>
      </c>
      <c r="V18" s="2" t="str">
        <f t="shared" si="4"/>
        <v>Loss-making</v>
      </c>
      <c r="W18" s="2" t="str">
        <f t="shared" si="4"/>
        <v>Profitable</v>
      </c>
      <c r="X18" s="2" t="str">
        <f t="shared" si="4"/>
        <v>Profitable</v>
      </c>
      <c r="Y18" s="2" t="str">
        <f t="shared" si="4"/>
        <v>Profitable</v>
      </c>
      <c r="Z18" s="2" t="str">
        <f t="shared" ref="Z18" si="5">IF(Z16&lt;0,"Loss-making","Profitable")</f>
        <v>Profitable</v>
      </c>
      <c r="AA18" s="2" t="str">
        <f t="shared" ref="AA18:BD18" si="6">IF(AA16&lt;0,"Loss-making","Profitable")</f>
        <v>Profitable</v>
      </c>
      <c r="AB18" s="2" t="str">
        <f t="shared" si="6"/>
        <v>Profitable</v>
      </c>
      <c r="AC18" s="2" t="str">
        <f t="shared" si="6"/>
        <v>Profitable</v>
      </c>
      <c r="AD18" s="2" t="str">
        <f t="shared" si="6"/>
        <v>Profitable</v>
      </c>
      <c r="AE18" s="2" t="str">
        <f t="shared" si="6"/>
        <v>Profitable</v>
      </c>
      <c r="AF18" s="2" t="str">
        <f t="shared" si="6"/>
        <v>Loss-making</v>
      </c>
      <c r="AG18" s="2" t="str">
        <f t="shared" si="6"/>
        <v>Profitable</v>
      </c>
      <c r="AH18" s="2" t="str">
        <f t="shared" si="6"/>
        <v>Profitable</v>
      </c>
      <c r="AI18" s="2" t="str">
        <f t="shared" si="6"/>
        <v>Profitable</v>
      </c>
      <c r="AJ18" s="2" t="str">
        <f t="shared" si="6"/>
        <v>Profitable</v>
      </c>
      <c r="AK18" s="2" t="str">
        <f t="shared" si="6"/>
        <v>Profitable</v>
      </c>
      <c r="AL18" s="2" t="str">
        <f t="shared" si="6"/>
        <v>Profitable</v>
      </c>
      <c r="AM18" s="2" t="str">
        <f t="shared" si="6"/>
        <v>Profitable</v>
      </c>
      <c r="AN18" s="2" t="str">
        <f t="shared" si="6"/>
        <v>Loss-making</v>
      </c>
      <c r="AO18" s="2" t="str">
        <f t="shared" si="6"/>
        <v>Profitable</v>
      </c>
      <c r="AP18" s="2" t="str">
        <f t="shared" si="6"/>
        <v>Profitable</v>
      </c>
      <c r="AQ18" s="2" t="str">
        <f t="shared" si="6"/>
        <v>Profitable</v>
      </c>
      <c r="AR18" s="2" t="str">
        <f t="shared" si="6"/>
        <v>Profitable</v>
      </c>
      <c r="AS18" s="2" t="str">
        <f t="shared" si="6"/>
        <v>Profitable</v>
      </c>
      <c r="AT18" s="2" t="str">
        <f t="shared" si="6"/>
        <v>Loss-making</v>
      </c>
      <c r="AU18" s="2" t="str">
        <f t="shared" si="6"/>
        <v>Profitable</v>
      </c>
      <c r="AV18" s="2" t="str">
        <f t="shared" si="6"/>
        <v>Profitable</v>
      </c>
      <c r="AW18" s="2" t="str">
        <f t="shared" si="6"/>
        <v>Profitable</v>
      </c>
      <c r="AX18" s="2" t="str">
        <f t="shared" si="6"/>
        <v>Profitable</v>
      </c>
      <c r="AY18" s="2" t="str">
        <f t="shared" si="6"/>
        <v>Profitable</v>
      </c>
      <c r="AZ18" s="2" t="str">
        <f t="shared" si="6"/>
        <v>Profitable</v>
      </c>
      <c r="BA18" s="2" t="str">
        <f t="shared" si="6"/>
        <v>Profitable</v>
      </c>
      <c r="BB18" s="2" t="str">
        <f t="shared" si="6"/>
        <v>Profitable</v>
      </c>
      <c r="BC18" s="2" t="str">
        <f t="shared" si="6"/>
        <v>Profitable</v>
      </c>
      <c r="BD18" s="2" t="str">
        <f t="shared" si="6"/>
        <v>Profitable</v>
      </c>
    </row>
  </sheetData>
  <sheetProtection algorithmName="SHA-512" hashValue="5KOYeIAQFWc6C/A5jz6qxch7vS9SoV/OTKQ6ZOEov4bLs1coOSadpE4LemWmmuVbFylHnw6lmAf2ZILktRdJeA==" saltValue="W0FP/eGnGwKF7yqLmetLLQ==" spinCount="100000" sheet="1" objects="1" scenarios="1"/>
  <mergeCells count="16">
    <mergeCell ref="AK2:AO2"/>
    <mergeCell ref="AQ2:AT2"/>
    <mergeCell ref="AU2:AY2"/>
    <mergeCell ref="B1:N1"/>
    <mergeCell ref="P1:Y1"/>
    <mergeCell ref="AB1:AO1"/>
    <mergeCell ref="AQ1:BC1"/>
    <mergeCell ref="B2:E2"/>
    <mergeCell ref="F2:J2"/>
    <mergeCell ref="K2:N2"/>
    <mergeCell ref="AZ2:BC2"/>
    <mergeCell ref="P2:T2"/>
    <mergeCell ref="U2:V2"/>
    <mergeCell ref="W2:Z2"/>
    <mergeCell ref="AB2:AE2"/>
    <mergeCell ref="AF2:AJ2"/>
  </mergeCells>
  <conditionalFormatting sqref="B18:BD18">
    <cfRule type="containsText" dxfId="1" priority="1" operator="containsText" text="Profitable">
      <formula>NOT(ISERROR(SEARCH(("Profitable"),(B18))))</formula>
    </cfRule>
    <cfRule type="notContainsText" dxfId="0" priority="2" operator="notContains" text="Profitable">
      <formula>ISERROR(SEARCH(("Profitable"),(B18)))</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G50"/>
  <sheetViews>
    <sheetView workbookViewId="0">
      <selection activeCell="G37" sqref="G37"/>
    </sheetView>
  </sheetViews>
  <sheetFormatPr baseColWidth="10" defaultColWidth="12.6640625" defaultRowHeight="15.75" customHeight="1" x14ac:dyDescent="0.15"/>
  <cols>
    <col min="1" max="1" width="53.6640625" customWidth="1"/>
  </cols>
  <sheetData>
    <row r="1" spans="1:6" ht="15.75" customHeight="1" x14ac:dyDescent="0.15">
      <c r="A1" s="316" t="s">
        <v>148</v>
      </c>
      <c r="B1" s="270"/>
      <c r="C1" s="270"/>
      <c r="D1" s="270"/>
      <c r="E1" s="270"/>
      <c r="F1" s="317"/>
    </row>
    <row r="2" spans="1:6" ht="15.75" customHeight="1" x14ac:dyDescent="0.15">
      <c r="A2" s="5" t="s">
        <v>149</v>
      </c>
      <c r="B2" s="5" t="s">
        <v>9</v>
      </c>
      <c r="D2" s="5" t="s">
        <v>150</v>
      </c>
      <c r="E2" s="5" t="s">
        <v>151</v>
      </c>
      <c r="F2" s="227"/>
    </row>
    <row r="3" spans="1:6" ht="15.75" customHeight="1" x14ac:dyDescent="0.15">
      <c r="A3" s="40" t="s">
        <v>152</v>
      </c>
      <c r="B3" s="40" t="s">
        <v>153</v>
      </c>
      <c r="C3" s="40">
        <v>5</v>
      </c>
      <c r="D3" s="40" t="s">
        <v>154</v>
      </c>
      <c r="E3" s="21"/>
      <c r="F3" s="222"/>
    </row>
    <row r="4" spans="1:6" ht="15.75" customHeight="1" x14ac:dyDescent="0.15">
      <c r="A4" s="40" t="s">
        <v>155</v>
      </c>
      <c r="B4" s="40" t="s">
        <v>153</v>
      </c>
      <c r="C4" s="40">
        <v>5</v>
      </c>
      <c r="D4" s="40" t="s">
        <v>154</v>
      </c>
      <c r="E4" s="21"/>
      <c r="F4" s="222"/>
    </row>
    <row r="5" spans="1:6" ht="15.75" customHeight="1" x14ac:dyDescent="0.15">
      <c r="A5" s="40" t="s">
        <v>156</v>
      </c>
      <c r="B5" s="40" t="s">
        <v>153</v>
      </c>
      <c r="C5" s="40">
        <v>19</v>
      </c>
      <c r="D5" s="40" t="s">
        <v>154</v>
      </c>
      <c r="E5" s="21"/>
      <c r="F5" s="222"/>
    </row>
    <row r="6" spans="1:6" ht="15.75" customHeight="1" x14ac:dyDescent="0.15">
      <c r="A6" s="40" t="s">
        <v>157</v>
      </c>
      <c r="B6" s="318" t="s">
        <v>158</v>
      </c>
      <c r="C6" s="272"/>
      <c r="D6" s="319" t="s">
        <v>159</v>
      </c>
      <c r="E6" s="21"/>
      <c r="F6" s="222"/>
    </row>
    <row r="7" spans="1:6" ht="15.75" customHeight="1" x14ac:dyDescent="0.15">
      <c r="A7" s="40" t="s">
        <v>160</v>
      </c>
      <c r="B7" s="40" t="s">
        <v>39</v>
      </c>
      <c r="C7" s="68">
        <f>'Main inputs'!C16</f>
        <v>0.36</v>
      </c>
      <c r="D7" s="272"/>
      <c r="E7" s="21"/>
      <c r="F7" s="222"/>
    </row>
    <row r="8" spans="1:6" ht="15.75" customHeight="1" x14ac:dyDescent="0.15">
      <c r="A8" s="40" t="s">
        <v>161</v>
      </c>
      <c r="B8" s="40" t="s">
        <v>153</v>
      </c>
      <c r="C8" s="40">
        <v>40</v>
      </c>
      <c r="D8" s="272"/>
      <c r="E8" s="21"/>
      <c r="F8" s="222"/>
    </row>
    <row r="9" spans="1:6" ht="15.75" customHeight="1" x14ac:dyDescent="0.15">
      <c r="A9" s="202" t="s">
        <v>162</v>
      </c>
      <c r="B9" s="202" t="s">
        <v>163</v>
      </c>
      <c r="C9" s="202">
        <v>15</v>
      </c>
      <c r="D9" s="320"/>
      <c r="E9" s="202"/>
      <c r="F9" s="223"/>
    </row>
    <row r="11" spans="1:6" ht="15.75" customHeight="1" x14ac:dyDescent="0.15">
      <c r="A11" s="316" t="s">
        <v>164</v>
      </c>
      <c r="B11" s="270"/>
      <c r="C11" s="270"/>
      <c r="D11" s="270"/>
      <c r="E11" s="317"/>
      <c r="F11" s="246"/>
    </row>
    <row r="12" spans="1:6" ht="15.75" customHeight="1" x14ac:dyDescent="0.15">
      <c r="B12" s="236" t="str">
        <f>'Main inputs'!C2</f>
        <v>Maize</v>
      </c>
      <c r="C12" s="236" t="str">
        <f>'Main inputs'!G2</f>
        <v>Cassava</v>
      </c>
      <c r="D12" s="236" t="str">
        <f>'Main inputs'!L2</f>
        <v>Rice</v>
      </c>
      <c r="E12" s="236"/>
      <c r="F12" s="104"/>
    </row>
    <row r="13" spans="1:6" ht="15.75" customHeight="1" x14ac:dyDescent="0.15">
      <c r="A13" s="2" t="s">
        <v>165</v>
      </c>
      <c r="B13" s="86">
        <f>'Main inputs'!C5</f>
        <v>6</v>
      </c>
      <c r="C13" s="86">
        <f>'Main inputs'!G5</f>
        <v>6</v>
      </c>
      <c r="D13" s="86">
        <f>'Main inputs'!L5</f>
        <v>6</v>
      </c>
      <c r="F13" s="138"/>
    </row>
    <row r="14" spans="1:6" ht="15.75" customHeight="1" x14ac:dyDescent="0.15">
      <c r="A14" s="2"/>
      <c r="B14" s="321" t="s">
        <v>166</v>
      </c>
      <c r="C14" s="270"/>
      <c r="D14" s="270"/>
      <c r="E14" s="138"/>
      <c r="F14" s="138"/>
    </row>
    <row r="15" spans="1:6" ht="15.75" customHeight="1" x14ac:dyDescent="0.15">
      <c r="A15" s="2" t="s">
        <v>167</v>
      </c>
      <c r="B15" s="39">
        <v>7</v>
      </c>
      <c r="C15" s="39">
        <v>12</v>
      </c>
      <c r="D15" s="39">
        <v>4</v>
      </c>
      <c r="E15" s="138"/>
      <c r="F15" s="138"/>
    </row>
    <row r="16" spans="1:6" ht="15.75" customHeight="1" x14ac:dyDescent="0.15">
      <c r="A16" s="2" t="s">
        <v>168</v>
      </c>
      <c r="B16" s="39">
        <v>6</v>
      </c>
      <c r="C16" s="39">
        <v>12</v>
      </c>
      <c r="D16" s="39">
        <v>5</v>
      </c>
      <c r="E16" s="138"/>
      <c r="F16" s="138"/>
    </row>
    <row r="17" spans="1:7" ht="15.75" customHeight="1" x14ac:dyDescent="0.15">
      <c r="A17" s="2" t="s">
        <v>169</v>
      </c>
      <c r="B17" s="24">
        <v>1</v>
      </c>
      <c r="C17" s="24">
        <v>1</v>
      </c>
      <c r="D17" s="24">
        <v>1</v>
      </c>
      <c r="E17" s="138"/>
      <c r="F17" s="138"/>
    </row>
    <row r="18" spans="1:7" ht="15.75" customHeight="1" x14ac:dyDescent="0.15">
      <c r="A18" s="2" t="s">
        <v>170</v>
      </c>
      <c r="B18" s="24">
        <v>2</v>
      </c>
      <c r="C18" s="24">
        <v>1</v>
      </c>
      <c r="D18" s="24">
        <v>2</v>
      </c>
      <c r="E18" s="138"/>
      <c r="F18" s="138"/>
    </row>
    <row r="19" spans="1:7" ht="15.75" customHeight="1" x14ac:dyDescent="0.15">
      <c r="A19" s="138" t="s">
        <v>171</v>
      </c>
      <c r="B19" s="24">
        <v>1704</v>
      </c>
      <c r="C19" s="24">
        <v>5541</v>
      </c>
      <c r="D19" s="24">
        <f>D21*1000</f>
        <v>2300</v>
      </c>
      <c r="E19" s="138"/>
      <c r="F19" s="138"/>
    </row>
    <row r="20" spans="1:7" ht="15.75" customHeight="1" x14ac:dyDescent="0.15">
      <c r="A20" s="2"/>
      <c r="B20" s="39"/>
      <c r="C20" s="39"/>
      <c r="D20" s="39"/>
      <c r="F20" s="138"/>
    </row>
    <row r="21" spans="1:7" ht="15.75" customHeight="1" x14ac:dyDescent="0.15">
      <c r="A21" s="2" t="s">
        <v>172</v>
      </c>
      <c r="B21" s="39">
        <v>5.2</v>
      </c>
      <c r="C21" s="187">
        <v>14</v>
      </c>
      <c r="D21" s="187">
        <v>2.2999999999999998</v>
      </c>
      <c r="F21" s="138"/>
    </row>
    <row r="22" spans="1:7" ht="15.75" customHeight="1" x14ac:dyDescent="0.15">
      <c r="A22" s="2" t="s">
        <v>173</v>
      </c>
      <c r="B22" s="39">
        <v>6</v>
      </c>
      <c r="C22" s="187">
        <v>22</v>
      </c>
      <c r="D22" s="187">
        <v>5</v>
      </c>
      <c r="F22" s="138"/>
    </row>
    <row r="23" spans="1:7" ht="15.75" customHeight="1" x14ac:dyDescent="0.15">
      <c r="A23" s="138" t="s">
        <v>174</v>
      </c>
      <c r="B23" s="224">
        <f t="shared" ref="B23:D23" si="0">B22/B21</f>
        <v>1.1538461538461537</v>
      </c>
      <c r="C23" s="225">
        <f t="shared" si="0"/>
        <v>1.5714285714285714</v>
      </c>
      <c r="D23" s="225">
        <f t="shared" si="0"/>
        <v>2.1739130434782612</v>
      </c>
      <c r="F23" s="138"/>
      <c r="G23" s="138"/>
    </row>
    <row r="24" spans="1:7" ht="15.75" customHeight="1" x14ac:dyDescent="0.15">
      <c r="B24" s="321" t="s">
        <v>175</v>
      </c>
      <c r="C24" s="270"/>
      <c r="D24" s="270"/>
      <c r="F24" s="138"/>
    </row>
    <row r="25" spans="1:7" ht="15.75" customHeight="1" x14ac:dyDescent="0.15">
      <c r="A25" s="234" t="s">
        <v>176</v>
      </c>
      <c r="B25" s="235">
        <f t="shared" ref="B25:C25" si="1">B19*B23</f>
        <v>1966.153846153846</v>
      </c>
      <c r="C25" s="235">
        <f t="shared" si="1"/>
        <v>8707.2857142857138</v>
      </c>
      <c r="D25" s="235">
        <f>D22*1000</f>
        <v>5000</v>
      </c>
      <c r="E25" s="208"/>
      <c r="F25" s="138"/>
    </row>
    <row r="26" spans="1:7" ht="15.75" customHeight="1" x14ac:dyDescent="0.15">
      <c r="B26" s="86"/>
      <c r="C26" s="86"/>
      <c r="D26" s="86"/>
      <c r="E26" s="86"/>
      <c r="F26" s="86"/>
    </row>
    <row r="27" spans="1:7" ht="26" customHeight="1" x14ac:dyDescent="0.15">
      <c r="A27" s="313" t="s">
        <v>177</v>
      </c>
      <c r="B27" s="314"/>
      <c r="C27" s="314"/>
      <c r="D27" s="314"/>
      <c r="E27" s="315"/>
    </row>
    <row r="28" spans="1:7" ht="15.75" customHeight="1" x14ac:dyDescent="0.15">
      <c r="A28" s="138"/>
      <c r="B28" s="236" t="str">
        <f t="shared" ref="B28:D28" si="2">B12</f>
        <v>Maize</v>
      </c>
      <c r="C28" s="236" t="str">
        <f t="shared" si="2"/>
        <v>Cassava</v>
      </c>
      <c r="D28" s="236" t="str">
        <f t="shared" si="2"/>
        <v>Rice</v>
      </c>
      <c r="E28" s="237"/>
    </row>
    <row r="29" spans="1:7" ht="15.75" customHeight="1" x14ac:dyDescent="0.15">
      <c r="A29" s="138" t="s">
        <v>178</v>
      </c>
      <c r="B29" s="238">
        <f>'Price margin inputs'!C6</f>
        <v>0.4</v>
      </c>
      <c r="C29" s="238">
        <f>'Price margin inputs'!G6</f>
        <v>0.05</v>
      </c>
      <c r="D29" s="238">
        <f>'Price margin inputs'!L6</f>
        <v>0.29156626506024097</v>
      </c>
      <c r="E29" s="237"/>
    </row>
    <row r="30" spans="1:7" ht="15.75" customHeight="1" x14ac:dyDescent="0.15">
      <c r="A30" s="138" t="s">
        <v>179</v>
      </c>
      <c r="B30" s="238">
        <f>'Price margin inputs'!C7</f>
        <v>0.52</v>
      </c>
      <c r="C30" s="238">
        <f>'Price margin inputs'!G7</f>
        <v>6.5000000000000002E-2</v>
      </c>
      <c r="D30" s="238">
        <f>'Price margin inputs'!L7</f>
        <v>0.37903614457831325</v>
      </c>
      <c r="E30" s="237" t="s">
        <v>94</v>
      </c>
    </row>
    <row r="31" spans="1:7" ht="15.75" customHeight="1" x14ac:dyDescent="0.15">
      <c r="A31" s="138" t="s">
        <v>180</v>
      </c>
      <c r="B31" s="148">
        <f t="shared" ref="B31:D31" si="3">B19*B17*B29</f>
        <v>681.6</v>
      </c>
      <c r="C31" s="148">
        <f t="shared" si="3"/>
        <v>277.05</v>
      </c>
      <c r="D31" s="148">
        <f t="shared" si="3"/>
        <v>670.60240963855426</v>
      </c>
      <c r="E31" s="237"/>
    </row>
    <row r="32" spans="1:7" ht="15.75" customHeight="1" x14ac:dyDescent="0.15">
      <c r="A32" s="138" t="s">
        <v>181</v>
      </c>
      <c r="B32" s="148">
        <f t="shared" ref="B32:D32" si="4">B25*B18*B30</f>
        <v>2044.8</v>
      </c>
      <c r="C32" s="148">
        <f t="shared" si="4"/>
        <v>565.9735714285714</v>
      </c>
      <c r="D32" s="148">
        <f t="shared" si="4"/>
        <v>3790.3614457831327</v>
      </c>
      <c r="E32" s="237" t="s">
        <v>33</v>
      </c>
    </row>
    <row r="33" spans="1:6" ht="15.75" customHeight="1" x14ac:dyDescent="0.15">
      <c r="A33" s="239" t="s">
        <v>182</v>
      </c>
      <c r="B33" s="240">
        <f t="shared" ref="B33:D33" si="5">(B32/B18)-B31</f>
        <v>340.79999999999995</v>
      </c>
      <c r="C33" s="240">
        <f t="shared" si="5"/>
        <v>288.92357142857139</v>
      </c>
      <c r="D33" s="240">
        <f t="shared" si="5"/>
        <v>1224.5783132530121</v>
      </c>
      <c r="E33" s="237"/>
    </row>
    <row r="34" spans="1:6" ht="15.75" customHeight="1" x14ac:dyDescent="0.15">
      <c r="A34" s="228" t="s">
        <v>183</v>
      </c>
      <c r="B34" s="229">
        <f t="shared" ref="B34:D34" si="6">B32-B31</f>
        <v>1363.1999999999998</v>
      </c>
      <c r="C34" s="229">
        <f t="shared" si="6"/>
        <v>288.92357142857139</v>
      </c>
      <c r="D34" s="229">
        <f t="shared" si="6"/>
        <v>3119.7590361445782</v>
      </c>
      <c r="E34" s="241"/>
    </row>
    <row r="36" spans="1:6" ht="30" customHeight="1" x14ac:dyDescent="0.15">
      <c r="A36" s="313" t="s">
        <v>184</v>
      </c>
      <c r="B36" s="314"/>
      <c r="C36" s="314"/>
      <c r="D36" s="314"/>
      <c r="E36" s="314"/>
      <c r="F36" s="315"/>
    </row>
    <row r="37" spans="1:6" ht="15.75" customHeight="1" x14ac:dyDescent="0.15">
      <c r="A37" s="138"/>
      <c r="B37" s="104" t="str">
        <f t="shared" ref="B37:D37" si="7">B12</f>
        <v>Maize</v>
      </c>
      <c r="C37" s="104" t="str">
        <f t="shared" si="7"/>
        <v>Cassava</v>
      </c>
      <c r="D37" s="104" t="str">
        <f t="shared" si="7"/>
        <v>Rice</v>
      </c>
      <c r="E37" s="5" t="str">
        <f>'Main inputs'!P2</f>
        <v>Tomato</v>
      </c>
      <c r="F37" s="227"/>
    </row>
    <row r="38" spans="1:6" ht="15.75" customHeight="1" x14ac:dyDescent="0.15">
      <c r="A38" s="138" t="s">
        <v>185</v>
      </c>
      <c r="B38" s="242"/>
      <c r="C38" s="243"/>
      <c r="D38" s="243"/>
      <c r="E38" s="244">
        <f t="shared" ref="E38:E39" si="8">B45</f>
        <v>8750</v>
      </c>
      <c r="F38" s="237" t="s">
        <v>186</v>
      </c>
    </row>
    <row r="39" spans="1:6" ht="15.75" customHeight="1" x14ac:dyDescent="0.15">
      <c r="A39" s="138" t="s">
        <v>187</v>
      </c>
      <c r="B39" s="245"/>
      <c r="C39" s="243"/>
      <c r="D39" s="245"/>
      <c r="E39" s="238">
        <f t="shared" si="8"/>
        <v>0.24</v>
      </c>
      <c r="F39" s="237" t="s">
        <v>94</v>
      </c>
    </row>
    <row r="40" spans="1:6" ht="15.75" customHeight="1" x14ac:dyDescent="0.15">
      <c r="A40" s="138" t="s">
        <v>188</v>
      </c>
      <c r="B40" s="148">
        <f>($E$38*$E$39)+(B25*B30)</f>
        <v>3122.4</v>
      </c>
      <c r="C40" s="148">
        <f>C32</f>
        <v>565.9735714285714</v>
      </c>
      <c r="D40" s="148">
        <f>($E$38*$E$39)+(D25*D30)</f>
        <v>3995.1807228915663</v>
      </c>
      <c r="F40" s="237" t="s">
        <v>33</v>
      </c>
    </row>
    <row r="41" spans="1:6" ht="15.75" customHeight="1" x14ac:dyDescent="0.15">
      <c r="A41" s="228" t="s">
        <v>189</v>
      </c>
      <c r="B41" s="229">
        <f t="shared" ref="B41:D41" si="9">B40-B31</f>
        <v>2440.8000000000002</v>
      </c>
      <c r="C41" s="229">
        <f t="shared" si="9"/>
        <v>288.92357142857139</v>
      </c>
      <c r="D41" s="229">
        <f t="shared" si="9"/>
        <v>3324.5783132530123</v>
      </c>
      <c r="E41" s="208"/>
      <c r="F41" s="231"/>
    </row>
    <row r="43" spans="1:6" ht="28" customHeight="1" x14ac:dyDescent="0.15">
      <c r="A43" s="313" t="s">
        <v>190</v>
      </c>
      <c r="B43" s="314"/>
      <c r="C43" s="314"/>
      <c r="D43" s="314"/>
      <c r="E43" s="315"/>
    </row>
    <row r="44" spans="1:6" ht="15.75" customHeight="1" x14ac:dyDescent="0.15">
      <c r="A44" s="239"/>
      <c r="B44" s="239" t="str">
        <f>'Main inputs'!P2</f>
        <v>Tomato</v>
      </c>
      <c r="E44" s="227"/>
    </row>
    <row r="45" spans="1:6" ht="15.75" customHeight="1" x14ac:dyDescent="0.15">
      <c r="A45" s="138" t="s">
        <v>185</v>
      </c>
      <c r="B45" s="24">
        <f>8.75*1000</f>
        <v>8750</v>
      </c>
      <c r="C45" s="232" t="s">
        <v>191</v>
      </c>
      <c r="D45" s="1" t="s">
        <v>186</v>
      </c>
      <c r="E45" s="227"/>
    </row>
    <row r="46" spans="1:6" ht="15.75" customHeight="1" x14ac:dyDescent="0.15">
      <c r="A46" s="138" t="s">
        <v>187</v>
      </c>
      <c r="B46" s="226">
        <v>0.24</v>
      </c>
      <c r="C46" s="233" t="s">
        <v>191</v>
      </c>
      <c r="D46" s="1" t="s">
        <v>94</v>
      </c>
      <c r="E46" s="227"/>
    </row>
    <row r="47" spans="1:6" ht="13" x14ac:dyDescent="0.15">
      <c r="A47" s="138" t="s">
        <v>192</v>
      </c>
      <c r="B47" s="148">
        <f>B45*B46*B18</f>
        <v>4200</v>
      </c>
      <c r="D47" s="1" t="s">
        <v>33</v>
      </c>
      <c r="E47" s="227"/>
    </row>
    <row r="48" spans="1:6" ht="13" x14ac:dyDescent="0.15">
      <c r="A48" s="228" t="s">
        <v>193</v>
      </c>
      <c r="B48" s="229">
        <f>B47-B31</f>
        <v>3518.4</v>
      </c>
      <c r="C48" s="208"/>
      <c r="D48" s="230" t="s">
        <v>33</v>
      </c>
      <c r="E48" s="231"/>
    </row>
    <row r="50" spans="1:2" ht="13" x14ac:dyDescent="0.15">
      <c r="A50" s="2"/>
      <c r="B50" s="2"/>
    </row>
  </sheetData>
  <sheetProtection algorithmName="SHA-512" hashValue="K0SI4Y7wclgbDZjUMXATEiWp+hhGGo4X0AyTsDGwCIUQCWtu0vBowo+3gQX9g1qqCcZVZmldwAhJtiyf9XIuIg==" saltValue="K6HltfRLW6N12rHd96AkXg==" spinCount="100000" sheet="1" objects="1" scenarios="1"/>
  <mergeCells count="9">
    <mergeCell ref="A36:F36"/>
    <mergeCell ref="A43:E43"/>
    <mergeCell ref="A1:F1"/>
    <mergeCell ref="B6:C6"/>
    <mergeCell ref="D6:D9"/>
    <mergeCell ref="A11:E11"/>
    <mergeCell ref="B14:D14"/>
    <mergeCell ref="B24:D24"/>
    <mergeCell ref="A27:E27"/>
  </mergeCells>
  <hyperlinks>
    <hyperlink ref="D6" r:id="rId1" xr:uid="{00000000-0004-0000-0400-000000000000}"/>
  </hyperlinks>
  <pageMargins left="0.7" right="0.7" top="0.75" bottom="0.75" header="0.3" footer="0.3"/>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G50"/>
  <sheetViews>
    <sheetView workbookViewId="0">
      <selection activeCell="M38" sqref="M38"/>
    </sheetView>
  </sheetViews>
  <sheetFormatPr baseColWidth="10" defaultColWidth="12.6640625" defaultRowHeight="15.75" customHeight="1" x14ac:dyDescent="0.15"/>
  <cols>
    <col min="1" max="1" width="52.83203125" customWidth="1"/>
    <col min="5" max="5" width="20.1640625" customWidth="1"/>
  </cols>
  <sheetData>
    <row r="1" spans="1:7" ht="15.75" customHeight="1" x14ac:dyDescent="0.15">
      <c r="A1" s="316" t="s">
        <v>148</v>
      </c>
      <c r="B1" s="270"/>
      <c r="C1" s="270"/>
      <c r="D1" s="270"/>
      <c r="E1" s="270"/>
      <c r="F1" s="270"/>
      <c r="G1" s="317"/>
    </row>
    <row r="2" spans="1:7" ht="15.75" customHeight="1" x14ac:dyDescent="0.15">
      <c r="A2" s="5" t="s">
        <v>149</v>
      </c>
      <c r="B2" s="5" t="s">
        <v>9</v>
      </c>
      <c r="D2" s="5" t="s">
        <v>150</v>
      </c>
      <c r="E2" s="5" t="s">
        <v>151</v>
      </c>
      <c r="G2" s="227"/>
    </row>
    <row r="3" spans="1:7" ht="15.75" customHeight="1" x14ac:dyDescent="0.15">
      <c r="A3" s="40" t="s">
        <v>152</v>
      </c>
      <c r="B3" s="40" t="s">
        <v>153</v>
      </c>
      <c r="C3" s="40">
        <v>4</v>
      </c>
      <c r="D3" s="40"/>
      <c r="E3" s="21"/>
      <c r="F3" s="21"/>
      <c r="G3" s="222"/>
    </row>
    <row r="4" spans="1:7" ht="15.75" customHeight="1" x14ac:dyDescent="0.15">
      <c r="A4" s="40" t="s">
        <v>155</v>
      </c>
      <c r="B4" s="40" t="s">
        <v>153</v>
      </c>
      <c r="C4" s="40">
        <v>4</v>
      </c>
      <c r="D4" s="40"/>
      <c r="E4" s="21"/>
      <c r="F4" s="21"/>
      <c r="G4" s="222"/>
    </row>
    <row r="5" spans="1:7" ht="15.75" customHeight="1" x14ac:dyDescent="0.15">
      <c r="A5" s="40" t="s">
        <v>194</v>
      </c>
      <c r="B5" s="40" t="s">
        <v>153</v>
      </c>
      <c r="C5" s="40">
        <v>4</v>
      </c>
      <c r="D5" s="40"/>
      <c r="E5" s="21"/>
      <c r="F5" s="21"/>
      <c r="G5" s="222"/>
    </row>
    <row r="6" spans="1:7" ht="15.75" customHeight="1" x14ac:dyDescent="0.15">
      <c r="A6" s="40" t="s">
        <v>157</v>
      </c>
      <c r="B6" s="318" t="s">
        <v>195</v>
      </c>
      <c r="C6" s="272"/>
      <c r="D6" s="322" t="s">
        <v>226</v>
      </c>
      <c r="E6" s="21"/>
      <c r="F6" s="21"/>
      <c r="G6" s="222"/>
    </row>
    <row r="7" spans="1:7" ht="15.75" customHeight="1" x14ac:dyDescent="0.15">
      <c r="A7" s="40" t="s">
        <v>196</v>
      </c>
      <c r="B7" s="40" t="s">
        <v>39</v>
      </c>
      <c r="C7" s="52">
        <f>'Main inputs'!C44</f>
        <v>0.12</v>
      </c>
      <c r="D7" s="272"/>
      <c r="E7" s="21"/>
      <c r="F7" s="21"/>
      <c r="G7" s="222"/>
    </row>
    <row r="8" spans="1:7" ht="15.75" customHeight="1" x14ac:dyDescent="0.15">
      <c r="A8" s="40" t="s">
        <v>161</v>
      </c>
      <c r="B8" s="40" t="s">
        <v>153</v>
      </c>
      <c r="C8" s="40">
        <v>3.6</v>
      </c>
      <c r="D8" s="272"/>
      <c r="E8" s="21"/>
      <c r="F8" s="21"/>
      <c r="G8" s="222"/>
    </row>
    <row r="9" spans="1:7" ht="15.75" customHeight="1" x14ac:dyDescent="0.15">
      <c r="A9" s="202" t="s">
        <v>162</v>
      </c>
      <c r="B9" s="202" t="s">
        <v>163</v>
      </c>
      <c r="C9" s="202"/>
      <c r="D9" s="320"/>
      <c r="E9" s="202"/>
      <c r="F9" s="202"/>
      <c r="G9" s="223"/>
    </row>
    <row r="10" spans="1:7" ht="15.75" customHeight="1" x14ac:dyDescent="0.15">
      <c r="A10" s="246"/>
    </row>
    <row r="11" spans="1:7" ht="15.75" customHeight="1" x14ac:dyDescent="0.15">
      <c r="A11" s="316" t="s">
        <v>197</v>
      </c>
      <c r="B11" s="270"/>
      <c r="C11" s="270"/>
      <c r="D11" s="270"/>
      <c r="E11" s="270"/>
      <c r="F11" s="270"/>
      <c r="G11" s="317"/>
    </row>
    <row r="12" spans="1:7" ht="15.75" customHeight="1" x14ac:dyDescent="0.15">
      <c r="B12" s="84" t="str">
        <f>'Main inputs'!C30</f>
        <v>Maize</v>
      </c>
      <c r="C12" s="84" t="str">
        <f>'Main inputs'!H30</f>
        <v>Cassava</v>
      </c>
      <c r="D12" s="84" t="str">
        <f>'Main inputs'!J30</f>
        <v>Beans</v>
      </c>
      <c r="G12" s="227"/>
    </row>
    <row r="13" spans="1:7" ht="15.75" customHeight="1" x14ac:dyDescent="0.15">
      <c r="A13" s="2" t="s">
        <v>165</v>
      </c>
      <c r="B13" s="86">
        <f>'Main inputs'!C33</f>
        <v>6</v>
      </c>
      <c r="C13" s="86">
        <f>'Main inputs'!H33</f>
        <v>6</v>
      </c>
      <c r="D13" s="86">
        <f>'Main inputs'!J33</f>
        <v>6</v>
      </c>
      <c r="G13" s="227"/>
    </row>
    <row r="14" spans="1:7" ht="15.75" customHeight="1" x14ac:dyDescent="0.15">
      <c r="A14" s="2"/>
      <c r="B14" s="321" t="s">
        <v>166</v>
      </c>
      <c r="C14" s="270"/>
      <c r="D14" s="270"/>
      <c r="G14" s="227"/>
    </row>
    <row r="15" spans="1:7" ht="15.75" customHeight="1" x14ac:dyDescent="0.15">
      <c r="A15" s="2" t="s">
        <v>167</v>
      </c>
      <c r="B15" s="39">
        <v>4</v>
      </c>
      <c r="C15" s="39">
        <v>12</v>
      </c>
      <c r="D15" s="39">
        <v>2</v>
      </c>
      <c r="G15" s="227"/>
    </row>
    <row r="16" spans="1:7" ht="15.75" customHeight="1" x14ac:dyDescent="0.15">
      <c r="A16" s="2" t="s">
        <v>168</v>
      </c>
      <c r="B16" s="39">
        <v>4</v>
      </c>
      <c r="C16" s="39">
        <v>12</v>
      </c>
      <c r="D16" s="39">
        <v>3</v>
      </c>
      <c r="E16" s="2"/>
      <c r="G16" s="227"/>
    </row>
    <row r="17" spans="1:7" ht="15.75" customHeight="1" x14ac:dyDescent="0.15">
      <c r="A17" s="2" t="s">
        <v>169</v>
      </c>
      <c r="B17" s="39">
        <v>1</v>
      </c>
      <c r="C17" s="39">
        <v>1</v>
      </c>
      <c r="D17" s="39">
        <v>1</v>
      </c>
      <c r="G17" s="227"/>
    </row>
    <row r="18" spans="1:7" ht="15.75" customHeight="1" x14ac:dyDescent="0.15">
      <c r="A18" s="2" t="s">
        <v>170</v>
      </c>
      <c r="B18" s="39">
        <v>2</v>
      </c>
      <c r="C18" s="39">
        <v>1</v>
      </c>
      <c r="D18" s="39">
        <v>2</v>
      </c>
      <c r="E18" s="2"/>
      <c r="G18" s="227"/>
    </row>
    <row r="19" spans="1:7" ht="15.75" customHeight="1" x14ac:dyDescent="0.15">
      <c r="A19" s="2" t="s">
        <v>171</v>
      </c>
      <c r="B19" s="39">
        <v>843</v>
      </c>
      <c r="C19" s="39">
        <v>2738</v>
      </c>
      <c r="D19" s="39">
        <v>426</v>
      </c>
      <c r="E19" s="40" t="s">
        <v>198</v>
      </c>
      <c r="G19" s="227"/>
    </row>
    <row r="20" spans="1:7" ht="15.75" customHeight="1" x14ac:dyDescent="0.15">
      <c r="A20" s="2"/>
      <c r="B20" s="24"/>
      <c r="C20" s="24"/>
      <c r="D20" s="24"/>
      <c r="G20" s="227"/>
    </row>
    <row r="21" spans="1:7" ht="15.75" customHeight="1" x14ac:dyDescent="0.15">
      <c r="A21" s="2" t="s">
        <v>172</v>
      </c>
      <c r="B21" s="39">
        <v>5.2</v>
      </c>
      <c r="C21" s="187">
        <v>14</v>
      </c>
      <c r="D21" s="39">
        <v>0.82699999999999996</v>
      </c>
      <c r="G21" s="227"/>
    </row>
    <row r="22" spans="1:7" ht="15.75" customHeight="1" x14ac:dyDescent="0.15">
      <c r="A22" s="2" t="s">
        <v>173</v>
      </c>
      <c r="B22" s="39">
        <v>6</v>
      </c>
      <c r="C22" s="187">
        <v>22</v>
      </c>
      <c r="D22" s="39">
        <v>2.25</v>
      </c>
      <c r="G22" s="227"/>
    </row>
    <row r="23" spans="1:7" ht="15.75" customHeight="1" x14ac:dyDescent="0.15">
      <c r="A23" s="138" t="s">
        <v>174</v>
      </c>
      <c r="B23" s="224">
        <f t="shared" ref="B23:D23" si="0">B22/B21</f>
        <v>1.1538461538461537</v>
      </c>
      <c r="C23" s="225">
        <f t="shared" si="0"/>
        <v>1.5714285714285714</v>
      </c>
      <c r="D23" s="224">
        <f t="shared" si="0"/>
        <v>2.7206771463119712</v>
      </c>
      <c r="G23" s="227"/>
    </row>
    <row r="24" spans="1:7" ht="15.75" customHeight="1" x14ac:dyDescent="0.15">
      <c r="A24" s="138"/>
      <c r="B24" s="24"/>
      <c r="C24" s="24"/>
      <c r="D24" s="24"/>
      <c r="G24" s="227"/>
    </row>
    <row r="25" spans="1:7" ht="15.75" customHeight="1" x14ac:dyDescent="0.15">
      <c r="A25" s="2"/>
      <c r="B25" s="321" t="s">
        <v>175</v>
      </c>
      <c r="C25" s="270"/>
      <c r="D25" s="270"/>
      <c r="G25" s="227"/>
    </row>
    <row r="26" spans="1:7" ht="15.75" customHeight="1" x14ac:dyDescent="0.15">
      <c r="A26" s="2" t="s">
        <v>199</v>
      </c>
      <c r="B26" s="248">
        <f t="shared" ref="B26:C26" si="1">B19*B23</f>
        <v>972.69230769230762</v>
      </c>
      <c r="C26" s="248">
        <f t="shared" si="1"/>
        <v>4302.5714285714284</v>
      </c>
      <c r="D26" s="248">
        <f>D19*'Irrigation inputs&amp;calcs_RWA'!D23</f>
        <v>1159.0084643288997</v>
      </c>
      <c r="G26" s="227"/>
    </row>
    <row r="27" spans="1:7" ht="15.75" customHeight="1" x14ac:dyDescent="0.15">
      <c r="A27" s="208"/>
      <c r="B27" s="249"/>
      <c r="C27" s="250"/>
      <c r="D27" s="208"/>
      <c r="E27" s="208" t="s">
        <v>200</v>
      </c>
      <c r="F27" s="208">
        <v>1017</v>
      </c>
      <c r="G27" s="231"/>
    </row>
    <row r="29" spans="1:7" ht="28" customHeight="1" x14ac:dyDescent="0.15">
      <c r="A29" s="313" t="s">
        <v>201</v>
      </c>
      <c r="B29" s="314"/>
      <c r="C29" s="314"/>
      <c r="D29" s="314"/>
      <c r="E29" s="314"/>
      <c r="F29" s="314"/>
      <c r="G29" s="315"/>
    </row>
    <row r="30" spans="1:7" ht="15.75" customHeight="1" x14ac:dyDescent="0.15">
      <c r="A30" s="138"/>
      <c r="B30" s="104" t="str">
        <f t="shared" ref="B30:D30" si="2">B12</f>
        <v>Maize</v>
      </c>
      <c r="C30" s="104" t="str">
        <f t="shared" si="2"/>
        <v>Cassava</v>
      </c>
      <c r="D30" s="104" t="str">
        <f t="shared" si="2"/>
        <v>Beans</v>
      </c>
      <c r="E30" s="1"/>
      <c r="G30" s="227"/>
    </row>
    <row r="31" spans="1:7" ht="15.75" customHeight="1" x14ac:dyDescent="0.15">
      <c r="A31" s="138" t="s">
        <v>178</v>
      </c>
      <c r="B31" s="238">
        <f>'Price margin inputs'!C12</f>
        <v>0.21632251720747295</v>
      </c>
      <c r="C31" s="238">
        <f>'Price margin inputs'!H12</f>
        <v>7.3746312684365781E-2</v>
      </c>
      <c r="D31" s="238">
        <f>'Price margin inputs'!J12</f>
        <v>0.67800000000000005</v>
      </c>
      <c r="E31" s="1"/>
      <c r="G31" s="227"/>
    </row>
    <row r="32" spans="1:7" ht="15.75" customHeight="1" x14ac:dyDescent="0.15">
      <c r="A32" s="138" t="s">
        <v>179</v>
      </c>
      <c r="B32" s="238">
        <f>'Price margin inputs'!C13</f>
        <v>0.28121927236971483</v>
      </c>
      <c r="C32" s="238">
        <f>'Price margin inputs'!H13</f>
        <v>9.5870206489675522E-2</v>
      </c>
      <c r="D32" s="238">
        <f>'Price margin inputs'!J13</f>
        <v>0.77970000000000006</v>
      </c>
      <c r="E32" s="1" t="s">
        <v>94</v>
      </c>
      <c r="G32" s="227"/>
    </row>
    <row r="33" spans="1:7" ht="15.75" customHeight="1" x14ac:dyDescent="0.15">
      <c r="A33" s="138" t="s">
        <v>180</v>
      </c>
      <c r="B33" s="148">
        <f t="shared" ref="B33:D33" si="3">B17*B19*B31</f>
        <v>182.35988200589969</v>
      </c>
      <c r="C33" s="148">
        <f t="shared" si="3"/>
        <v>201.91740412979351</v>
      </c>
      <c r="D33" s="148">
        <f t="shared" si="3"/>
        <v>288.82800000000003</v>
      </c>
      <c r="E33" s="1"/>
      <c r="G33" s="227"/>
    </row>
    <row r="34" spans="1:7" ht="15.75" customHeight="1" x14ac:dyDescent="0.15">
      <c r="A34" s="138" t="s">
        <v>181</v>
      </c>
      <c r="B34" s="148">
        <f t="shared" ref="B34:D34" si="4">B18*B26*B32</f>
        <v>547.07964601769902</v>
      </c>
      <c r="C34" s="148">
        <f t="shared" si="4"/>
        <v>412.48841129372101</v>
      </c>
      <c r="D34" s="148">
        <f t="shared" si="4"/>
        <v>1807.3577992744863</v>
      </c>
      <c r="E34" s="1" t="s">
        <v>33</v>
      </c>
      <c r="G34" s="227"/>
    </row>
    <row r="35" spans="1:7" ht="15.75" customHeight="1" x14ac:dyDescent="0.15">
      <c r="A35" s="239" t="s">
        <v>182</v>
      </c>
      <c r="B35" s="240">
        <f t="shared" ref="B35:D35" si="5">(B34/B18)-B33</f>
        <v>91.179941002949818</v>
      </c>
      <c r="C35" s="240">
        <f t="shared" si="5"/>
        <v>210.5710071639275</v>
      </c>
      <c r="D35" s="240">
        <f t="shared" si="5"/>
        <v>614.85089963724317</v>
      </c>
      <c r="E35" s="1"/>
      <c r="G35" s="227"/>
    </row>
    <row r="36" spans="1:7" ht="15.75" customHeight="1" x14ac:dyDescent="0.15">
      <c r="A36" s="228" t="s">
        <v>183</v>
      </c>
      <c r="B36" s="229">
        <f t="shared" ref="B36:D36" si="6">B34-B33</f>
        <v>364.71976401179933</v>
      </c>
      <c r="C36" s="229">
        <f t="shared" si="6"/>
        <v>210.5710071639275</v>
      </c>
      <c r="D36" s="229">
        <f t="shared" si="6"/>
        <v>1518.5297992744863</v>
      </c>
      <c r="E36" s="230"/>
      <c r="F36" s="208"/>
      <c r="G36" s="231"/>
    </row>
    <row r="38" spans="1:7" ht="30" customHeight="1" x14ac:dyDescent="0.15">
      <c r="A38" s="313" t="s">
        <v>202</v>
      </c>
      <c r="B38" s="314"/>
      <c r="C38" s="314"/>
      <c r="D38" s="314"/>
      <c r="E38" s="314"/>
      <c r="F38" s="314"/>
      <c r="G38" s="251"/>
    </row>
    <row r="39" spans="1:7" ht="15.75" customHeight="1" x14ac:dyDescent="0.15">
      <c r="A39" s="239" t="s">
        <v>203</v>
      </c>
      <c r="B39" s="104" t="str">
        <f t="shared" ref="B39:D39" si="7">B12</f>
        <v>Maize</v>
      </c>
      <c r="C39" s="104" t="str">
        <f t="shared" si="7"/>
        <v>Cassava</v>
      </c>
      <c r="D39" s="104" t="str">
        <f t="shared" si="7"/>
        <v>Beans</v>
      </c>
      <c r="E39" s="239" t="str">
        <f>'Main inputs'!N30</f>
        <v>Tomato</v>
      </c>
      <c r="G39" s="247"/>
    </row>
    <row r="40" spans="1:7" ht="15.75" customHeight="1" x14ac:dyDescent="0.15">
      <c r="A40" s="138" t="s">
        <v>185</v>
      </c>
      <c r="B40" s="252"/>
      <c r="C40" s="252"/>
      <c r="D40" s="252"/>
      <c r="E40" s="86">
        <f t="shared" ref="E40:E41" si="8">B47</f>
        <v>20000</v>
      </c>
      <c r="F40" s="1" t="s">
        <v>101</v>
      </c>
      <c r="G40" s="247"/>
    </row>
    <row r="41" spans="1:7" ht="15.75" customHeight="1" x14ac:dyDescent="0.15">
      <c r="A41" s="138" t="s">
        <v>187</v>
      </c>
      <c r="B41" s="245"/>
      <c r="C41" s="245"/>
      <c r="D41" s="245"/>
      <c r="E41" s="91">
        <f t="shared" si="8"/>
        <v>0.19665683382497542</v>
      </c>
      <c r="F41" s="1" t="s">
        <v>94</v>
      </c>
      <c r="G41" s="247"/>
    </row>
    <row r="42" spans="1:7" ht="15.75" customHeight="1" x14ac:dyDescent="0.15">
      <c r="A42" s="138" t="s">
        <v>188</v>
      </c>
      <c r="B42" s="238">
        <f>$E$40*$E$41+B26*B32</f>
        <v>4206.6764995083586</v>
      </c>
      <c r="C42" s="238">
        <f>C34</f>
        <v>412.48841129372101</v>
      </c>
      <c r="D42" s="238">
        <f>$E$40*$E$41+D26*D32</f>
        <v>4836.8155761367516</v>
      </c>
      <c r="F42" s="1" t="s">
        <v>33</v>
      </c>
      <c r="G42" s="247"/>
    </row>
    <row r="43" spans="1:7" ht="15.75" customHeight="1" x14ac:dyDescent="0.15">
      <c r="A43" s="228" t="s">
        <v>189</v>
      </c>
      <c r="B43" s="253">
        <f t="shared" ref="B43:D43" si="9">B42-B33</f>
        <v>4024.3166175024589</v>
      </c>
      <c r="C43" s="253">
        <f t="shared" si="9"/>
        <v>210.5710071639275</v>
      </c>
      <c r="D43" s="253">
        <f t="shared" si="9"/>
        <v>4547.9875761367512</v>
      </c>
      <c r="E43" s="208"/>
      <c r="F43" s="230" t="s">
        <v>33</v>
      </c>
      <c r="G43" s="247"/>
    </row>
    <row r="45" spans="1:7" ht="32" customHeight="1" x14ac:dyDescent="0.15">
      <c r="A45" s="313" t="s">
        <v>204</v>
      </c>
      <c r="B45" s="314"/>
      <c r="C45" s="314"/>
      <c r="D45" s="314"/>
      <c r="E45" s="315"/>
      <c r="F45" s="251"/>
      <c r="G45" s="246"/>
    </row>
    <row r="46" spans="1:7" ht="15.75" customHeight="1" x14ac:dyDescent="0.15">
      <c r="A46" s="239" t="s">
        <v>205</v>
      </c>
      <c r="B46" s="239" t="str">
        <f>'Main inputs'!N30</f>
        <v>Tomato</v>
      </c>
      <c r="F46" s="247"/>
      <c r="G46" s="138"/>
    </row>
    <row r="47" spans="1:7" ht="13" x14ac:dyDescent="0.15">
      <c r="A47" s="138" t="s">
        <v>206</v>
      </c>
      <c r="B47" s="24">
        <f>20*1000</f>
        <v>20000</v>
      </c>
      <c r="C47" s="232" t="s">
        <v>191</v>
      </c>
      <c r="D47" s="1" t="s">
        <v>101</v>
      </c>
      <c r="F47" s="247"/>
      <c r="G47" s="138"/>
    </row>
    <row r="48" spans="1:7" ht="13" x14ac:dyDescent="0.15">
      <c r="A48" s="138" t="s">
        <v>187</v>
      </c>
      <c r="B48" s="226">
        <f>200/F27</f>
        <v>0.19665683382497542</v>
      </c>
      <c r="C48" s="232" t="s">
        <v>191</v>
      </c>
      <c r="D48" s="1" t="s">
        <v>94</v>
      </c>
      <c r="F48" s="247"/>
      <c r="G48" s="138"/>
    </row>
    <row r="49" spans="1:7" ht="13" x14ac:dyDescent="0.15">
      <c r="A49" s="138" t="s">
        <v>192</v>
      </c>
      <c r="B49" s="148">
        <f>B48*B47*B18</f>
        <v>7866.2733529990173</v>
      </c>
      <c r="D49" s="1" t="s">
        <v>33</v>
      </c>
      <c r="F49" s="247"/>
      <c r="G49" s="138"/>
    </row>
    <row r="50" spans="1:7" ht="13" x14ac:dyDescent="0.15">
      <c r="A50" s="228" t="s">
        <v>193</v>
      </c>
      <c r="B50" s="229">
        <f>B49-B33</f>
        <v>7683.9134709931177</v>
      </c>
      <c r="C50" s="208"/>
      <c r="D50" s="230" t="s">
        <v>33</v>
      </c>
      <c r="E50" s="208"/>
      <c r="F50" s="247"/>
      <c r="G50" s="138"/>
    </row>
  </sheetData>
  <sheetProtection algorithmName="SHA-512" hashValue="7go1AUBoRhdZ9GdESwbm4+0D/Knw9HuDkfvosXorDk0wdb+/qM8IDA3W4FbrkxDEtSguzt2vwKxmDN1+U8mkpw==" saltValue="nqKL8waN+GetekfOo550KA==" spinCount="100000" sheet="1" objects="1" scenarios="1"/>
  <mergeCells count="9">
    <mergeCell ref="A38:F38"/>
    <mergeCell ref="A45:E45"/>
    <mergeCell ref="A1:G1"/>
    <mergeCell ref="B6:C6"/>
    <mergeCell ref="D6:D9"/>
    <mergeCell ref="A11:G11"/>
    <mergeCell ref="B14:D14"/>
    <mergeCell ref="B25:D25"/>
    <mergeCell ref="A29:G29"/>
  </mergeCells>
  <hyperlinks>
    <hyperlink ref="D6" r:id="rId1" display="Vitalite interview &amp; https://futurepump.com/solar-water-pump-datasheet-sf2/" xr:uid="{00000000-0004-0000-0500-000000000000}"/>
  </hyperlinks>
  <pageMargins left="0.7" right="0.7" top="0.75" bottom="0.75" header="0.3" footer="0.3"/>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G52"/>
  <sheetViews>
    <sheetView workbookViewId="0">
      <selection activeCell="H9" sqref="H9"/>
    </sheetView>
  </sheetViews>
  <sheetFormatPr baseColWidth="10" defaultColWidth="12.6640625" defaultRowHeight="15.75" customHeight="1" x14ac:dyDescent="0.15"/>
  <cols>
    <col min="1" max="1" width="53.6640625" customWidth="1"/>
    <col min="5" max="5" width="20.6640625" customWidth="1"/>
  </cols>
  <sheetData>
    <row r="1" spans="1:7" ht="15.75" customHeight="1" x14ac:dyDescent="0.15">
      <c r="A1" s="316" t="s">
        <v>148</v>
      </c>
      <c r="B1" s="270"/>
      <c r="C1" s="270"/>
      <c r="D1" s="270"/>
      <c r="E1" s="270"/>
      <c r="F1" s="270"/>
      <c r="G1" s="317"/>
    </row>
    <row r="2" spans="1:7" ht="15.75" customHeight="1" x14ac:dyDescent="0.15">
      <c r="A2" s="5" t="s">
        <v>149</v>
      </c>
      <c r="B2" s="5" t="s">
        <v>9</v>
      </c>
      <c r="D2" s="5" t="s">
        <v>150</v>
      </c>
      <c r="E2" s="5" t="s">
        <v>151</v>
      </c>
      <c r="G2" s="227"/>
    </row>
    <row r="3" spans="1:7" ht="15.75" customHeight="1" x14ac:dyDescent="0.15">
      <c r="A3" s="40" t="s">
        <v>152</v>
      </c>
      <c r="B3" s="40" t="s">
        <v>153</v>
      </c>
      <c r="C3" s="40">
        <v>4</v>
      </c>
      <c r="D3" s="40" t="s">
        <v>207</v>
      </c>
      <c r="E3" s="21"/>
      <c r="F3" s="21"/>
      <c r="G3" s="222"/>
    </row>
    <row r="4" spans="1:7" ht="15.75" customHeight="1" x14ac:dyDescent="0.15">
      <c r="A4" s="40" t="s">
        <v>155</v>
      </c>
      <c r="B4" s="40" t="s">
        <v>153</v>
      </c>
      <c r="C4" s="40">
        <v>5</v>
      </c>
      <c r="D4" s="40" t="s">
        <v>208</v>
      </c>
      <c r="E4" s="21"/>
      <c r="F4" s="21"/>
      <c r="G4" s="222"/>
    </row>
    <row r="5" spans="1:7" ht="15.75" customHeight="1" x14ac:dyDescent="0.15">
      <c r="A5" s="40" t="s">
        <v>209</v>
      </c>
      <c r="B5" s="40" t="s">
        <v>153</v>
      </c>
      <c r="C5" s="40">
        <v>4</v>
      </c>
      <c r="D5" s="40" t="s">
        <v>207</v>
      </c>
      <c r="E5" s="21"/>
      <c r="F5" s="21"/>
      <c r="G5" s="222"/>
    </row>
    <row r="6" spans="1:7" ht="15.75" customHeight="1" x14ac:dyDescent="0.15">
      <c r="A6" s="40" t="s">
        <v>157</v>
      </c>
      <c r="B6" s="318" t="s">
        <v>195</v>
      </c>
      <c r="C6" s="272"/>
      <c r="D6" s="322" t="s">
        <v>226</v>
      </c>
      <c r="E6" s="21"/>
      <c r="F6" s="21"/>
      <c r="G6" s="222"/>
    </row>
    <row r="7" spans="1:7" ht="15.75" customHeight="1" x14ac:dyDescent="0.15">
      <c r="A7" s="40" t="s">
        <v>196</v>
      </c>
      <c r="B7" s="40" t="s">
        <v>39</v>
      </c>
      <c r="C7" s="68">
        <f>'Main inputs'!C72</f>
        <v>0.12</v>
      </c>
      <c r="D7" s="272"/>
      <c r="E7" s="21"/>
      <c r="F7" s="21"/>
      <c r="G7" s="222"/>
    </row>
    <row r="8" spans="1:7" ht="15.75" customHeight="1" x14ac:dyDescent="0.15">
      <c r="A8" s="40" t="s">
        <v>161</v>
      </c>
      <c r="B8" s="40" t="s">
        <v>153</v>
      </c>
      <c r="C8" s="40">
        <v>3.6</v>
      </c>
      <c r="D8" s="272"/>
      <c r="E8" s="21"/>
      <c r="F8" s="21"/>
      <c r="G8" s="222"/>
    </row>
    <row r="9" spans="1:7" ht="15.75" customHeight="1" x14ac:dyDescent="0.15">
      <c r="A9" s="202" t="s">
        <v>162</v>
      </c>
      <c r="B9" s="202" t="s">
        <v>163</v>
      </c>
      <c r="C9" s="202"/>
      <c r="D9" s="320"/>
      <c r="E9" s="202"/>
      <c r="F9" s="202"/>
      <c r="G9" s="223"/>
    </row>
    <row r="11" spans="1:7" ht="15.75" customHeight="1" x14ac:dyDescent="0.15">
      <c r="A11" s="316" t="s">
        <v>210</v>
      </c>
      <c r="B11" s="270"/>
      <c r="C11" s="270"/>
      <c r="D11" s="270"/>
      <c r="E11" s="270"/>
      <c r="F11" s="270"/>
      <c r="G11" s="317"/>
    </row>
    <row r="12" spans="1:7" ht="15.75" customHeight="1" x14ac:dyDescent="0.15">
      <c r="B12" s="84" t="str">
        <f>'Main inputs'!C58</f>
        <v>Maize</v>
      </c>
      <c r="C12" s="84" t="str">
        <f>'Main inputs'!G58</f>
        <v>Cassava</v>
      </c>
      <c r="D12" s="84" t="str">
        <f>'Main inputs'!L58</f>
        <v>Groundnuts</v>
      </c>
      <c r="G12" s="227"/>
    </row>
    <row r="13" spans="1:7" ht="15.75" customHeight="1" x14ac:dyDescent="0.15">
      <c r="A13" s="2" t="s">
        <v>165</v>
      </c>
      <c r="B13" s="86">
        <f>'Main inputs'!C61</f>
        <v>6</v>
      </c>
      <c r="C13" s="86">
        <f>'Main inputs'!G61</f>
        <v>6</v>
      </c>
      <c r="D13" s="86">
        <f>'Main inputs'!L61</f>
        <v>6</v>
      </c>
      <c r="G13" s="227"/>
    </row>
    <row r="14" spans="1:7" ht="15.75" customHeight="1" x14ac:dyDescent="0.15">
      <c r="A14" s="2"/>
      <c r="B14" s="321" t="s">
        <v>166</v>
      </c>
      <c r="C14" s="270"/>
      <c r="D14" s="270"/>
      <c r="E14" s="2"/>
      <c r="G14" s="227"/>
    </row>
    <row r="15" spans="1:7" ht="15.75" customHeight="1" x14ac:dyDescent="0.15">
      <c r="A15" s="2" t="s">
        <v>167</v>
      </c>
      <c r="B15" s="39">
        <v>10</v>
      </c>
      <c r="C15" s="39">
        <v>12</v>
      </c>
      <c r="D15" s="39" t="s">
        <v>211</v>
      </c>
      <c r="E15" s="21"/>
      <c r="G15" s="227"/>
    </row>
    <row r="16" spans="1:7" ht="15.75" customHeight="1" x14ac:dyDescent="0.15">
      <c r="A16" s="2" t="s">
        <v>168</v>
      </c>
      <c r="B16" s="39">
        <v>7</v>
      </c>
      <c r="C16" s="39">
        <v>12</v>
      </c>
      <c r="D16" s="39">
        <v>6</v>
      </c>
      <c r="E16" s="40"/>
      <c r="G16" s="227"/>
    </row>
    <row r="17" spans="1:7" ht="15.75" customHeight="1" x14ac:dyDescent="0.15">
      <c r="A17" s="2" t="s">
        <v>169</v>
      </c>
      <c r="B17" s="39">
        <v>1</v>
      </c>
      <c r="C17" s="39">
        <v>1</v>
      </c>
      <c r="D17" s="39">
        <v>1</v>
      </c>
      <c r="E17" s="21"/>
      <c r="G17" s="227"/>
    </row>
    <row r="18" spans="1:7" ht="15.75" customHeight="1" x14ac:dyDescent="0.15">
      <c r="A18" s="2" t="s">
        <v>170</v>
      </c>
      <c r="B18" s="39">
        <v>2</v>
      </c>
      <c r="C18" s="39">
        <v>1</v>
      </c>
      <c r="D18" s="39">
        <v>2</v>
      </c>
      <c r="E18" s="40"/>
      <c r="G18" s="227"/>
    </row>
    <row r="19" spans="1:7" ht="15.75" customHeight="1" x14ac:dyDescent="0.15">
      <c r="A19" s="2" t="s">
        <v>171</v>
      </c>
      <c r="B19" s="39">
        <v>2125</v>
      </c>
      <c r="C19" s="39">
        <v>5147</v>
      </c>
      <c r="D19" s="39">
        <v>717</v>
      </c>
      <c r="E19" s="40" t="s">
        <v>198</v>
      </c>
      <c r="G19" s="227"/>
    </row>
    <row r="20" spans="1:7" ht="15.75" customHeight="1" x14ac:dyDescent="0.15">
      <c r="A20" s="2"/>
      <c r="B20" s="24"/>
      <c r="C20" s="24"/>
      <c r="D20" s="24"/>
      <c r="E20" s="21"/>
      <c r="G20" s="227"/>
    </row>
    <row r="21" spans="1:7" ht="15.75" customHeight="1" x14ac:dyDescent="0.15">
      <c r="A21" s="2" t="s">
        <v>172</v>
      </c>
      <c r="B21" s="39">
        <v>5.2</v>
      </c>
      <c r="C21" s="187">
        <v>14</v>
      </c>
      <c r="D21" s="39">
        <v>2.8</v>
      </c>
      <c r="E21" s="21"/>
      <c r="G21" s="227"/>
    </row>
    <row r="22" spans="1:7" ht="15.75" customHeight="1" x14ac:dyDescent="0.15">
      <c r="A22" s="2" t="s">
        <v>173</v>
      </c>
      <c r="B22" s="39">
        <v>6</v>
      </c>
      <c r="C22" s="187">
        <v>22</v>
      </c>
      <c r="D22" s="39">
        <v>4</v>
      </c>
      <c r="E22" s="21"/>
      <c r="G22" s="227"/>
    </row>
    <row r="23" spans="1:7" ht="15.75" customHeight="1" x14ac:dyDescent="0.15">
      <c r="A23" s="138" t="s">
        <v>174</v>
      </c>
      <c r="B23" s="224">
        <f t="shared" ref="B23:D23" si="0">B22/B21</f>
        <v>1.1538461538461537</v>
      </c>
      <c r="C23" s="225">
        <f t="shared" si="0"/>
        <v>1.5714285714285714</v>
      </c>
      <c r="D23" s="224">
        <f t="shared" si="0"/>
        <v>1.4285714285714286</v>
      </c>
      <c r="E23" s="21"/>
      <c r="G23" s="227"/>
    </row>
    <row r="24" spans="1:7" ht="15.75" customHeight="1" x14ac:dyDescent="0.15">
      <c r="A24" s="2"/>
      <c r="B24" s="24"/>
      <c r="C24" s="24"/>
      <c r="D24" s="24"/>
      <c r="E24" s="21"/>
      <c r="G24" s="227"/>
    </row>
    <row r="25" spans="1:7" ht="15.75" customHeight="1" x14ac:dyDescent="0.15">
      <c r="A25" s="2"/>
      <c r="B25" s="321" t="s">
        <v>175</v>
      </c>
      <c r="C25" s="270"/>
      <c r="D25" s="270"/>
      <c r="G25" s="227"/>
    </row>
    <row r="26" spans="1:7" ht="15.75" customHeight="1" x14ac:dyDescent="0.15">
      <c r="A26" s="2" t="s">
        <v>199</v>
      </c>
      <c r="B26" s="248">
        <f t="shared" ref="B26:D26" si="1">B19*B23</f>
        <v>2451.9230769230767</v>
      </c>
      <c r="C26" s="248">
        <f t="shared" si="1"/>
        <v>8088.1428571428569</v>
      </c>
      <c r="D26" s="248">
        <f t="shared" si="1"/>
        <v>1024.2857142857142</v>
      </c>
      <c r="G26" s="227"/>
    </row>
    <row r="27" spans="1:7" ht="15.75" customHeight="1" x14ac:dyDescent="0.15">
      <c r="A27" s="208"/>
      <c r="B27" s="259"/>
      <c r="C27" s="260"/>
      <c r="D27" s="260"/>
      <c r="E27" s="202" t="s">
        <v>212</v>
      </c>
      <c r="F27" s="202">
        <v>17</v>
      </c>
      <c r="G27" s="223"/>
    </row>
    <row r="29" spans="1:7" ht="27" customHeight="1" x14ac:dyDescent="0.15">
      <c r="A29" s="323" t="s">
        <v>177</v>
      </c>
      <c r="B29" s="314"/>
      <c r="C29" s="314"/>
      <c r="D29" s="314"/>
      <c r="E29" s="314"/>
      <c r="F29" s="314"/>
      <c r="G29" s="315"/>
    </row>
    <row r="30" spans="1:7" ht="15.75" customHeight="1" x14ac:dyDescent="0.15">
      <c r="A30" s="2"/>
      <c r="B30" s="84" t="str">
        <f t="shared" ref="B30:D30" si="2">B12</f>
        <v>Maize</v>
      </c>
      <c r="C30" s="84" t="str">
        <f t="shared" si="2"/>
        <v>Cassava</v>
      </c>
      <c r="D30" s="84" t="str">
        <f t="shared" si="2"/>
        <v>Groundnuts</v>
      </c>
      <c r="E30" s="86"/>
      <c r="G30" s="227"/>
    </row>
    <row r="31" spans="1:7" ht="15.75" customHeight="1" x14ac:dyDescent="0.15">
      <c r="A31" s="2" t="s">
        <v>178</v>
      </c>
      <c r="B31" s="91">
        <f>'Price margin inputs'!C18</f>
        <v>0.24299999999999999</v>
      </c>
      <c r="C31" s="91">
        <f>'Price margin inputs'!G18</f>
        <v>0.06</v>
      </c>
      <c r="D31" s="91">
        <f>'Price margin inputs'!L18</f>
        <v>0.41</v>
      </c>
      <c r="E31" s="86"/>
      <c r="G31" s="227"/>
    </row>
    <row r="32" spans="1:7" ht="15.75" customHeight="1" x14ac:dyDescent="0.15">
      <c r="A32" s="2" t="s">
        <v>179</v>
      </c>
      <c r="B32" s="91">
        <f>'Price margin inputs'!C19</f>
        <v>0.31590000000000001</v>
      </c>
      <c r="C32" s="91">
        <f>'Price margin inputs'!G19</f>
        <v>7.8E-2</v>
      </c>
      <c r="D32" s="91">
        <f>'Price margin inputs'!L19</f>
        <v>0.53300000000000003</v>
      </c>
      <c r="E32" s="86" t="s">
        <v>94</v>
      </c>
      <c r="G32" s="227"/>
    </row>
    <row r="33" spans="1:7" ht="15.75" customHeight="1" x14ac:dyDescent="0.15">
      <c r="A33" s="2" t="s">
        <v>180</v>
      </c>
      <c r="B33" s="113">
        <f t="shared" ref="B33:D33" si="3">B17*B19*B31</f>
        <v>516.375</v>
      </c>
      <c r="C33" s="113">
        <f t="shared" si="3"/>
        <v>308.82</v>
      </c>
      <c r="D33" s="113">
        <f t="shared" si="3"/>
        <v>293.96999999999997</v>
      </c>
      <c r="E33" s="86"/>
      <c r="G33" s="227"/>
    </row>
    <row r="34" spans="1:7" ht="15.75" customHeight="1" x14ac:dyDescent="0.15">
      <c r="A34" s="138" t="s">
        <v>181</v>
      </c>
      <c r="B34" s="113">
        <f t="shared" ref="B34:D34" si="4">B18*B26*B32</f>
        <v>1549.125</v>
      </c>
      <c r="C34" s="113">
        <f t="shared" si="4"/>
        <v>630.87514285714281</v>
      </c>
      <c r="D34" s="113">
        <f t="shared" si="4"/>
        <v>1091.8885714285714</v>
      </c>
      <c r="E34" s="86" t="s">
        <v>33</v>
      </c>
      <c r="G34" s="227"/>
    </row>
    <row r="35" spans="1:7" ht="15.75" customHeight="1" x14ac:dyDescent="0.15">
      <c r="A35" s="239" t="s">
        <v>182</v>
      </c>
      <c r="B35" s="240">
        <f t="shared" ref="B35:D35" si="5">(B34/B18)-B33</f>
        <v>258.1875</v>
      </c>
      <c r="C35" s="240">
        <f t="shared" si="5"/>
        <v>322.05514285714281</v>
      </c>
      <c r="D35" s="240">
        <f t="shared" si="5"/>
        <v>251.97428571428571</v>
      </c>
      <c r="E35" s="86"/>
      <c r="G35" s="227"/>
    </row>
    <row r="36" spans="1:7" ht="15.75" customHeight="1" x14ac:dyDescent="0.15">
      <c r="A36" s="228" t="s">
        <v>183</v>
      </c>
      <c r="B36" s="256">
        <f t="shared" ref="B36:D36" si="6">B34-B33</f>
        <v>1032.75</v>
      </c>
      <c r="C36" s="256">
        <f t="shared" si="6"/>
        <v>322.05514285714281</v>
      </c>
      <c r="D36" s="256">
        <f t="shared" si="6"/>
        <v>797.91857142857134</v>
      </c>
      <c r="E36" s="250"/>
      <c r="F36" s="208"/>
      <c r="G36" s="231"/>
    </row>
    <row r="38" spans="1:7" ht="30" customHeight="1" x14ac:dyDescent="0.15">
      <c r="A38" s="313" t="s">
        <v>213</v>
      </c>
      <c r="B38" s="314"/>
      <c r="C38" s="314"/>
      <c r="D38" s="314"/>
      <c r="E38" s="314"/>
      <c r="F38" s="314"/>
      <c r="G38" s="251"/>
    </row>
    <row r="39" spans="1:7" ht="15.75" customHeight="1" x14ac:dyDescent="0.15">
      <c r="A39" s="239" t="s">
        <v>203</v>
      </c>
      <c r="B39" s="104" t="str">
        <f t="shared" ref="B39:D39" si="7">B12</f>
        <v>Maize</v>
      </c>
      <c r="C39" s="104" t="str">
        <f t="shared" si="7"/>
        <v>Cassava</v>
      </c>
      <c r="D39" s="104" t="str">
        <f t="shared" si="7"/>
        <v>Groundnuts</v>
      </c>
      <c r="E39" s="104" t="str">
        <f>'Main inputs'!Q58</f>
        <v>Tomato</v>
      </c>
      <c r="G39" s="247"/>
    </row>
    <row r="40" spans="1:7" ht="15.75" customHeight="1" x14ac:dyDescent="0.15">
      <c r="A40" s="138" t="s">
        <v>185</v>
      </c>
      <c r="B40" s="252"/>
      <c r="C40" s="252"/>
      <c r="D40" s="252"/>
      <c r="E40" s="86">
        <f t="shared" ref="E40:E41" si="8">B47</f>
        <v>6500</v>
      </c>
      <c r="F40" s="1" t="s">
        <v>101</v>
      </c>
      <c r="G40" s="247"/>
    </row>
    <row r="41" spans="1:7" ht="15.75" customHeight="1" x14ac:dyDescent="0.15">
      <c r="A41" s="138" t="s">
        <v>187</v>
      </c>
      <c r="B41" s="245"/>
      <c r="C41" s="245"/>
      <c r="D41" s="245"/>
      <c r="E41" s="91">
        <f t="shared" si="8"/>
        <v>0.6</v>
      </c>
      <c r="F41" s="1" t="s">
        <v>94</v>
      </c>
      <c r="G41" s="247"/>
    </row>
    <row r="42" spans="1:7" ht="15.75" customHeight="1" x14ac:dyDescent="0.15">
      <c r="A42" s="257" t="s">
        <v>188</v>
      </c>
      <c r="B42" s="148">
        <f>$E$40*$E$41+B26*B32</f>
        <v>4674.5625</v>
      </c>
      <c r="C42" s="148">
        <f>C34</f>
        <v>630.87514285714281</v>
      </c>
      <c r="D42" s="148">
        <f>$E$40*$E$41+D26*D32</f>
        <v>4445.9442857142858</v>
      </c>
      <c r="F42" s="1" t="s">
        <v>33</v>
      </c>
      <c r="G42" s="247"/>
    </row>
    <row r="43" spans="1:7" ht="15.75" customHeight="1" x14ac:dyDescent="0.15">
      <c r="A43" s="258" t="s">
        <v>189</v>
      </c>
      <c r="B43" s="229">
        <f t="shared" ref="B43:D43" si="9">B42-B33</f>
        <v>4158.1875</v>
      </c>
      <c r="C43" s="229">
        <f t="shared" si="9"/>
        <v>322.05514285714281</v>
      </c>
      <c r="D43" s="229">
        <f t="shared" si="9"/>
        <v>4151.9742857142855</v>
      </c>
      <c r="E43" s="208"/>
      <c r="F43" s="230" t="s">
        <v>33</v>
      </c>
      <c r="G43" s="247"/>
    </row>
    <row r="45" spans="1:7" ht="28" customHeight="1" x14ac:dyDescent="0.15">
      <c r="A45" s="313" t="s">
        <v>214</v>
      </c>
      <c r="B45" s="314"/>
      <c r="C45" s="314"/>
      <c r="D45" s="315"/>
      <c r="E45" s="251"/>
      <c r="F45" s="246"/>
      <c r="G45" s="246"/>
    </row>
    <row r="46" spans="1:7" ht="15.75" customHeight="1" x14ac:dyDescent="0.15">
      <c r="A46" s="239" t="s">
        <v>205</v>
      </c>
      <c r="B46" s="239" t="str">
        <f>'Main inputs'!Q58</f>
        <v>Tomato</v>
      </c>
      <c r="E46" s="247"/>
      <c r="F46" s="138"/>
      <c r="G46" s="138"/>
    </row>
    <row r="47" spans="1:7" ht="13" x14ac:dyDescent="0.15">
      <c r="A47" s="138" t="s">
        <v>185</v>
      </c>
      <c r="B47" s="254">
        <f>MIN('Irrigation inputs&amp;calcs_NIG'!B45,'Irrigation inputs&amp;calcs_RWA'!B47,'Irrigation inputs&amp;calcs_ZIM'!B46)</f>
        <v>6500</v>
      </c>
      <c r="C47" s="232" t="s">
        <v>191</v>
      </c>
      <c r="D47" s="1" t="s">
        <v>101</v>
      </c>
      <c r="E47" s="247"/>
      <c r="F47" s="138"/>
      <c r="G47" s="138"/>
    </row>
    <row r="48" spans="1:7" ht="13" x14ac:dyDescent="0.15">
      <c r="A48" s="138" t="s">
        <v>187</v>
      </c>
      <c r="B48" s="226">
        <v>0.6</v>
      </c>
      <c r="C48" s="232" t="s">
        <v>191</v>
      </c>
      <c r="D48" s="1" t="s">
        <v>94</v>
      </c>
      <c r="E48" s="247"/>
      <c r="F48" s="138"/>
      <c r="G48" s="138"/>
    </row>
    <row r="49" spans="1:7" ht="13" x14ac:dyDescent="0.15">
      <c r="A49" s="138" t="s">
        <v>192</v>
      </c>
      <c r="B49" s="148">
        <f>B48*B47*B18</f>
        <v>7800</v>
      </c>
      <c r="D49" s="1" t="s">
        <v>33</v>
      </c>
      <c r="E49" s="247"/>
      <c r="F49" s="138"/>
      <c r="G49" s="138"/>
    </row>
    <row r="50" spans="1:7" ht="13" x14ac:dyDescent="0.15">
      <c r="A50" s="228" t="s">
        <v>193</v>
      </c>
      <c r="B50" s="229">
        <f>B49-B33</f>
        <v>7283.625</v>
      </c>
      <c r="C50" s="208"/>
      <c r="D50" s="230" t="s">
        <v>33</v>
      </c>
      <c r="E50" s="247"/>
      <c r="F50" s="138"/>
      <c r="G50" s="138"/>
    </row>
    <row r="52" spans="1:7" ht="13" x14ac:dyDescent="0.15">
      <c r="A52" s="2"/>
      <c r="B52" s="255"/>
    </row>
  </sheetData>
  <sheetProtection algorithmName="SHA-512" hashValue="mKhPRZFmoYhRNqmeABlZ8Rl4gAHfH85we42J3u3kNNdkI+DXcrBL3L0NVLf5caa1TAlTZ4kYtFzcHaYsj9KU6A==" saltValue="/daepk/HMwh0zSx/utlv7g==" spinCount="100000" sheet="1" objects="1" scenarios="1"/>
  <mergeCells count="9">
    <mergeCell ref="A38:F38"/>
    <mergeCell ref="A45:D45"/>
    <mergeCell ref="A1:G1"/>
    <mergeCell ref="B6:C6"/>
    <mergeCell ref="D6:D9"/>
    <mergeCell ref="A11:G11"/>
    <mergeCell ref="B14:D14"/>
    <mergeCell ref="B25:D25"/>
    <mergeCell ref="A29:G29"/>
  </mergeCells>
  <hyperlinks>
    <hyperlink ref="D6" r:id="rId1" display="Vitalite interview &amp; https://futurepump.com/solar-water-pump-datasheet-sf2/" xr:uid="{00000000-0004-0000-0600-000000000000}"/>
  </hyperlinks>
  <pageMargins left="0.7" right="0.7" top="0.75" bottom="0.75" header="0.3" footer="0.3"/>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G53"/>
  <sheetViews>
    <sheetView workbookViewId="0">
      <selection activeCell="M36" sqref="M36"/>
    </sheetView>
  </sheetViews>
  <sheetFormatPr baseColWidth="10" defaultColWidth="12.6640625" defaultRowHeight="15.75" customHeight="1" x14ac:dyDescent="0.15"/>
  <cols>
    <col min="1" max="1" width="53.1640625" customWidth="1"/>
  </cols>
  <sheetData>
    <row r="1" spans="1:7" ht="15.75" customHeight="1" x14ac:dyDescent="0.15">
      <c r="A1" s="316" t="s">
        <v>148</v>
      </c>
      <c r="B1" s="270"/>
      <c r="C1" s="270"/>
      <c r="D1" s="270"/>
      <c r="E1" s="270"/>
      <c r="F1" s="270"/>
      <c r="G1" s="317"/>
    </row>
    <row r="2" spans="1:7" ht="15.75" customHeight="1" x14ac:dyDescent="0.15">
      <c r="A2" s="5" t="s">
        <v>149</v>
      </c>
      <c r="B2" s="5" t="s">
        <v>9</v>
      </c>
      <c r="D2" s="5" t="s">
        <v>150</v>
      </c>
      <c r="E2" s="5" t="s">
        <v>151</v>
      </c>
      <c r="G2" s="227"/>
    </row>
    <row r="3" spans="1:7" ht="15.75" customHeight="1" x14ac:dyDescent="0.15">
      <c r="A3" s="40" t="s">
        <v>152</v>
      </c>
      <c r="B3" s="40" t="s">
        <v>153</v>
      </c>
      <c r="C3" s="40">
        <v>4</v>
      </c>
      <c r="D3" s="40"/>
      <c r="E3" s="21"/>
      <c r="F3" s="21"/>
      <c r="G3" s="222"/>
    </row>
    <row r="4" spans="1:7" ht="15.75" customHeight="1" x14ac:dyDescent="0.15">
      <c r="A4" s="40" t="s">
        <v>209</v>
      </c>
      <c r="B4" s="40" t="s">
        <v>153</v>
      </c>
      <c r="C4" s="40">
        <v>4</v>
      </c>
      <c r="D4" s="40"/>
      <c r="E4" s="21"/>
      <c r="F4" s="21"/>
      <c r="G4" s="222"/>
    </row>
    <row r="5" spans="1:7" ht="15.75" customHeight="1" x14ac:dyDescent="0.15">
      <c r="A5" s="40" t="s">
        <v>215</v>
      </c>
      <c r="B5" s="40" t="s">
        <v>153</v>
      </c>
      <c r="C5" s="40">
        <v>4</v>
      </c>
      <c r="D5" s="40"/>
      <c r="E5" s="21"/>
      <c r="F5" s="21"/>
      <c r="G5" s="222"/>
    </row>
    <row r="6" spans="1:7" ht="15.75" customHeight="1" x14ac:dyDescent="0.15">
      <c r="A6" s="40" t="s">
        <v>157</v>
      </c>
      <c r="B6" s="318" t="s">
        <v>216</v>
      </c>
      <c r="C6" s="272"/>
      <c r="D6" s="324" t="s">
        <v>217</v>
      </c>
      <c r="E6" s="21"/>
      <c r="F6" s="21"/>
      <c r="G6" s="222"/>
    </row>
    <row r="7" spans="1:7" ht="15.75" customHeight="1" x14ac:dyDescent="0.15">
      <c r="A7" s="40" t="s">
        <v>196</v>
      </c>
      <c r="B7" s="40" t="s">
        <v>39</v>
      </c>
      <c r="C7" s="40">
        <f>'Main inputs'!C100</f>
        <v>0.66</v>
      </c>
      <c r="D7" s="272"/>
      <c r="E7" s="21"/>
      <c r="F7" s="21"/>
      <c r="G7" s="222"/>
    </row>
    <row r="8" spans="1:7" ht="15.75" customHeight="1" x14ac:dyDescent="0.15">
      <c r="A8" s="40" t="s">
        <v>161</v>
      </c>
      <c r="B8" s="40" t="s">
        <v>153</v>
      </c>
      <c r="C8" s="40">
        <v>4</v>
      </c>
      <c r="D8" s="272"/>
      <c r="E8" s="21"/>
      <c r="F8" s="21"/>
      <c r="G8" s="222"/>
    </row>
    <row r="9" spans="1:7" ht="15.75" customHeight="1" x14ac:dyDescent="0.15">
      <c r="A9" s="202" t="s">
        <v>162</v>
      </c>
      <c r="B9" s="202" t="s">
        <v>163</v>
      </c>
      <c r="C9" s="202">
        <v>47</v>
      </c>
      <c r="D9" s="320"/>
      <c r="E9" s="202"/>
      <c r="F9" s="202"/>
      <c r="G9" s="223"/>
    </row>
    <row r="11" spans="1:7" ht="15.75" customHeight="1" x14ac:dyDescent="0.15">
      <c r="A11" s="316" t="s">
        <v>218</v>
      </c>
      <c r="B11" s="270"/>
      <c r="C11" s="270"/>
      <c r="D11" s="270"/>
      <c r="E11" s="270"/>
      <c r="F11" s="317"/>
    </row>
    <row r="12" spans="1:7" ht="15.75" customHeight="1" x14ac:dyDescent="0.15">
      <c r="B12" s="84" t="str">
        <f>'Main inputs'!C86</f>
        <v>Maize</v>
      </c>
      <c r="C12" s="84" t="str">
        <f>'Main inputs'!G86</f>
        <v>Groundnuts</v>
      </c>
      <c r="D12" s="84" t="str">
        <f>'Main inputs'!L86</f>
        <v>Sorghum</v>
      </c>
      <c r="F12" s="227"/>
    </row>
    <row r="13" spans="1:7" ht="15.75" customHeight="1" x14ac:dyDescent="0.15">
      <c r="A13" s="2" t="s">
        <v>165</v>
      </c>
      <c r="B13" s="86">
        <f>'Main inputs'!C89</f>
        <v>6</v>
      </c>
      <c r="C13" s="86">
        <f>'Main inputs'!G89</f>
        <v>6</v>
      </c>
      <c r="D13" s="86">
        <f>'Main inputs'!L89</f>
        <v>6</v>
      </c>
      <c r="F13" s="227"/>
    </row>
    <row r="14" spans="1:7" ht="15.75" customHeight="1" x14ac:dyDescent="0.15">
      <c r="A14" s="2"/>
      <c r="B14" s="321" t="s">
        <v>166</v>
      </c>
      <c r="C14" s="270"/>
      <c r="D14" s="270"/>
      <c r="F14" s="227"/>
    </row>
    <row r="15" spans="1:7" ht="15.75" customHeight="1" x14ac:dyDescent="0.15">
      <c r="A15" s="2" t="s">
        <v>167</v>
      </c>
      <c r="B15" s="39">
        <v>8</v>
      </c>
      <c r="C15" s="39">
        <v>10</v>
      </c>
      <c r="D15" s="39">
        <v>8</v>
      </c>
      <c r="E15" s="21"/>
      <c r="F15" s="222"/>
    </row>
    <row r="16" spans="1:7" ht="15.75" customHeight="1" x14ac:dyDescent="0.15">
      <c r="A16" s="2" t="s">
        <v>168</v>
      </c>
      <c r="B16" s="39">
        <v>7</v>
      </c>
      <c r="C16" s="39">
        <v>8</v>
      </c>
      <c r="D16" s="39">
        <v>7</v>
      </c>
      <c r="E16" s="40" t="s">
        <v>219</v>
      </c>
      <c r="F16" s="222"/>
    </row>
    <row r="17" spans="1:6" ht="15.75" customHeight="1" x14ac:dyDescent="0.15">
      <c r="A17" s="2" t="s">
        <v>169</v>
      </c>
      <c r="B17" s="39">
        <v>1</v>
      </c>
      <c r="C17" s="39">
        <v>1</v>
      </c>
      <c r="D17" s="39">
        <v>1</v>
      </c>
      <c r="E17" s="21"/>
      <c r="F17" s="222"/>
    </row>
    <row r="18" spans="1:6" ht="15.75" customHeight="1" x14ac:dyDescent="0.15">
      <c r="A18" s="2" t="s">
        <v>170</v>
      </c>
      <c r="B18" s="39">
        <v>2</v>
      </c>
      <c r="C18" s="39">
        <v>2</v>
      </c>
      <c r="D18" s="39">
        <v>2</v>
      </c>
      <c r="E18" s="40"/>
      <c r="F18" s="222"/>
    </row>
    <row r="19" spans="1:6" ht="15.75" customHeight="1" x14ac:dyDescent="0.15">
      <c r="A19" s="2" t="s">
        <v>171</v>
      </c>
      <c r="B19" s="39">
        <v>411</v>
      </c>
      <c r="C19" s="39">
        <v>263</v>
      </c>
      <c r="D19" s="39">
        <v>486</v>
      </c>
      <c r="E19" s="40" t="s">
        <v>198</v>
      </c>
      <c r="F19" s="222"/>
    </row>
    <row r="20" spans="1:6" ht="15.75" customHeight="1" x14ac:dyDescent="0.15">
      <c r="A20" s="2"/>
      <c r="B20" s="24"/>
      <c r="C20" s="24"/>
      <c r="D20" s="24"/>
      <c r="E20" s="21"/>
      <c r="F20" s="222"/>
    </row>
    <row r="21" spans="1:6" ht="15.75" customHeight="1" x14ac:dyDescent="0.15">
      <c r="A21" s="2" t="s">
        <v>172</v>
      </c>
      <c r="B21" s="39">
        <v>5.2</v>
      </c>
      <c r="C21" s="39">
        <v>2.8</v>
      </c>
      <c r="D21" s="39">
        <v>1.2</v>
      </c>
      <c r="E21" s="21"/>
      <c r="F21" s="222"/>
    </row>
    <row r="22" spans="1:6" ht="15.75" customHeight="1" x14ac:dyDescent="0.15">
      <c r="A22" s="2" t="s">
        <v>173</v>
      </c>
      <c r="B22" s="39">
        <v>6</v>
      </c>
      <c r="C22" s="39">
        <v>4</v>
      </c>
      <c r="D22" s="164">
        <f>D21*(B22/B21)</f>
        <v>1.3846153846153844</v>
      </c>
      <c r="E22" s="21"/>
      <c r="F22" s="222"/>
    </row>
    <row r="23" spans="1:6" ht="15.75" customHeight="1" x14ac:dyDescent="0.15">
      <c r="A23" s="138" t="s">
        <v>174</v>
      </c>
      <c r="B23" s="224">
        <f t="shared" ref="B23:D23" si="0">B22/B21</f>
        <v>1.1538461538461537</v>
      </c>
      <c r="C23" s="224">
        <f t="shared" si="0"/>
        <v>1.4285714285714286</v>
      </c>
      <c r="D23" s="24">
        <f t="shared" si="0"/>
        <v>1.1538461538461537</v>
      </c>
      <c r="E23" s="21"/>
      <c r="F23" s="222"/>
    </row>
    <row r="24" spans="1:6" ht="15.75" customHeight="1" x14ac:dyDescent="0.15">
      <c r="A24" s="2"/>
      <c r="B24" s="1"/>
      <c r="C24" s="1"/>
      <c r="D24" s="1"/>
      <c r="F24" s="227"/>
    </row>
    <row r="25" spans="1:6" ht="15.75" customHeight="1" x14ac:dyDescent="0.15">
      <c r="A25" s="2"/>
      <c r="B25" s="321" t="s">
        <v>175</v>
      </c>
      <c r="C25" s="270"/>
      <c r="D25" s="270"/>
      <c r="F25" s="227"/>
    </row>
    <row r="26" spans="1:6" ht="15.75" customHeight="1" x14ac:dyDescent="0.15">
      <c r="A26" s="208" t="s">
        <v>199</v>
      </c>
      <c r="B26" s="261">
        <f t="shared" ref="B26:D26" si="1">B19*B23</f>
        <v>474.23076923076917</v>
      </c>
      <c r="C26" s="261">
        <f t="shared" si="1"/>
        <v>375.71428571428572</v>
      </c>
      <c r="D26" s="261">
        <f t="shared" si="1"/>
        <v>560.76923076923072</v>
      </c>
      <c r="E26" s="208"/>
      <c r="F26" s="231"/>
    </row>
    <row r="27" spans="1:6" ht="15.75" customHeight="1" x14ac:dyDescent="0.15">
      <c r="B27" s="86"/>
    </row>
    <row r="28" spans="1:6" ht="27" customHeight="1" x14ac:dyDescent="0.15">
      <c r="A28" s="313" t="s">
        <v>220</v>
      </c>
      <c r="B28" s="314"/>
      <c r="C28" s="314"/>
      <c r="D28" s="314"/>
      <c r="E28" s="314"/>
      <c r="F28" s="315"/>
    </row>
    <row r="29" spans="1:6" ht="15.75" customHeight="1" x14ac:dyDescent="0.15">
      <c r="A29" s="138"/>
      <c r="B29" s="104" t="str">
        <f t="shared" ref="B29:D29" si="2">B12</f>
        <v>Maize</v>
      </c>
      <c r="C29" s="104" t="str">
        <f t="shared" si="2"/>
        <v>Groundnuts</v>
      </c>
      <c r="D29" s="104" t="str">
        <f t="shared" si="2"/>
        <v>Sorghum</v>
      </c>
      <c r="E29" s="1"/>
      <c r="F29" s="227"/>
    </row>
    <row r="30" spans="1:6" ht="15.75" customHeight="1" x14ac:dyDescent="0.15">
      <c r="A30" s="138" t="s">
        <v>178</v>
      </c>
      <c r="B30" s="238">
        <f>'Price margin inputs'!C24</f>
        <v>0.29099999999999998</v>
      </c>
      <c r="C30" s="238">
        <f>'Price margin inputs'!G24</f>
        <v>0.23</v>
      </c>
      <c r="D30" s="238">
        <f>'Price margin inputs'!L24</f>
        <v>0.19</v>
      </c>
      <c r="E30" s="1"/>
      <c r="F30" s="227"/>
    </row>
    <row r="31" spans="1:6" ht="15.75" customHeight="1" x14ac:dyDescent="0.15">
      <c r="A31" s="138" t="s">
        <v>179</v>
      </c>
      <c r="B31" s="238">
        <f>'Price margin inputs'!C25</f>
        <v>0.37829999999999997</v>
      </c>
      <c r="C31" s="238">
        <f>'Price margin inputs'!G25</f>
        <v>0.29900000000000004</v>
      </c>
      <c r="D31" s="238">
        <f>'Price margin inputs'!L25</f>
        <v>0.24700000000000003</v>
      </c>
      <c r="E31" s="1" t="s">
        <v>94</v>
      </c>
      <c r="F31" s="227"/>
    </row>
    <row r="32" spans="1:6" ht="15.75" customHeight="1" x14ac:dyDescent="0.15">
      <c r="A32" s="138" t="s">
        <v>180</v>
      </c>
      <c r="B32" s="148">
        <f t="shared" ref="B32:D32" si="3">B17*B19*B30</f>
        <v>119.601</v>
      </c>
      <c r="C32" s="148">
        <f t="shared" si="3"/>
        <v>60.49</v>
      </c>
      <c r="D32" s="148">
        <f t="shared" si="3"/>
        <v>92.34</v>
      </c>
      <c r="E32" s="1"/>
      <c r="F32" s="227"/>
    </row>
    <row r="33" spans="1:7" ht="15.75" customHeight="1" x14ac:dyDescent="0.15">
      <c r="A33" s="257" t="s">
        <v>181</v>
      </c>
      <c r="B33" s="148">
        <f t="shared" ref="B33:D33" si="4">B18*B26*B31</f>
        <v>358.80299999999994</v>
      </c>
      <c r="C33" s="148">
        <f t="shared" si="4"/>
        <v>224.67714285714288</v>
      </c>
      <c r="D33" s="148">
        <f t="shared" si="4"/>
        <v>277.02</v>
      </c>
      <c r="E33" s="1" t="s">
        <v>33</v>
      </c>
      <c r="F33" s="227"/>
    </row>
    <row r="34" spans="1:7" ht="15.75" customHeight="1" x14ac:dyDescent="0.15">
      <c r="A34" s="239" t="s">
        <v>182</v>
      </c>
      <c r="B34" s="262">
        <f t="shared" ref="B34:D34" si="5">(B33/B18)-B32</f>
        <v>59.800499999999971</v>
      </c>
      <c r="C34" s="262">
        <f t="shared" si="5"/>
        <v>51.848571428571439</v>
      </c>
      <c r="D34" s="262">
        <f t="shared" si="5"/>
        <v>46.169999999999987</v>
      </c>
      <c r="E34" s="1"/>
      <c r="F34" s="227"/>
    </row>
    <row r="35" spans="1:7" ht="15.75" customHeight="1" x14ac:dyDescent="0.15">
      <c r="A35" s="258" t="s">
        <v>183</v>
      </c>
      <c r="B35" s="229">
        <f t="shared" ref="B35:D35" si="6">B33-B32</f>
        <v>239.20199999999994</v>
      </c>
      <c r="C35" s="229">
        <f t="shared" si="6"/>
        <v>164.18714285714287</v>
      </c>
      <c r="D35" s="229">
        <f t="shared" si="6"/>
        <v>184.67999999999998</v>
      </c>
      <c r="E35" s="230"/>
      <c r="F35" s="231"/>
    </row>
    <row r="37" spans="1:7" ht="31" customHeight="1" x14ac:dyDescent="0.15">
      <c r="A37" s="313" t="s">
        <v>221</v>
      </c>
      <c r="B37" s="314"/>
      <c r="C37" s="314"/>
      <c r="D37" s="314"/>
      <c r="E37" s="314"/>
      <c r="F37" s="315"/>
    </row>
    <row r="38" spans="1:7" ht="15.75" customHeight="1" x14ac:dyDescent="0.15">
      <c r="A38" s="239" t="s">
        <v>203</v>
      </c>
      <c r="B38" s="104" t="str">
        <f t="shared" ref="B38:D38" si="7">B12</f>
        <v>Maize</v>
      </c>
      <c r="C38" s="104" t="str">
        <f t="shared" si="7"/>
        <v>Groundnuts</v>
      </c>
      <c r="D38" s="104" t="str">
        <f t="shared" si="7"/>
        <v>Sorghum</v>
      </c>
      <c r="E38" s="239" t="str">
        <f>'Main inputs'!P86</f>
        <v>Tomato</v>
      </c>
      <c r="F38" s="263"/>
    </row>
    <row r="39" spans="1:7" ht="15.75" customHeight="1" x14ac:dyDescent="0.15">
      <c r="A39" s="138" t="s">
        <v>185</v>
      </c>
      <c r="B39" s="252"/>
      <c r="C39" s="252"/>
      <c r="D39" s="252"/>
      <c r="E39" s="86">
        <f t="shared" ref="E39:E40" si="8">B46</f>
        <v>6500</v>
      </c>
      <c r="F39" s="1" t="s">
        <v>101</v>
      </c>
      <c r="G39" s="247"/>
    </row>
    <row r="40" spans="1:7" ht="15.75" customHeight="1" x14ac:dyDescent="0.15">
      <c r="A40" s="138" t="s">
        <v>187</v>
      </c>
      <c r="B40" s="245"/>
      <c r="C40" s="245"/>
      <c r="D40" s="245"/>
      <c r="E40" s="91">
        <f t="shared" si="8"/>
        <v>0.4</v>
      </c>
      <c r="F40" s="1" t="s">
        <v>94</v>
      </c>
      <c r="G40" s="247"/>
    </row>
    <row r="41" spans="1:7" ht="15.75" customHeight="1" x14ac:dyDescent="0.15">
      <c r="A41" s="138" t="s">
        <v>192</v>
      </c>
      <c r="B41" s="148">
        <f t="shared" ref="B41:D41" si="9">$E$39*$E$40+B26*B31</f>
        <v>2779.4014999999999</v>
      </c>
      <c r="C41" s="148">
        <f t="shared" si="9"/>
        <v>2712.3385714285714</v>
      </c>
      <c r="D41" s="148">
        <f t="shared" si="9"/>
        <v>2738.51</v>
      </c>
      <c r="F41" s="1" t="s">
        <v>33</v>
      </c>
      <c r="G41" s="247"/>
    </row>
    <row r="42" spans="1:7" ht="15.75" customHeight="1" x14ac:dyDescent="0.15">
      <c r="A42" s="228" t="s">
        <v>193</v>
      </c>
      <c r="B42" s="229">
        <f t="shared" ref="B42:D42" si="10">B41-B32</f>
        <v>2659.8004999999998</v>
      </c>
      <c r="C42" s="229">
        <f t="shared" si="10"/>
        <v>2651.8485714285716</v>
      </c>
      <c r="D42" s="229">
        <f t="shared" si="10"/>
        <v>2646.17</v>
      </c>
      <c r="E42" s="208"/>
      <c r="F42" s="230" t="s">
        <v>33</v>
      </c>
      <c r="G42" s="247"/>
    </row>
    <row r="44" spans="1:7" ht="28" customHeight="1" x14ac:dyDescent="0.15">
      <c r="A44" s="313" t="s">
        <v>222</v>
      </c>
      <c r="B44" s="314"/>
      <c r="C44" s="314"/>
      <c r="D44" s="314"/>
      <c r="E44" s="314"/>
      <c r="F44" s="315"/>
    </row>
    <row r="45" spans="1:7" ht="15.75" customHeight="1" x14ac:dyDescent="0.15">
      <c r="A45" s="239" t="s">
        <v>205</v>
      </c>
      <c r="B45" s="239" t="str">
        <f>'Main inputs'!P86</f>
        <v>Tomato</v>
      </c>
      <c r="F45" s="227"/>
    </row>
    <row r="46" spans="1:7" ht="15.75" customHeight="1" x14ac:dyDescent="0.15">
      <c r="A46" s="138" t="s">
        <v>185</v>
      </c>
      <c r="B46" s="24">
        <f>6.5*1000</f>
        <v>6500</v>
      </c>
      <c r="C46" s="232" t="s">
        <v>191</v>
      </c>
      <c r="D46" s="1" t="s">
        <v>101</v>
      </c>
      <c r="F46" s="227"/>
    </row>
    <row r="47" spans="1:7" ht="13" x14ac:dyDescent="0.15">
      <c r="A47" s="138" t="s">
        <v>187</v>
      </c>
      <c r="B47" s="226">
        <v>0.4</v>
      </c>
      <c r="C47" s="232" t="s">
        <v>191</v>
      </c>
      <c r="D47" s="1" t="s">
        <v>94</v>
      </c>
      <c r="F47" s="227"/>
    </row>
    <row r="48" spans="1:7" ht="13" x14ac:dyDescent="0.15">
      <c r="A48" s="138" t="s">
        <v>192</v>
      </c>
      <c r="B48" s="148">
        <f>B47*B46*B18</f>
        <v>5200</v>
      </c>
      <c r="D48" s="1" t="s">
        <v>33</v>
      </c>
      <c r="F48" s="227"/>
    </row>
    <row r="49" spans="1:6" ht="13" x14ac:dyDescent="0.15">
      <c r="A49" s="228" t="s">
        <v>193</v>
      </c>
      <c r="B49" s="229">
        <f>B48-B32</f>
        <v>5080.3990000000003</v>
      </c>
      <c r="C49" s="208"/>
      <c r="D49" s="230" t="s">
        <v>33</v>
      </c>
      <c r="E49" s="208"/>
      <c r="F49" s="231"/>
    </row>
    <row r="53" spans="1:6" ht="13" x14ac:dyDescent="0.15">
      <c r="C53" s="86"/>
    </row>
  </sheetData>
  <sheetProtection algorithmName="SHA-512" hashValue="VNn+Lxo7rnG35PIHqr/dNnCB7CljCvPr7nhVcKi2ExVxsvxwJtril3iv2LEXftLZ9CFRWfAt0ElsAFX9lmGaoQ==" saltValue="pskZHyQLOBfv4oOKRn7Y/Q==" spinCount="100000" sheet="1" objects="1" scenarios="1"/>
  <mergeCells count="9">
    <mergeCell ref="A37:F37"/>
    <mergeCell ref="A44:F44"/>
    <mergeCell ref="A1:G1"/>
    <mergeCell ref="B6:C6"/>
    <mergeCell ref="D6:D9"/>
    <mergeCell ref="A11:F11"/>
    <mergeCell ref="B14:D14"/>
    <mergeCell ref="B25:D25"/>
    <mergeCell ref="A28:F28"/>
  </mergeCells>
  <hyperlinks>
    <hyperlink ref="D6" r:id="rId1" xr:uid="{00000000-0004-0000-0700-000000000000}"/>
  </hyperlinks>
  <pageMargins left="0.7" right="0.7" top="0.75" bottom="0.75" header="0.3" footer="0.3"/>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Introduction</vt:lpstr>
      <vt:lpstr>Main inputs</vt:lpstr>
      <vt:lpstr>Price margin inputs</vt:lpstr>
      <vt:lpstr>Payback period results</vt:lpstr>
      <vt:lpstr>IRR results</vt:lpstr>
      <vt:lpstr>Irrigation inputs&amp;calcs_NIG</vt:lpstr>
      <vt:lpstr>Irrigation inputs&amp;calcs_RWA</vt:lpstr>
      <vt:lpstr>Irrigation inputs&amp;calcs_ZAM</vt:lpstr>
      <vt:lpstr>Irrigation inputs&amp;calcs_ZIM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André Troost</cp:lastModifiedBy>
  <dcterms:modified xsi:type="dcterms:W3CDTF">2023-09-27T13:22:56Z</dcterms:modified>
</cp:coreProperties>
</file>