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Volumes/GoogleDrive/Shared drives/TFE Africa Team Drive/01 Projects/22. LEAP-RE RE4AFAGRI/6. Deliverables/"/>
    </mc:Choice>
  </mc:AlternateContent>
  <xr:revisionPtr revIDLastSave="0" documentId="13_ncr:1_{16DE9182-68D4-D04B-8788-0ED09F6D8063}" xr6:coauthVersionLast="47" xr6:coauthVersionMax="47" xr10:uidLastSave="{00000000-0000-0000-0000-000000000000}"/>
  <bookViews>
    <workbookView xWindow="28800" yWindow="500" windowWidth="38400" windowHeight="21100" activeTab="2" xr2:uid="{00000000-000D-0000-FFFF-FFFF00000000}"/>
  </bookViews>
  <sheets>
    <sheet name="Main inputs" sheetId="1" r:id="rId1"/>
    <sheet name="Price margin inputs" sheetId="2" r:id="rId2"/>
    <sheet name="Payback period results" sheetId="3" r:id="rId3"/>
    <sheet name="IRR results" sheetId="4" r:id="rId4"/>
    <sheet name="Irrigation inputs&amp;calcs_NIG" sheetId="5" r:id="rId5"/>
    <sheet name="Irrigation inputs&amp;calcs_RWA" sheetId="6" r:id="rId6"/>
    <sheet name="Irrigation inputs&amp;calcs_ZAM" sheetId="7" r:id="rId7"/>
    <sheet name="Irrigation inputs&amp;calcs_ZIM" sheetId="8" r:id="rId8"/>
    <sheet name="Appendix Notes on supplier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 i="8" l="1"/>
  <c r="B47" i="7"/>
  <c r="B49" i="7" s="1"/>
  <c r="B48" i="6"/>
  <c r="H13" i="2"/>
  <c r="K14" i="2"/>
  <c r="AA25" i="3"/>
  <c r="Z4" i="4" s="1"/>
  <c r="D50" i="1"/>
  <c r="AA16" i="3"/>
  <c r="AA17" i="3"/>
  <c r="AA15" i="3" s="1"/>
  <c r="AA12" i="3"/>
  <c r="AA20" i="3" s="1"/>
  <c r="AA13" i="3"/>
  <c r="AA14" i="3"/>
  <c r="AA6" i="3"/>
  <c r="AA9" i="3" s="1"/>
  <c r="G24" i="1"/>
  <c r="C40" i="5"/>
  <c r="BE15" i="3"/>
  <c r="BA15" i="3"/>
  <c r="AV15" i="3"/>
  <c r="AR15" i="3"/>
  <c r="AQ15" i="3"/>
  <c r="AL15" i="3"/>
  <c r="AG15" i="3"/>
  <c r="AC15" i="3"/>
  <c r="AB15" i="3"/>
  <c r="X15" i="3"/>
  <c r="V15" i="3"/>
  <c r="Q15" i="3"/>
  <c r="L15" i="3"/>
  <c r="AG6" i="3"/>
  <c r="AB6" i="3"/>
  <c r="X6" i="3"/>
  <c r="V6" i="3"/>
  <c r="V9" i="3" s="1"/>
  <c r="Q6" i="3"/>
  <c r="Q9" i="3" s="1"/>
  <c r="P6" i="3"/>
  <c r="P9" i="3" s="1"/>
  <c r="L6" i="3"/>
  <c r="G6" i="3"/>
  <c r="G15" i="3"/>
  <c r="C15" i="3"/>
  <c r="C6" i="3"/>
  <c r="C9" i="3" s="1"/>
  <c r="B48" i="8"/>
  <c r="B49" i="8" s="1"/>
  <c r="BE6" i="3" s="1"/>
  <c r="BE9" i="3" s="1"/>
  <c r="B45" i="8"/>
  <c r="E40" i="8"/>
  <c r="E39" i="8"/>
  <c r="E38" i="8"/>
  <c r="B32" i="8"/>
  <c r="D30" i="8"/>
  <c r="D32" i="8" s="1"/>
  <c r="C30" i="8"/>
  <c r="C32" i="8" s="1"/>
  <c r="B30" i="8"/>
  <c r="B26" i="8"/>
  <c r="C23" i="8"/>
  <c r="C26" i="8" s="1"/>
  <c r="B23" i="8"/>
  <c r="D22" i="8"/>
  <c r="D23" i="8" s="1"/>
  <c r="D26" i="8" s="1"/>
  <c r="D13" i="8"/>
  <c r="C13" i="8"/>
  <c r="B13" i="8"/>
  <c r="D12" i="8"/>
  <c r="D38" i="8" s="1"/>
  <c r="C12" i="8"/>
  <c r="C38" i="8" s="1"/>
  <c r="B12" i="8"/>
  <c r="B29" i="8" s="1"/>
  <c r="C7" i="8"/>
  <c r="B46" i="7"/>
  <c r="E41" i="7"/>
  <c r="E39" i="7"/>
  <c r="C39" i="7"/>
  <c r="D33" i="7"/>
  <c r="D31" i="7"/>
  <c r="B31" i="7"/>
  <c r="B33" i="7" s="1"/>
  <c r="C26" i="7"/>
  <c r="D23" i="7"/>
  <c r="D26" i="7" s="1"/>
  <c r="C23" i="7"/>
  <c r="B23" i="7"/>
  <c r="B26" i="7" s="1"/>
  <c r="D13" i="7"/>
  <c r="C13" i="7"/>
  <c r="B13" i="7"/>
  <c r="D12" i="7"/>
  <c r="D39" i="7" s="1"/>
  <c r="C12" i="7"/>
  <c r="C30" i="7" s="1"/>
  <c r="B12" i="7"/>
  <c r="B39" i="7" s="1"/>
  <c r="C7" i="7"/>
  <c r="E41" i="6"/>
  <c r="B47" i="6"/>
  <c r="B46" i="6"/>
  <c r="E40" i="6"/>
  <c r="E39" i="6"/>
  <c r="D39" i="6"/>
  <c r="B39" i="6"/>
  <c r="D33" i="6"/>
  <c r="D31" i="6"/>
  <c r="D26" i="6"/>
  <c r="B26" i="6"/>
  <c r="D23" i="6"/>
  <c r="C23" i="6"/>
  <c r="C26" i="6" s="1"/>
  <c r="B23" i="6"/>
  <c r="D13" i="6"/>
  <c r="C13" i="6"/>
  <c r="B13" i="6"/>
  <c r="D12" i="6"/>
  <c r="D30" i="6" s="1"/>
  <c r="C12" i="6"/>
  <c r="C39" i="6" s="1"/>
  <c r="B12" i="6"/>
  <c r="B30" i="6" s="1"/>
  <c r="C7" i="6"/>
  <c r="B47" i="5"/>
  <c r="B48" i="5" s="1"/>
  <c r="B45" i="5"/>
  <c r="B44" i="5"/>
  <c r="E39" i="5"/>
  <c r="E38" i="5"/>
  <c r="E37" i="5"/>
  <c r="B31" i="5"/>
  <c r="B29" i="5"/>
  <c r="C28" i="5"/>
  <c r="D25" i="5"/>
  <c r="B25" i="5"/>
  <c r="D23" i="5"/>
  <c r="C23" i="5"/>
  <c r="C25" i="5" s="1"/>
  <c r="B23" i="5"/>
  <c r="D19" i="5"/>
  <c r="D13" i="5"/>
  <c r="C13" i="5"/>
  <c r="B13" i="5"/>
  <c r="D12" i="5"/>
  <c r="D37" i="5" s="1"/>
  <c r="C12" i="5"/>
  <c r="C37" i="5" s="1"/>
  <c r="B12" i="5"/>
  <c r="B28" i="5" s="1"/>
  <c r="C7" i="5"/>
  <c r="BD3" i="4"/>
  <c r="BC3" i="4"/>
  <c r="BB3" i="4"/>
  <c r="BA3" i="4"/>
  <c r="AZ3" i="4"/>
  <c r="AY3" i="4"/>
  <c r="AX3" i="4"/>
  <c r="AW3" i="4"/>
  <c r="AV3"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B3" i="4"/>
  <c r="BD2" i="4"/>
  <c r="AZ2" i="4"/>
  <c r="AU2" i="4"/>
  <c r="AQ2" i="4"/>
  <c r="AP2" i="4"/>
  <c r="AK2" i="4"/>
  <c r="AF2" i="4"/>
  <c r="AB2" i="4"/>
  <c r="AA2" i="4"/>
  <c r="W2" i="4"/>
  <c r="U2" i="4"/>
  <c r="P2" i="4"/>
  <c r="O2" i="4"/>
  <c r="K2" i="4"/>
  <c r="F2" i="4"/>
  <c r="B2" i="4"/>
  <c r="AQ1" i="4"/>
  <c r="AB1" i="4"/>
  <c r="P1" i="4"/>
  <c r="B1" i="4"/>
  <c r="BE25" i="3"/>
  <c r="BD25" i="3"/>
  <c r="BC4" i="4" s="1"/>
  <c r="BC25" i="3"/>
  <c r="BB4" i="4" s="1"/>
  <c r="BB25" i="3"/>
  <c r="BA4" i="4" s="1"/>
  <c r="BA25" i="3"/>
  <c r="AZ25" i="3"/>
  <c r="AY4" i="4" s="1"/>
  <c r="AY25" i="3"/>
  <c r="AX4" i="4" s="1"/>
  <c r="AX25" i="3"/>
  <c r="AW4" i="4" s="1"/>
  <c r="AW25" i="3"/>
  <c r="AV25" i="3"/>
  <c r="AU4" i="4" s="1"/>
  <c r="AU25" i="3"/>
  <c r="AT4" i="4" s="1"/>
  <c r="AT25" i="3"/>
  <c r="AS4" i="4" s="1"/>
  <c r="AS25" i="3"/>
  <c r="AR25" i="3"/>
  <c r="AQ4" i="4" s="1"/>
  <c r="AQ25" i="3"/>
  <c r="AP4" i="4" s="1"/>
  <c r="AP25" i="3"/>
  <c r="AO4" i="4" s="1"/>
  <c r="AO25" i="3"/>
  <c r="AN25" i="3"/>
  <c r="AM4" i="4" s="1"/>
  <c r="AM25" i="3"/>
  <c r="AL4" i="4" s="1"/>
  <c r="AL25" i="3"/>
  <c r="AK4" i="4" s="1"/>
  <c r="AK25" i="3"/>
  <c r="AJ25" i="3"/>
  <c r="AI4" i="4" s="1"/>
  <c r="AI25" i="3"/>
  <c r="AH4" i="4" s="1"/>
  <c r="AH25" i="3"/>
  <c r="AG4" i="4" s="1"/>
  <c r="AG25" i="3"/>
  <c r="AF25" i="3"/>
  <c r="AE4" i="4" s="1"/>
  <c r="AE25" i="3"/>
  <c r="AD4" i="4" s="1"/>
  <c r="AD25" i="3"/>
  <c r="AC4" i="4" s="1"/>
  <c r="AC25" i="3"/>
  <c r="AB25" i="3"/>
  <c r="AA4" i="4" s="1"/>
  <c r="Z25" i="3"/>
  <c r="Y4" i="4" s="1"/>
  <c r="Y25" i="3"/>
  <c r="X4" i="4" s="1"/>
  <c r="X25" i="3"/>
  <c r="W25" i="3"/>
  <c r="V4" i="4" s="1"/>
  <c r="V25" i="3"/>
  <c r="U4" i="4" s="1"/>
  <c r="U25" i="3"/>
  <c r="T4" i="4" s="1"/>
  <c r="T25" i="3"/>
  <c r="S25" i="3"/>
  <c r="R4" i="4" s="1"/>
  <c r="R25" i="3"/>
  <c r="Q4" i="4" s="1"/>
  <c r="Q25" i="3"/>
  <c r="P4" i="4" s="1"/>
  <c r="P25" i="3"/>
  <c r="O25" i="3"/>
  <c r="N4" i="4" s="1"/>
  <c r="N25" i="3"/>
  <c r="M4" i="4" s="1"/>
  <c r="M25" i="3"/>
  <c r="L4" i="4" s="1"/>
  <c r="L25" i="3"/>
  <c r="K25" i="3"/>
  <c r="J4" i="4" s="1"/>
  <c r="J25" i="3"/>
  <c r="I4" i="4" s="1"/>
  <c r="I25" i="3"/>
  <c r="H4" i="4" s="1"/>
  <c r="H25" i="3"/>
  <c r="G25" i="3"/>
  <c r="F4" i="4" s="1"/>
  <c r="F25" i="3"/>
  <c r="E4" i="4" s="1"/>
  <c r="E25" i="3"/>
  <c r="D4" i="4" s="1"/>
  <c r="D25" i="3"/>
  <c r="C25" i="3"/>
  <c r="B4" i="4" s="1"/>
  <c r="BE14" i="3"/>
  <c r="BA14" i="3"/>
  <c r="AZ14" i="3"/>
  <c r="AY14" i="3"/>
  <c r="AX14" i="3"/>
  <c r="AW14" i="3"/>
  <c r="AV14" i="3"/>
  <c r="AR14" i="3"/>
  <c r="AQ14" i="3"/>
  <c r="AP14" i="3"/>
  <c r="AN14" i="3"/>
  <c r="AM14" i="3"/>
  <c r="AL14" i="3"/>
  <c r="AG14" i="3"/>
  <c r="AC14" i="3"/>
  <c r="AB14" i="3"/>
  <c r="X14" i="3"/>
  <c r="V14" i="3"/>
  <c r="Q14" i="3"/>
  <c r="P14" i="3"/>
  <c r="O14" i="3"/>
  <c r="L14" i="3"/>
  <c r="I14" i="3"/>
  <c r="G14" i="3"/>
  <c r="F14" i="3"/>
  <c r="E14" i="3"/>
  <c r="C14" i="3"/>
  <c r="AG9" i="3"/>
  <c r="AB9" i="3"/>
  <c r="X9" i="3"/>
  <c r="L9" i="3"/>
  <c r="H6" i="3"/>
  <c r="H9" i="3" s="1"/>
  <c r="G9"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BE2" i="3"/>
  <c r="BA2" i="3"/>
  <c r="AV2" i="3"/>
  <c r="AR2" i="3"/>
  <c r="AQ2" i="3"/>
  <c r="AL2" i="3"/>
  <c r="AG2" i="3"/>
  <c r="AC2" i="3"/>
  <c r="AB2" i="3"/>
  <c r="X2" i="3"/>
  <c r="V2" i="3"/>
  <c r="Q2" i="3"/>
  <c r="P2" i="3"/>
  <c r="L2" i="3"/>
  <c r="G2" i="3"/>
  <c r="C2" i="3"/>
  <c r="AR1" i="3"/>
  <c r="AC1" i="3"/>
  <c r="Q1" i="3"/>
  <c r="C1" i="3"/>
  <c r="K31" i="2"/>
  <c r="K32" i="2" s="1"/>
  <c r="K33" i="2" s="1"/>
  <c r="K25" i="2" s="1"/>
  <c r="K26" i="2" s="1"/>
  <c r="O26" i="2"/>
  <c r="N26" i="2"/>
  <c r="M26" i="2"/>
  <c r="J26" i="2"/>
  <c r="I26" i="2"/>
  <c r="H26" i="2"/>
  <c r="G26" i="2"/>
  <c r="D26" i="2"/>
  <c r="C26" i="2"/>
  <c r="L25" i="2"/>
  <c r="G25" i="2"/>
  <c r="C31" i="8" s="1"/>
  <c r="F25" i="2"/>
  <c r="F26" i="2" s="1"/>
  <c r="E25" i="2"/>
  <c r="E26" i="2" s="1"/>
  <c r="D25" i="2"/>
  <c r="C25" i="2"/>
  <c r="B31" i="8" s="1"/>
  <c r="O23" i="2"/>
  <c r="N23" i="2"/>
  <c r="M23" i="2"/>
  <c r="L23" i="2"/>
  <c r="K23" i="2"/>
  <c r="J23" i="2"/>
  <c r="I23" i="2"/>
  <c r="H23" i="2"/>
  <c r="G23" i="2"/>
  <c r="F23" i="2"/>
  <c r="E23" i="2"/>
  <c r="D23" i="2"/>
  <c r="C23" i="2"/>
  <c r="L22" i="2"/>
  <c r="G22" i="2"/>
  <c r="C22" i="2"/>
  <c r="A22" i="2"/>
  <c r="P20" i="2"/>
  <c r="AP6" i="3" s="1"/>
  <c r="AP9" i="3" s="1"/>
  <c r="N20" i="2"/>
  <c r="L20" i="2"/>
  <c r="C20" i="2"/>
  <c r="P19" i="2"/>
  <c r="L19" i="2"/>
  <c r="D32" i="7" s="1"/>
  <c r="H19" i="2"/>
  <c r="I18" i="2" s="1"/>
  <c r="I19" i="2" s="1"/>
  <c r="G19" i="2"/>
  <c r="C32" i="7" s="1"/>
  <c r="D19" i="2"/>
  <c r="D20" i="2" s="1"/>
  <c r="C19" i="2"/>
  <c r="B32" i="7" s="1"/>
  <c r="J18" i="2"/>
  <c r="G18" i="2"/>
  <c r="C31" i="7" s="1"/>
  <c r="C33" i="7" s="1"/>
  <c r="E18" i="2"/>
  <c r="E19" i="2" s="1"/>
  <c r="E20" i="2" s="1"/>
  <c r="P17" i="2"/>
  <c r="O17" i="2"/>
  <c r="N17" i="2"/>
  <c r="M17" i="2"/>
  <c r="L17" i="2"/>
  <c r="K17" i="2"/>
  <c r="J17" i="2"/>
  <c r="I17" i="2"/>
  <c r="H17" i="2"/>
  <c r="G17" i="2"/>
  <c r="F17" i="2"/>
  <c r="E17" i="2"/>
  <c r="D17" i="2"/>
  <c r="C17" i="2"/>
  <c r="L16" i="2"/>
  <c r="G16" i="2"/>
  <c r="C16" i="2"/>
  <c r="A16" i="2"/>
  <c r="M14" i="2"/>
  <c r="L14" i="2"/>
  <c r="J14" i="2"/>
  <c r="I14" i="2"/>
  <c r="D14" i="2"/>
  <c r="M13" i="2"/>
  <c r="L13" i="2"/>
  <c r="K13" i="2"/>
  <c r="J13" i="2"/>
  <c r="D32" i="6" s="1"/>
  <c r="I13" i="2"/>
  <c r="G13" i="2"/>
  <c r="C13" i="2"/>
  <c r="H12" i="2"/>
  <c r="C31" i="6" s="1"/>
  <c r="C33" i="6" s="1"/>
  <c r="E12" i="2"/>
  <c r="D12" i="2"/>
  <c r="C12" i="2" s="1"/>
  <c r="B31" i="6" s="1"/>
  <c r="B33" i="6" s="1"/>
  <c r="M11" i="2"/>
  <c r="L11" i="2"/>
  <c r="K11" i="2"/>
  <c r="J11" i="2"/>
  <c r="I11" i="2"/>
  <c r="H11" i="2"/>
  <c r="G11" i="2"/>
  <c r="F11" i="2"/>
  <c r="E11" i="2"/>
  <c r="D11" i="2"/>
  <c r="C11" i="2"/>
  <c r="J10" i="2"/>
  <c r="H10" i="2"/>
  <c r="C10" i="2"/>
  <c r="A10" i="2"/>
  <c r="D8" i="2"/>
  <c r="C8" i="2"/>
  <c r="O7" i="2"/>
  <c r="N7" i="2"/>
  <c r="N8" i="2" s="1"/>
  <c r="L7" i="2"/>
  <c r="G7" i="2"/>
  <c r="C30" i="5" s="1"/>
  <c r="E7" i="2"/>
  <c r="D7" i="2"/>
  <c r="C7" i="2"/>
  <c r="B30" i="5" s="1"/>
  <c r="O6" i="2"/>
  <c r="N6" i="2"/>
  <c r="L6" i="2"/>
  <c r="K6" i="2"/>
  <c r="J6" i="2"/>
  <c r="I6" i="2"/>
  <c r="G6" i="2"/>
  <c r="C29" i="5" s="1"/>
  <c r="C31" i="5" s="1"/>
  <c r="E6" i="2"/>
  <c r="O5" i="2"/>
  <c r="N5" i="2"/>
  <c r="M5" i="2"/>
  <c r="L5" i="2"/>
  <c r="K5" i="2"/>
  <c r="J5" i="2"/>
  <c r="I5" i="2"/>
  <c r="H5" i="2"/>
  <c r="G5" i="2"/>
  <c r="F5" i="2"/>
  <c r="E5" i="2"/>
  <c r="D5" i="2"/>
  <c r="C5" i="2"/>
  <c r="L4" i="2"/>
  <c r="G4" i="2"/>
  <c r="C4" i="2"/>
  <c r="A4" i="2"/>
  <c r="C115" i="1"/>
  <c r="M106" i="1" s="1"/>
  <c r="M107" i="1" s="1"/>
  <c r="M110" i="1" s="1"/>
  <c r="B115" i="1"/>
  <c r="N110" i="1"/>
  <c r="G110" i="1"/>
  <c r="C110" i="1"/>
  <c r="O109" i="1"/>
  <c r="N109" i="1"/>
  <c r="M109" i="1"/>
  <c r="K109" i="1"/>
  <c r="AZ6" i="3" s="1"/>
  <c r="AZ9" i="3" s="1"/>
  <c r="J109" i="1"/>
  <c r="I109" i="1"/>
  <c r="H109" i="1"/>
  <c r="F109" i="1"/>
  <c r="E109" i="1"/>
  <c r="D109" i="1"/>
  <c r="O108" i="1"/>
  <c r="BD13" i="3" s="1"/>
  <c r="N108" i="1"/>
  <c r="BC13" i="3" s="1"/>
  <c r="J108" i="1"/>
  <c r="AY13" i="3" s="1"/>
  <c r="H108" i="1"/>
  <c r="AW13" i="3" s="1"/>
  <c r="D108" i="1"/>
  <c r="AS13" i="3" s="1"/>
  <c r="C108" i="1"/>
  <c r="AR13" i="3" s="1"/>
  <c r="N107" i="1"/>
  <c r="L107" i="1"/>
  <c r="L110" i="1" s="1"/>
  <c r="H107" i="1"/>
  <c r="H110" i="1" s="1"/>
  <c r="F107" i="1"/>
  <c r="F110" i="1" s="1"/>
  <c r="P106" i="1"/>
  <c r="P107" i="1" s="1"/>
  <c r="P110" i="1" s="1"/>
  <c r="O106" i="1"/>
  <c r="O107" i="1" s="1"/>
  <c r="O110" i="1" s="1"/>
  <c r="N106" i="1"/>
  <c r="L106" i="1"/>
  <c r="K106" i="1"/>
  <c r="K107" i="1" s="1"/>
  <c r="K110" i="1" s="1"/>
  <c r="J106" i="1"/>
  <c r="J107" i="1" s="1"/>
  <c r="J110" i="1" s="1"/>
  <c r="H106" i="1"/>
  <c r="G106" i="1"/>
  <c r="G107" i="1" s="1"/>
  <c r="F106" i="1"/>
  <c r="D106" i="1"/>
  <c r="D107" i="1" s="1"/>
  <c r="D110" i="1" s="1"/>
  <c r="C106" i="1"/>
  <c r="C107" i="1" s="1"/>
  <c r="B97" i="1"/>
  <c r="N96" i="1"/>
  <c r="BC14" i="3" s="1"/>
  <c r="F96" i="1"/>
  <c r="E96" i="1"/>
  <c r="AT14" i="3" s="1"/>
  <c r="P82" i="1"/>
  <c r="AP16" i="3" s="1"/>
  <c r="K82" i="1"/>
  <c r="E82" i="1"/>
  <c r="AE16" i="3" s="1"/>
  <c r="P81" i="1"/>
  <c r="O81" i="1"/>
  <c r="AO6" i="3" s="1"/>
  <c r="AO9" i="3" s="1"/>
  <c r="N81" i="1"/>
  <c r="M81" i="1"/>
  <c r="K81" i="1"/>
  <c r="J81" i="1"/>
  <c r="I81" i="1"/>
  <c r="H81" i="1"/>
  <c r="F81" i="1"/>
  <c r="E81" i="1"/>
  <c r="AE6" i="3" s="1"/>
  <c r="AE9" i="3" s="1"/>
  <c r="D81" i="1"/>
  <c r="Q80" i="1"/>
  <c r="AQ13" i="3" s="1"/>
  <c r="O80" i="1"/>
  <c r="AO13" i="3" s="1"/>
  <c r="N80" i="1"/>
  <c r="AN13" i="3" s="1"/>
  <c r="M80" i="1"/>
  <c r="AM13" i="3" s="1"/>
  <c r="K80" i="1"/>
  <c r="AK13" i="3" s="1"/>
  <c r="J80" i="1"/>
  <c r="AJ13" i="3" s="1"/>
  <c r="I80" i="1"/>
  <c r="AI13" i="3" s="1"/>
  <c r="G80" i="1"/>
  <c r="AG13" i="3" s="1"/>
  <c r="F80" i="1"/>
  <c r="AF13" i="3" s="1"/>
  <c r="E80" i="1"/>
  <c r="AE13" i="3" s="1"/>
  <c r="C80" i="1"/>
  <c r="AC13" i="3" s="1"/>
  <c r="P79" i="1"/>
  <c r="M79" i="1"/>
  <c r="M82" i="1" s="1"/>
  <c r="I79" i="1"/>
  <c r="I82" i="1" s="1"/>
  <c r="H79" i="1"/>
  <c r="H82" i="1" s="1"/>
  <c r="E79" i="1"/>
  <c r="D79" i="1"/>
  <c r="D82" i="1" s="1"/>
  <c r="Q78" i="1"/>
  <c r="Q79" i="1" s="1"/>
  <c r="Q82" i="1" s="1"/>
  <c r="P78" i="1"/>
  <c r="O78" i="1"/>
  <c r="O79" i="1" s="1"/>
  <c r="O82" i="1" s="1"/>
  <c r="M78" i="1"/>
  <c r="L78" i="1"/>
  <c r="L79" i="1" s="1"/>
  <c r="L82" i="1" s="1"/>
  <c r="K78" i="1"/>
  <c r="K79" i="1" s="1"/>
  <c r="AK6" i="3" s="1"/>
  <c r="AK9" i="3" s="1"/>
  <c r="I78" i="1"/>
  <c r="H78" i="1"/>
  <c r="G78" i="1"/>
  <c r="G79" i="1" s="1"/>
  <c r="G82" i="1" s="1"/>
  <c r="E78" i="1"/>
  <c r="D78" i="1"/>
  <c r="C78" i="1"/>
  <c r="C79" i="1" s="1"/>
  <c r="C82" i="1" s="1"/>
  <c r="B69" i="1"/>
  <c r="P80" i="1" s="1"/>
  <c r="AP13" i="3" s="1"/>
  <c r="O68" i="1"/>
  <c r="AO14" i="3" s="1"/>
  <c r="I68" i="1"/>
  <c r="AI14" i="3" s="1"/>
  <c r="F68" i="1"/>
  <c r="AF14" i="3" s="1"/>
  <c r="E68" i="1"/>
  <c r="AE14" i="3" s="1"/>
  <c r="Q64" i="1"/>
  <c r="P64" i="1"/>
  <c r="O64" i="1"/>
  <c r="N64" i="1"/>
  <c r="M64" i="1"/>
  <c r="L64" i="1"/>
  <c r="K64" i="1"/>
  <c r="J64" i="1"/>
  <c r="I64" i="1"/>
  <c r="H64" i="1"/>
  <c r="G64" i="1"/>
  <c r="F64" i="1"/>
  <c r="E64" i="1"/>
  <c r="AE17" i="3" s="1"/>
  <c r="AE15" i="3" s="1"/>
  <c r="D64" i="1"/>
  <c r="C64" i="1"/>
  <c r="M53" i="1"/>
  <c r="L53" i="1"/>
  <c r="K53" i="1"/>
  <c r="I53" i="1"/>
  <c r="W6" i="3" s="1"/>
  <c r="W9" i="3" s="1"/>
  <c r="G53" i="1"/>
  <c r="F53" i="1"/>
  <c r="E53" i="1"/>
  <c r="D53" i="1"/>
  <c r="M52" i="1"/>
  <c r="L52" i="1"/>
  <c r="Z13" i="3" s="1"/>
  <c r="K52" i="1"/>
  <c r="Y13" i="3" s="1"/>
  <c r="I52" i="1"/>
  <c r="W13" i="3" s="1"/>
  <c r="H52" i="1"/>
  <c r="V13" i="3" s="1"/>
  <c r="G52" i="1"/>
  <c r="U13" i="3" s="1"/>
  <c r="E52" i="1"/>
  <c r="S13" i="3" s="1"/>
  <c r="D52" i="1"/>
  <c r="R13" i="3" s="1"/>
  <c r="C52" i="1"/>
  <c r="Q13" i="3" s="1"/>
  <c r="K51" i="1"/>
  <c r="K54" i="1" s="1"/>
  <c r="E51" i="1"/>
  <c r="E54" i="1" s="1"/>
  <c r="M50" i="1"/>
  <c r="M51" i="1" s="1"/>
  <c r="M54" i="1" s="1"/>
  <c r="M55" i="1" s="1"/>
  <c r="L50" i="1"/>
  <c r="L51" i="1" s="1"/>
  <c r="L54" i="1" s="1"/>
  <c r="K50" i="1"/>
  <c r="I50" i="1"/>
  <c r="I51" i="1" s="1"/>
  <c r="I54" i="1" s="1"/>
  <c r="H50" i="1"/>
  <c r="H51" i="1" s="1"/>
  <c r="H54" i="1" s="1"/>
  <c r="G50" i="1"/>
  <c r="G51" i="1" s="1"/>
  <c r="E50" i="1"/>
  <c r="D51" i="1"/>
  <c r="D54" i="1" s="1"/>
  <c r="C50" i="1"/>
  <c r="C51" i="1" s="1"/>
  <c r="C54" i="1" s="1"/>
  <c r="B41" i="1"/>
  <c r="N52" i="1" s="1"/>
  <c r="AB13" i="3" s="1"/>
  <c r="K40" i="1"/>
  <c r="Y14" i="3" s="1"/>
  <c r="G40" i="1"/>
  <c r="U14" i="3" s="1"/>
  <c r="F40" i="1"/>
  <c r="T14" i="3" s="1"/>
  <c r="E40" i="1"/>
  <c r="M26" i="1"/>
  <c r="H26" i="1"/>
  <c r="O25" i="1"/>
  <c r="N25" i="1"/>
  <c r="M25" i="1"/>
  <c r="M6" i="3" s="1"/>
  <c r="M9" i="3" s="1"/>
  <c r="K25" i="1"/>
  <c r="J25" i="1"/>
  <c r="I25" i="1"/>
  <c r="H25" i="1"/>
  <c r="F25" i="1"/>
  <c r="E25" i="1"/>
  <c r="E6" i="3" s="1"/>
  <c r="E9" i="3" s="1"/>
  <c r="D25" i="1"/>
  <c r="P24" i="1"/>
  <c r="P13" i="3" s="1"/>
  <c r="N24" i="1"/>
  <c r="N13" i="3" s="1"/>
  <c r="M24" i="1"/>
  <c r="M13" i="3" s="1"/>
  <c r="J24" i="1"/>
  <c r="J13" i="3" s="1"/>
  <c r="I24" i="1"/>
  <c r="I13" i="3" s="1"/>
  <c r="H24" i="1"/>
  <c r="H13" i="3" s="1"/>
  <c r="E24" i="1"/>
  <c r="E13" i="3" s="1"/>
  <c r="D24" i="1"/>
  <c r="D13" i="3" s="1"/>
  <c r="P23" i="1"/>
  <c r="P26" i="1" s="1"/>
  <c r="L23" i="1"/>
  <c r="L26" i="1" s="1"/>
  <c r="H23" i="1"/>
  <c r="F23" i="1"/>
  <c r="F26" i="1" s="1"/>
  <c r="P22" i="1"/>
  <c r="N22" i="1"/>
  <c r="N23" i="1" s="1"/>
  <c r="N26" i="1" s="1"/>
  <c r="M22" i="1"/>
  <c r="M23" i="1" s="1"/>
  <c r="L22" i="1"/>
  <c r="J22" i="1"/>
  <c r="J23" i="1" s="1"/>
  <c r="J26" i="1" s="1"/>
  <c r="I22" i="1"/>
  <c r="I23" i="1" s="1"/>
  <c r="I26" i="1" s="1"/>
  <c r="H22" i="1"/>
  <c r="F22" i="1"/>
  <c r="E22" i="1"/>
  <c r="E23" i="1" s="1"/>
  <c r="E26" i="1" s="1"/>
  <c r="D22" i="1"/>
  <c r="D23" i="1" s="1"/>
  <c r="B13" i="1"/>
  <c r="N12" i="1"/>
  <c r="N14" i="3" s="1"/>
  <c r="M12" i="1"/>
  <c r="M14" i="3" s="1"/>
  <c r="J12" i="1"/>
  <c r="H12" i="1"/>
  <c r="H14" i="3" s="1"/>
  <c r="D12" i="1"/>
  <c r="P9" i="1"/>
  <c r="O9" i="1"/>
  <c r="N9" i="1"/>
  <c r="M9" i="1"/>
  <c r="L9" i="1"/>
  <c r="K9" i="1"/>
  <c r="J9" i="1"/>
  <c r="I9" i="1"/>
  <c r="H9" i="1"/>
  <c r="G9" i="1"/>
  <c r="F9" i="1"/>
  <c r="E9" i="1"/>
  <c r="D9" i="1"/>
  <c r="C9" i="1"/>
  <c r="P7" i="1"/>
  <c r="O7" i="1"/>
  <c r="N7" i="1"/>
  <c r="M7" i="1"/>
  <c r="L7" i="1"/>
  <c r="K7" i="1"/>
  <c r="J7" i="1"/>
  <c r="I7" i="1"/>
  <c r="H7" i="1"/>
  <c r="G7" i="1"/>
  <c r="F7" i="1"/>
  <c r="E7" i="1"/>
  <c r="D7" i="1"/>
  <c r="C7" i="1"/>
  <c r="AA22" i="3" l="1"/>
  <c r="B37" i="5"/>
  <c r="E17" i="3"/>
  <c r="E15" i="3" s="1"/>
  <c r="E16" i="3"/>
  <c r="E27" i="1"/>
  <c r="J16" i="3"/>
  <c r="J17" i="3"/>
  <c r="J15" i="3" s="1"/>
  <c r="J27" i="1"/>
  <c r="P17" i="3"/>
  <c r="P16" i="3"/>
  <c r="P27" i="1"/>
  <c r="Y17" i="3"/>
  <c r="Y15" i="3" s="1"/>
  <c r="Y16" i="3"/>
  <c r="K55" i="1"/>
  <c r="AH16" i="3"/>
  <c r="H83" i="1"/>
  <c r="AU16" i="3"/>
  <c r="AU17" i="3"/>
  <c r="AU15" i="3" s="1"/>
  <c r="F111" i="1"/>
  <c r="BB17" i="3"/>
  <c r="BB15" i="3" s="1"/>
  <c r="BB16" i="3"/>
  <c r="M111" i="1"/>
  <c r="F16" i="3"/>
  <c r="F17" i="3"/>
  <c r="F15" i="3" s="1"/>
  <c r="F27" i="1"/>
  <c r="G54" i="1"/>
  <c r="Z16" i="3"/>
  <c r="Z17" i="3"/>
  <c r="Z15" i="3" s="1"/>
  <c r="L55" i="1"/>
  <c r="AG16" i="3"/>
  <c r="G83" i="1"/>
  <c r="AL16" i="3"/>
  <c r="L83" i="1"/>
  <c r="AQ16" i="3"/>
  <c r="Q83" i="1"/>
  <c r="AI16" i="3"/>
  <c r="I83" i="1"/>
  <c r="AW17" i="3"/>
  <c r="AW15" i="3" s="1"/>
  <c r="AW16" i="3"/>
  <c r="H111" i="1"/>
  <c r="Q17" i="3"/>
  <c r="Q16" i="3"/>
  <c r="C55" i="1"/>
  <c r="V16" i="3"/>
  <c r="V17" i="3"/>
  <c r="H55" i="1"/>
  <c r="AC16" i="3"/>
  <c r="C83" i="1"/>
  <c r="AD16" i="3"/>
  <c r="D83" i="1"/>
  <c r="AM16" i="3"/>
  <c r="M83" i="1"/>
  <c r="AS17" i="3"/>
  <c r="AS15" i="3" s="1"/>
  <c r="AS16" i="3"/>
  <c r="D111" i="1"/>
  <c r="AY16" i="3"/>
  <c r="AY17" i="3"/>
  <c r="AY15" i="3" s="1"/>
  <c r="J111" i="1"/>
  <c r="BD16" i="3"/>
  <c r="BD17" i="3"/>
  <c r="BD15" i="3" s="1"/>
  <c r="O111" i="1"/>
  <c r="BA17" i="3"/>
  <c r="BA16" i="3"/>
  <c r="L111" i="1"/>
  <c r="D6" i="3"/>
  <c r="D9" i="3" s="1"/>
  <c r="D26" i="1"/>
  <c r="I17" i="3"/>
  <c r="I15" i="3" s="1"/>
  <c r="I16" i="3"/>
  <c r="I27" i="1"/>
  <c r="N16" i="3"/>
  <c r="N17" i="3"/>
  <c r="N15" i="3" s="1"/>
  <c r="N27" i="1"/>
  <c r="L17" i="3"/>
  <c r="L16" i="3"/>
  <c r="L27" i="1"/>
  <c r="R16" i="3"/>
  <c r="R17" i="3"/>
  <c r="R15" i="3" s="1"/>
  <c r="D55" i="1"/>
  <c r="W16" i="3"/>
  <c r="W17" i="3"/>
  <c r="W15" i="3" s="1"/>
  <c r="I55" i="1"/>
  <c r="S16" i="3"/>
  <c r="S17" i="3"/>
  <c r="S15" i="3" s="1"/>
  <c r="E55" i="1"/>
  <c r="AO16" i="3"/>
  <c r="O83" i="1"/>
  <c r="AZ16" i="3"/>
  <c r="AZ17" i="3"/>
  <c r="AZ15" i="3" s="1"/>
  <c r="K111" i="1"/>
  <c r="BE17" i="3"/>
  <c r="BE16" i="3"/>
  <c r="P111" i="1"/>
  <c r="BC12" i="3"/>
  <c r="AY12" i="3"/>
  <c r="AY20" i="3" s="1"/>
  <c r="AU12" i="3"/>
  <c r="AQ12" i="3"/>
  <c r="AQ20" i="3" s="1"/>
  <c r="AM12" i="3"/>
  <c r="AI12" i="3"/>
  <c r="AE12" i="3"/>
  <c r="AE20" i="3" s="1"/>
  <c r="AE22" i="3" s="1"/>
  <c r="AE26" i="3" s="1"/>
  <c r="AE27" i="3" s="1"/>
  <c r="Z12" i="3"/>
  <c r="V12" i="3"/>
  <c r="V20" i="3" s="1"/>
  <c r="V22" i="3" s="1"/>
  <c r="R12" i="3"/>
  <c r="N12" i="3"/>
  <c r="N20" i="3" s="1"/>
  <c r="J12" i="3"/>
  <c r="F12" i="3"/>
  <c r="BA12" i="3"/>
  <c r="AV12" i="3"/>
  <c r="AP12" i="3"/>
  <c r="AK12" i="3"/>
  <c r="AF12" i="3"/>
  <c r="Y12" i="3"/>
  <c r="T12" i="3"/>
  <c r="O12" i="3"/>
  <c r="I12" i="3"/>
  <c r="D12" i="3"/>
  <c r="BE12" i="3"/>
  <c r="AZ12" i="3"/>
  <c r="AT12" i="3"/>
  <c r="AO12" i="3"/>
  <c r="AJ12" i="3"/>
  <c r="AD12" i="3"/>
  <c r="X12" i="3"/>
  <c r="S12" i="3"/>
  <c r="M12" i="3"/>
  <c r="H12" i="3"/>
  <c r="C12" i="3"/>
  <c r="BD12" i="3"/>
  <c r="AX12" i="3"/>
  <c r="AS12" i="3"/>
  <c r="AN12" i="3"/>
  <c r="AH12" i="3"/>
  <c r="AC12" i="3"/>
  <c r="AC20" i="3" s="1"/>
  <c r="W12" i="3"/>
  <c r="Q12" i="3"/>
  <c r="Q20" i="3" s="1"/>
  <c r="Q22" i="3" s="1"/>
  <c r="L12" i="3"/>
  <c r="G12" i="3"/>
  <c r="BB12" i="3"/>
  <c r="AW12" i="3"/>
  <c r="AW20" i="3" s="1"/>
  <c r="AR12" i="3"/>
  <c r="AR20" i="3" s="1"/>
  <c r="AL12" i="3"/>
  <c r="AG12" i="3"/>
  <c r="AG20" i="3" s="1"/>
  <c r="AG22" i="3" s="1"/>
  <c r="AB12" i="3"/>
  <c r="AB20" i="3" s="1"/>
  <c r="AB22" i="3" s="1"/>
  <c r="AB26" i="3" s="1"/>
  <c r="AB27" i="3" s="1"/>
  <c r="U12" i="3"/>
  <c r="P12" i="3"/>
  <c r="P20" i="3" s="1"/>
  <c r="P22" i="3" s="1"/>
  <c r="P26" i="3" s="1"/>
  <c r="P27" i="3" s="1"/>
  <c r="K12" i="3"/>
  <c r="E12" i="3"/>
  <c r="E20" i="3" s="1"/>
  <c r="E22" i="3" s="1"/>
  <c r="J14" i="3"/>
  <c r="I40" i="1"/>
  <c r="W14" i="3" s="1"/>
  <c r="K12" i="1"/>
  <c r="J6" i="3"/>
  <c r="J9" i="3" s="1"/>
  <c r="H17" i="3"/>
  <c r="H15" i="3" s="1"/>
  <c r="H16" i="3"/>
  <c r="M17" i="3"/>
  <c r="M15" i="3" s="1"/>
  <c r="M16" i="3"/>
  <c r="M27" i="1"/>
  <c r="R6" i="3"/>
  <c r="R9" i="3" s="1"/>
  <c r="AI17" i="3"/>
  <c r="AI15" i="3" s="1"/>
  <c r="AM17" i="3"/>
  <c r="AM15" i="3" s="1"/>
  <c r="AQ17" i="3"/>
  <c r="AK16" i="3"/>
  <c r="K83" i="1"/>
  <c r="AY6" i="3"/>
  <c r="AY9" i="3" s="1"/>
  <c r="BD6" i="3"/>
  <c r="BD9" i="3" s="1"/>
  <c r="AV16" i="3"/>
  <c r="AV17" i="3"/>
  <c r="G111" i="1"/>
  <c r="D31" i="8"/>
  <c r="L26" i="2"/>
  <c r="F6" i="3"/>
  <c r="F9" i="3" s="1"/>
  <c r="Y6" i="3"/>
  <c r="Y9" i="3" s="1"/>
  <c r="J68" i="1"/>
  <c r="AJ14" i="3" s="1"/>
  <c r="AU6" i="3"/>
  <c r="AU9" i="3" s="1"/>
  <c r="AR16" i="3"/>
  <c r="AR17" i="3"/>
  <c r="C111" i="1"/>
  <c r="BC16" i="3"/>
  <c r="BC17" i="3"/>
  <c r="BC15" i="3" s="1"/>
  <c r="N111" i="1"/>
  <c r="B32" i="6"/>
  <c r="C14" i="2"/>
  <c r="D14" i="3"/>
  <c r="D40" i="1"/>
  <c r="R14" i="3" s="1"/>
  <c r="S14" i="3"/>
  <c r="D68" i="1"/>
  <c r="L40" i="1"/>
  <c r="Z14" i="3" s="1"/>
  <c r="Z6" i="3"/>
  <c r="Z9" i="3" s="1"/>
  <c r="AC17" i="3"/>
  <c r="AG17" i="3"/>
  <c r="AK17" i="3"/>
  <c r="AK15" i="3" s="1"/>
  <c r="AO17" i="3"/>
  <c r="AO15" i="3" s="1"/>
  <c r="AH6" i="3"/>
  <c r="AH9" i="3" s="1"/>
  <c r="AM6" i="3"/>
  <c r="AM9" i="3" s="1"/>
  <c r="M108" i="1"/>
  <c r="BB13" i="3" s="1"/>
  <c r="I108" i="1"/>
  <c r="AX13" i="3" s="1"/>
  <c r="E108" i="1"/>
  <c r="AT13" i="3" s="1"/>
  <c r="F108" i="1"/>
  <c r="AU13" i="3" s="1"/>
  <c r="K108" i="1"/>
  <c r="AZ13" i="3" s="1"/>
  <c r="P108" i="1"/>
  <c r="BE13" i="3" s="1"/>
  <c r="AW6" i="3"/>
  <c r="AW9" i="3" s="1"/>
  <c r="BB6" i="3"/>
  <c r="BB9" i="3" s="1"/>
  <c r="D30" i="5"/>
  <c r="L8" i="2"/>
  <c r="G20" i="2"/>
  <c r="O24" i="1"/>
  <c r="O13" i="3" s="1"/>
  <c r="K24" i="1"/>
  <c r="K13" i="3" s="1"/>
  <c r="G13" i="3"/>
  <c r="C24" i="1"/>
  <c r="C13" i="3" s="1"/>
  <c r="F24" i="1"/>
  <c r="F13" i="3" s="1"/>
  <c r="L24" i="1"/>
  <c r="L13" i="3" s="1"/>
  <c r="I6" i="3"/>
  <c r="I9" i="3" s="1"/>
  <c r="N6" i="3"/>
  <c r="N9" i="3" s="1"/>
  <c r="N22" i="3" s="1"/>
  <c r="N26" i="3" s="1"/>
  <c r="N27" i="3" s="1"/>
  <c r="H27" i="1"/>
  <c r="M40" i="1"/>
  <c r="AD17" i="3"/>
  <c r="AD15" i="3" s="1"/>
  <c r="AH17" i="3"/>
  <c r="AH15" i="3" s="1"/>
  <c r="AL17" i="3"/>
  <c r="AP17" i="3"/>
  <c r="AP15" i="3" s="1"/>
  <c r="H68" i="1"/>
  <c r="AH14" i="3" s="1"/>
  <c r="AD6" i="3"/>
  <c r="AD9" i="3" s="1"/>
  <c r="AI6" i="3"/>
  <c r="AI9" i="3" s="1"/>
  <c r="E83" i="1"/>
  <c r="P83" i="1"/>
  <c r="AU14" i="3"/>
  <c r="O96" i="1"/>
  <c r="BD14" i="3" s="1"/>
  <c r="G108" i="1"/>
  <c r="AV13" i="3" s="1"/>
  <c r="L108" i="1"/>
  <c r="BA13" i="3" s="1"/>
  <c r="AS6" i="3"/>
  <c r="AS9" i="3" s="1"/>
  <c r="N50" i="1"/>
  <c r="N51" i="1" s="1"/>
  <c r="N54" i="1" s="1"/>
  <c r="J50" i="1"/>
  <c r="J51" i="1" s="1"/>
  <c r="J54" i="1" s="1"/>
  <c r="G22" i="1"/>
  <c r="G23" i="1" s="1"/>
  <c r="G26" i="1" s="1"/>
  <c r="C22" i="1"/>
  <c r="C23" i="1" s="1"/>
  <c r="C26" i="1" s="1"/>
  <c r="D29" i="5"/>
  <c r="D31" i="5" s="1"/>
  <c r="M6" i="2"/>
  <c r="E13" i="2"/>
  <c r="F18" i="2"/>
  <c r="F20" i="2" s="1"/>
  <c r="K22" i="1"/>
  <c r="K23" i="1" s="1"/>
  <c r="O22" i="1"/>
  <c r="O23" i="1" s="1"/>
  <c r="O26" i="1" s="1"/>
  <c r="F50" i="1"/>
  <c r="F51" i="1" s="1"/>
  <c r="F54" i="1" s="1"/>
  <c r="F52" i="1"/>
  <c r="T13" i="3" s="1"/>
  <c r="J52" i="1"/>
  <c r="X13" i="3" s="1"/>
  <c r="AN17" i="3"/>
  <c r="AN15" i="3" s="1"/>
  <c r="F78" i="1"/>
  <c r="F79" i="1" s="1"/>
  <c r="J78" i="1"/>
  <c r="J79" i="1" s="1"/>
  <c r="J82" i="1" s="1"/>
  <c r="AJ17" i="3" s="1"/>
  <c r="AJ15" i="3" s="1"/>
  <c r="N78" i="1"/>
  <c r="N79" i="1" s="1"/>
  <c r="N82" i="1" s="1"/>
  <c r="D80" i="1"/>
  <c r="AD13" i="3" s="1"/>
  <c r="H80" i="1"/>
  <c r="AH13" i="3" s="1"/>
  <c r="L80" i="1"/>
  <c r="AL13" i="3" s="1"/>
  <c r="E106" i="1"/>
  <c r="E107" i="1" s="1"/>
  <c r="E110" i="1" s="1"/>
  <c r="I106" i="1"/>
  <c r="I107" i="1" s="1"/>
  <c r="I110" i="1" s="1"/>
  <c r="BC6" i="3"/>
  <c r="BC9" i="3" s="1"/>
  <c r="C4" i="4"/>
  <c r="K4" i="4"/>
  <c r="S4" i="4"/>
  <c r="AB4" i="4"/>
  <c r="AJ4" i="4"/>
  <c r="AR4" i="4"/>
  <c r="AZ4" i="4"/>
  <c r="G4" i="4"/>
  <c r="O4" i="4"/>
  <c r="W4" i="4"/>
  <c r="AF4" i="4"/>
  <c r="AN4" i="4"/>
  <c r="AV4" i="4"/>
  <c r="BD4" i="4"/>
  <c r="B32" i="5"/>
  <c r="B42" i="6"/>
  <c r="B43" i="6" s="1"/>
  <c r="B34" i="7"/>
  <c r="C41" i="8"/>
  <c r="C42" i="8" s="1"/>
  <c r="AV6" i="3" s="1"/>
  <c r="AV9" i="3" s="1"/>
  <c r="D32" i="5"/>
  <c r="D42" i="6"/>
  <c r="D43" i="6" s="1"/>
  <c r="C33" i="8"/>
  <c r="C32" i="5"/>
  <c r="B34" i="6"/>
  <c r="D34" i="7"/>
  <c r="B33" i="8"/>
  <c r="B40" i="5"/>
  <c r="B41" i="5" s="1"/>
  <c r="D34" i="6"/>
  <c r="C34" i="7"/>
  <c r="B50" i="7"/>
  <c r="AQ6" i="3" s="1"/>
  <c r="AQ9" i="3" s="1"/>
  <c r="D33" i="8"/>
  <c r="D40" i="5"/>
  <c r="B30" i="7"/>
  <c r="C29" i="8"/>
  <c r="B38" i="8"/>
  <c r="D41" i="8"/>
  <c r="D42" i="8" s="1"/>
  <c r="BA6" i="3" s="1"/>
  <c r="BA9" i="3" s="1"/>
  <c r="D28" i="5"/>
  <c r="B49" i="6"/>
  <c r="B50" i="6" s="1"/>
  <c r="E40" i="7"/>
  <c r="D29" i="8"/>
  <c r="C30" i="6"/>
  <c r="D30" i="7"/>
  <c r="B41" i="8"/>
  <c r="B42" i="8" s="1"/>
  <c r="AR6" i="3" s="1"/>
  <c r="AR9" i="3" s="1"/>
  <c r="AR22" i="3" l="1"/>
  <c r="AR26" i="3" s="1"/>
  <c r="AR27" i="3" s="1"/>
  <c r="AQ22" i="3"/>
  <c r="AQ26" i="3" s="1"/>
  <c r="AQ27" i="3" s="1"/>
  <c r="Y20" i="3"/>
  <c r="Y22" i="3" s="1"/>
  <c r="I20" i="3"/>
  <c r="H20" i="3"/>
  <c r="H22" i="3" s="1"/>
  <c r="H26" i="3" s="1"/>
  <c r="H27" i="3" s="1"/>
  <c r="AN20" i="3"/>
  <c r="AI20" i="3"/>
  <c r="W20" i="3"/>
  <c r="W22" i="3" s="1"/>
  <c r="AZ20" i="3"/>
  <c r="AZ22" i="3" s="1"/>
  <c r="AY10" i="4" s="1"/>
  <c r="F20" i="3"/>
  <c r="AM20" i="3"/>
  <c r="BC20" i="3"/>
  <c r="Z7" i="4"/>
  <c r="Z11" i="4"/>
  <c r="Z5" i="4"/>
  <c r="AA28" i="3"/>
  <c r="Z8" i="4"/>
  <c r="Z12" i="4"/>
  <c r="Z9" i="4"/>
  <c r="Z13" i="4"/>
  <c r="AA26" i="3"/>
  <c r="AA27" i="3" s="1"/>
  <c r="Z6" i="4"/>
  <c r="Z10" i="4"/>
  <c r="Z14" i="4"/>
  <c r="M20" i="3"/>
  <c r="M22" i="3" s="1"/>
  <c r="L9" i="4" s="1"/>
  <c r="AP20" i="3"/>
  <c r="AP22" i="3" s="1"/>
  <c r="AO14" i="4" s="1"/>
  <c r="AO20" i="3"/>
  <c r="AO22" i="3" s="1"/>
  <c r="AO26" i="3" s="1"/>
  <c r="AO27" i="3" s="1"/>
  <c r="AI22" i="3"/>
  <c r="AH12" i="4" s="1"/>
  <c r="AY22" i="3"/>
  <c r="AX14" i="4" s="1"/>
  <c r="I22" i="3"/>
  <c r="I26" i="3" s="1"/>
  <c r="I27" i="3" s="1"/>
  <c r="AW22" i="3"/>
  <c r="AW26" i="3" s="1"/>
  <c r="AW27" i="3" s="1"/>
  <c r="AY12" i="4"/>
  <c r="AY11" i="4"/>
  <c r="AY7" i="4"/>
  <c r="U14" i="4"/>
  <c r="U12" i="4"/>
  <c r="U10" i="4"/>
  <c r="U11" i="4"/>
  <c r="U8" i="4"/>
  <c r="U6" i="4"/>
  <c r="U13" i="4"/>
  <c r="U9" i="4"/>
  <c r="U7" i="4"/>
  <c r="U5" i="4"/>
  <c r="V28" i="3"/>
  <c r="V26" i="3"/>
  <c r="V27" i="3" s="1"/>
  <c r="AF13" i="4"/>
  <c r="AF11" i="4"/>
  <c r="AF9" i="4"/>
  <c r="AF12" i="4"/>
  <c r="AG28" i="3"/>
  <c r="AF7" i="4"/>
  <c r="AF5" i="4"/>
  <c r="AF14" i="4"/>
  <c r="AF8" i="4"/>
  <c r="AF6" i="4"/>
  <c r="AF10" i="4"/>
  <c r="AG26" i="3"/>
  <c r="AG27" i="3" s="1"/>
  <c r="V14" i="4"/>
  <c r="V12" i="4"/>
  <c r="V10" i="4"/>
  <c r="V8" i="4"/>
  <c r="V6" i="4"/>
  <c r="V13" i="4"/>
  <c r="V11" i="4"/>
  <c r="V7" i="4"/>
  <c r="V9" i="4"/>
  <c r="V5" i="4"/>
  <c r="W28" i="3"/>
  <c r="W26" i="3"/>
  <c r="W27" i="3" s="1"/>
  <c r="AO13" i="4"/>
  <c r="AO11" i="4"/>
  <c r="AO7" i="4"/>
  <c r="AO5" i="4"/>
  <c r="AO6" i="4"/>
  <c r="AP28" i="3"/>
  <c r="D35" i="7"/>
  <c r="D36" i="7"/>
  <c r="B42" i="7"/>
  <c r="B43" i="7" s="1"/>
  <c r="AC6" i="3" s="1"/>
  <c r="AC9" i="3" s="1"/>
  <c r="AC22" i="3" s="1"/>
  <c r="D42" i="7"/>
  <c r="D43" i="7" s="1"/>
  <c r="AL6" i="3" s="1"/>
  <c r="AL9" i="3" s="1"/>
  <c r="D35" i="8"/>
  <c r="D34" i="8"/>
  <c r="AX17" i="3"/>
  <c r="AX15" i="3" s="1"/>
  <c r="AX16" i="3"/>
  <c r="I111" i="1"/>
  <c r="AB16" i="3"/>
  <c r="AB17" i="3"/>
  <c r="N55" i="1"/>
  <c r="L5" i="4"/>
  <c r="G11" i="4"/>
  <c r="G9" i="4"/>
  <c r="G6" i="4"/>
  <c r="AD14" i="4"/>
  <c r="AD12" i="4"/>
  <c r="AD10" i="4"/>
  <c r="AD11" i="4"/>
  <c r="AD8" i="4"/>
  <c r="AD6" i="4"/>
  <c r="AD13" i="4"/>
  <c r="AD7" i="4"/>
  <c r="AD9" i="4"/>
  <c r="AE28" i="3"/>
  <c r="AD5" i="4"/>
  <c r="K14" i="3"/>
  <c r="K68" i="1"/>
  <c r="AK14" i="3" s="1"/>
  <c r="AK20" i="3" s="1"/>
  <c r="AK22" i="3" s="1"/>
  <c r="U17" i="3"/>
  <c r="U15" i="3" s="1"/>
  <c r="U20" i="3" s="1"/>
  <c r="U16" i="3"/>
  <c r="G55" i="1"/>
  <c r="C41" i="5"/>
  <c r="C33" i="5"/>
  <c r="C34" i="5"/>
  <c r="B33" i="5"/>
  <c r="B34" i="5"/>
  <c r="B34" i="8"/>
  <c r="B35" i="8"/>
  <c r="C34" i="8"/>
  <c r="C35" i="8"/>
  <c r="B35" i="7"/>
  <c r="B36" i="7"/>
  <c r="AT17" i="3"/>
  <c r="AT15" i="3" s="1"/>
  <c r="AT16" i="3"/>
  <c r="E111" i="1"/>
  <c r="AN16" i="3"/>
  <c r="N83" i="1"/>
  <c r="T17" i="3"/>
  <c r="T15" i="3" s="1"/>
  <c r="T16" i="3"/>
  <c r="F55" i="1"/>
  <c r="AQ14" i="4"/>
  <c r="AQ12" i="4"/>
  <c r="AQ10" i="4"/>
  <c r="AQ13" i="4"/>
  <c r="AQ8" i="4"/>
  <c r="AQ6" i="4"/>
  <c r="AQ11" i="4"/>
  <c r="AQ9" i="4"/>
  <c r="AQ7" i="4"/>
  <c r="AQ5" i="4"/>
  <c r="AR28" i="3"/>
  <c r="C32" i="6"/>
  <c r="C34" i="6" s="1"/>
  <c r="H14" i="2"/>
  <c r="C16" i="3"/>
  <c r="C17" i="3"/>
  <c r="C27" i="1"/>
  <c r="AX6" i="3"/>
  <c r="AX9" i="3" s="1"/>
  <c r="AN6" i="3"/>
  <c r="AN9" i="3" s="1"/>
  <c r="AN22" i="3" s="1"/>
  <c r="P13" i="4"/>
  <c r="P11" i="4"/>
  <c r="P14" i="4"/>
  <c r="P9" i="4"/>
  <c r="P7" i="4"/>
  <c r="P5" i="4"/>
  <c r="P10" i="4"/>
  <c r="P12" i="4"/>
  <c r="P8" i="4"/>
  <c r="Q26" i="3"/>
  <c r="Q27" i="3" s="1"/>
  <c r="P6" i="4"/>
  <c r="Q28" i="3"/>
  <c r="AL20" i="3"/>
  <c r="G20" i="3"/>
  <c r="G22" i="3" s="1"/>
  <c r="AX20" i="3"/>
  <c r="AJ20" i="3"/>
  <c r="BE20" i="3"/>
  <c r="BE22" i="3" s="1"/>
  <c r="T20" i="3"/>
  <c r="J20" i="3"/>
  <c r="J22" i="3" s="1"/>
  <c r="Z20" i="3"/>
  <c r="Z22" i="3" s="1"/>
  <c r="O6" i="3"/>
  <c r="O9" i="3" s="1"/>
  <c r="AJ16" i="3"/>
  <c r="J83" i="1"/>
  <c r="O16" i="3"/>
  <c r="O17" i="3"/>
  <c r="O15" i="3" s="1"/>
  <c r="O20" i="3" s="1"/>
  <c r="O27" i="1"/>
  <c r="AA14" i="4"/>
  <c r="AA12" i="4"/>
  <c r="AA10" i="4"/>
  <c r="AA8" i="4"/>
  <c r="AA6" i="4"/>
  <c r="AA11" i="4"/>
  <c r="AA13" i="4"/>
  <c r="AA9" i="4"/>
  <c r="AA7" i="4"/>
  <c r="AA5" i="4"/>
  <c r="AB28" i="3"/>
  <c r="F12" i="2"/>
  <c r="F13" i="2" s="1"/>
  <c r="E14" i="2"/>
  <c r="S6" i="3" s="1"/>
  <c r="S9" i="3" s="1"/>
  <c r="G16" i="3"/>
  <c r="G17" i="3"/>
  <c r="G27" i="1"/>
  <c r="AH14" i="4"/>
  <c r="AM22" i="3"/>
  <c r="AD14" i="3"/>
  <c r="AD20" i="3" s="1"/>
  <c r="AD22" i="3" s="1"/>
  <c r="D96" i="1"/>
  <c r="F22" i="3"/>
  <c r="AN13" i="4"/>
  <c r="AN11" i="4"/>
  <c r="AN9" i="4"/>
  <c r="AN12" i="4"/>
  <c r="AO28" i="3"/>
  <c r="AN14" i="4"/>
  <c r="AN7" i="4"/>
  <c r="AN5" i="4"/>
  <c r="AN8" i="4"/>
  <c r="AN6" i="4"/>
  <c r="AN10" i="4"/>
  <c r="L20" i="3"/>
  <c r="L22" i="3" s="1"/>
  <c r="AH20" i="3"/>
  <c r="AH22" i="3" s="1"/>
  <c r="BD20" i="3"/>
  <c r="BD22" i="3" s="1"/>
  <c r="S20" i="3"/>
  <c r="AV20" i="3"/>
  <c r="AV22" i="3" s="1"/>
  <c r="AU20" i="3"/>
  <c r="AU22" i="3" s="1"/>
  <c r="AT6" i="3"/>
  <c r="AT9" i="3" s="1"/>
  <c r="D17" i="3"/>
  <c r="D15" i="3" s="1"/>
  <c r="D20" i="3" s="1"/>
  <c r="D22" i="3" s="1"/>
  <c r="D16" i="3"/>
  <c r="D27" i="1"/>
  <c r="C36" i="7"/>
  <c r="C42" i="7"/>
  <c r="C43" i="7" s="1"/>
  <c r="C35" i="7"/>
  <c r="D41" i="5"/>
  <c r="D35" i="6"/>
  <c r="D36" i="6"/>
  <c r="B36" i="6"/>
  <c r="B35" i="6"/>
  <c r="D34" i="5"/>
  <c r="D33" i="5"/>
  <c r="BC22" i="3"/>
  <c r="F82" i="1"/>
  <c r="AF6" i="3"/>
  <c r="AF9" i="3" s="1"/>
  <c r="K26" i="1"/>
  <c r="K6" i="3"/>
  <c r="K9" i="3" s="1"/>
  <c r="X17" i="3"/>
  <c r="X16" i="3"/>
  <c r="J55" i="1"/>
  <c r="M14" i="4"/>
  <c r="M12" i="4"/>
  <c r="M10" i="4"/>
  <c r="M11" i="4"/>
  <c r="M8" i="4"/>
  <c r="M6" i="4"/>
  <c r="M13" i="4"/>
  <c r="M9" i="4"/>
  <c r="M7" i="4"/>
  <c r="N28" i="3"/>
  <c r="M5" i="4"/>
  <c r="AP14" i="4"/>
  <c r="AP12" i="4"/>
  <c r="AP10" i="4"/>
  <c r="AP13" i="4"/>
  <c r="AP8" i="4"/>
  <c r="AP6" i="4"/>
  <c r="AP7" i="4"/>
  <c r="AP5" i="4"/>
  <c r="AQ28" i="3"/>
  <c r="O13" i="4"/>
  <c r="O11" i="4"/>
  <c r="O14" i="4"/>
  <c r="O12" i="4"/>
  <c r="P28" i="3"/>
  <c r="O9" i="4"/>
  <c r="O7" i="4"/>
  <c r="O5" i="4"/>
  <c r="O8" i="4"/>
  <c r="O6" i="4"/>
  <c r="O10" i="4"/>
  <c r="AJ6" i="3"/>
  <c r="AJ9" i="3" s="1"/>
  <c r="D13" i="4"/>
  <c r="D11" i="4"/>
  <c r="D14" i="4"/>
  <c r="D9" i="4"/>
  <c r="D7" i="4"/>
  <c r="D5" i="4"/>
  <c r="D12" i="4"/>
  <c r="D10" i="4"/>
  <c r="E28" i="3"/>
  <c r="E26" i="3"/>
  <c r="E27" i="3" s="1"/>
  <c r="D6" i="4"/>
  <c r="D8" i="4"/>
  <c r="C20" i="3"/>
  <c r="C22" i="3" s="1"/>
  <c r="X20" i="3"/>
  <c r="X22" i="3" s="1"/>
  <c r="AT20" i="3"/>
  <c r="BA20" i="3"/>
  <c r="BA22" i="3" s="1"/>
  <c r="R20" i="3"/>
  <c r="R22" i="3" s="1"/>
  <c r="AC26" i="3" l="1"/>
  <c r="AC27" i="3" s="1"/>
  <c r="AB9" i="4"/>
  <c r="AB5" i="4"/>
  <c r="AB14" i="4"/>
  <c r="AB10" i="4"/>
  <c r="AB12" i="4"/>
  <c r="AC28" i="3"/>
  <c r="AB8" i="4"/>
  <c r="AB11" i="4"/>
  <c r="AB6" i="4"/>
  <c r="AB13" i="4"/>
  <c r="AB7" i="4"/>
  <c r="AB17" i="4" s="1"/>
  <c r="AP11" i="4"/>
  <c r="AP9" i="4"/>
  <c r="AL22" i="3"/>
  <c r="AK14" i="4" s="1"/>
  <c r="Y26" i="3"/>
  <c r="Y27" i="3" s="1"/>
  <c r="X14" i="4"/>
  <c r="X9" i="4"/>
  <c r="X8" i="4"/>
  <c r="X16" i="4" s="1"/>
  <c r="X18" i="4" s="1"/>
  <c r="X7" i="4"/>
  <c r="X12" i="4"/>
  <c r="Y28" i="3"/>
  <c r="X13" i="4"/>
  <c r="X5" i="4"/>
  <c r="X6" i="4"/>
  <c r="X11" i="4"/>
  <c r="X10" i="4"/>
  <c r="AN17" i="4"/>
  <c r="G8" i="4"/>
  <c r="G14" i="4"/>
  <c r="G13" i="4"/>
  <c r="L7" i="4"/>
  <c r="AY5" i="4"/>
  <c r="AY6" i="4"/>
  <c r="AY14" i="4"/>
  <c r="G5" i="4"/>
  <c r="G16" i="4" s="1"/>
  <c r="G18" i="4" s="1"/>
  <c r="H28" i="3"/>
  <c r="L8" i="4"/>
  <c r="L13" i="4"/>
  <c r="L17" i="4" s="1"/>
  <c r="AZ26" i="3"/>
  <c r="AZ27" i="3" s="1"/>
  <c r="AY9" i="4"/>
  <c r="AY8" i="4"/>
  <c r="G10" i="4"/>
  <c r="G17" i="4" s="1"/>
  <c r="G7" i="4"/>
  <c r="G12" i="4"/>
  <c r="L6" i="4"/>
  <c r="L14" i="4"/>
  <c r="AZ28" i="3"/>
  <c r="AY13" i="4"/>
  <c r="O22" i="3"/>
  <c r="M28" i="3"/>
  <c r="L12" i="4"/>
  <c r="L11" i="4"/>
  <c r="AO8" i="4"/>
  <c r="AO10" i="4"/>
  <c r="AO16" i="4" s="1"/>
  <c r="AO18" i="4" s="1"/>
  <c r="AO9" i="4"/>
  <c r="Z17" i="4"/>
  <c r="Z16" i="4"/>
  <c r="Z18" i="4" s="1"/>
  <c r="M26" i="3"/>
  <c r="M27" i="3" s="1"/>
  <c r="L10" i="4"/>
  <c r="AP26" i="3"/>
  <c r="AP27" i="3" s="1"/>
  <c r="AO12" i="4"/>
  <c r="AI26" i="3"/>
  <c r="AI27" i="3" s="1"/>
  <c r="AF16" i="4"/>
  <c r="AF18" i="4" s="1"/>
  <c r="AH11" i="4"/>
  <c r="AH6" i="4"/>
  <c r="AH10" i="4"/>
  <c r="AI28" i="3"/>
  <c r="AH9" i="4"/>
  <c r="AX8" i="4"/>
  <c r="AH7" i="4"/>
  <c r="AH13" i="4"/>
  <c r="AY28" i="3"/>
  <c r="AY26" i="3"/>
  <c r="AY27" i="3" s="1"/>
  <c r="AX11" i="4"/>
  <c r="AX12" i="4"/>
  <c r="AX6" i="4"/>
  <c r="AX13" i="4"/>
  <c r="AX5" i="4"/>
  <c r="AX10" i="4"/>
  <c r="AV11" i="4"/>
  <c r="AH5" i="4"/>
  <c r="AH8" i="4"/>
  <c r="AV5" i="4"/>
  <c r="AW28" i="3"/>
  <c r="AV7" i="4"/>
  <c r="AV10" i="4"/>
  <c r="AX7" i="4"/>
  <c r="AX9" i="4"/>
  <c r="AV6" i="4"/>
  <c r="AV9" i="4"/>
  <c r="O16" i="4"/>
  <c r="O18" i="4" s="1"/>
  <c r="H12" i="4"/>
  <c r="AF17" i="4"/>
  <c r="H10" i="4"/>
  <c r="AV8" i="4"/>
  <c r="AV12" i="4"/>
  <c r="AV13" i="4"/>
  <c r="AV14" i="4"/>
  <c r="H9" i="4"/>
  <c r="H8" i="4"/>
  <c r="H14" i="4"/>
  <c r="I28" i="3"/>
  <c r="H5" i="4"/>
  <c r="H11" i="4"/>
  <c r="H6" i="4"/>
  <c r="H7" i="4"/>
  <c r="H13" i="4"/>
  <c r="S22" i="3"/>
  <c r="R10" i="4" s="1"/>
  <c r="AG13" i="4"/>
  <c r="AG11" i="4"/>
  <c r="AG9" i="4"/>
  <c r="AG14" i="4"/>
  <c r="AG7" i="4"/>
  <c r="AG5" i="4"/>
  <c r="AG10" i="4"/>
  <c r="AG12" i="4"/>
  <c r="AG8" i="4"/>
  <c r="AH26" i="3"/>
  <c r="AH27" i="3" s="1"/>
  <c r="AG6" i="4"/>
  <c r="AH28" i="3"/>
  <c r="I14" i="4"/>
  <c r="I12" i="4"/>
  <c r="I10" i="4"/>
  <c r="I13" i="4"/>
  <c r="I8" i="4"/>
  <c r="I6" i="4"/>
  <c r="I9" i="4"/>
  <c r="I7" i="4"/>
  <c r="I5" i="4"/>
  <c r="J28" i="3"/>
  <c r="I11" i="4"/>
  <c r="J26" i="3"/>
  <c r="J27" i="3" s="1"/>
  <c r="Q14" i="4"/>
  <c r="Q12" i="4"/>
  <c r="Q10" i="4"/>
  <c r="Q13" i="4"/>
  <c r="Q8" i="4"/>
  <c r="Q6" i="4"/>
  <c r="Q9" i="4"/>
  <c r="Q7" i="4"/>
  <c r="Q11" i="4"/>
  <c r="Q5" i="4"/>
  <c r="R28" i="3"/>
  <c r="R26" i="3"/>
  <c r="R27" i="3" s="1"/>
  <c r="AJ14" i="4"/>
  <c r="AJ13" i="4"/>
  <c r="AJ11" i="4"/>
  <c r="AJ9" i="4"/>
  <c r="AJ10" i="4"/>
  <c r="AK28" i="3"/>
  <c r="AJ7" i="4"/>
  <c r="AJ5" i="4"/>
  <c r="AJ12" i="4"/>
  <c r="AJ8" i="4"/>
  <c r="AJ6" i="4"/>
  <c r="AK26" i="3"/>
  <c r="AK27" i="3" s="1"/>
  <c r="AT14" i="4"/>
  <c r="AT12" i="4"/>
  <c r="AT10" i="4"/>
  <c r="AT13" i="4"/>
  <c r="AT11" i="4"/>
  <c r="AT8" i="4"/>
  <c r="AT6" i="4"/>
  <c r="AT7" i="4"/>
  <c r="AU28" i="3"/>
  <c r="AT9" i="4"/>
  <c r="AT5" i="4"/>
  <c r="AU26" i="3"/>
  <c r="AU27" i="3" s="1"/>
  <c r="BC14" i="4"/>
  <c r="BC13" i="4"/>
  <c r="BC12" i="4"/>
  <c r="BC10" i="4"/>
  <c r="BC8" i="4"/>
  <c r="BC6" i="4"/>
  <c r="BC9" i="4"/>
  <c r="BC11" i="4"/>
  <c r="BC7" i="4"/>
  <c r="BD28" i="3"/>
  <c r="BC5" i="4"/>
  <c r="BD26" i="3"/>
  <c r="BD27" i="3" s="1"/>
  <c r="AC14" i="4"/>
  <c r="AC13" i="4"/>
  <c r="AC11" i="4"/>
  <c r="AC9" i="4"/>
  <c r="AC7" i="4"/>
  <c r="AC5" i="4"/>
  <c r="AC12" i="4"/>
  <c r="AC10" i="4"/>
  <c r="AC6" i="4"/>
  <c r="AC8" i="4"/>
  <c r="AD28" i="3"/>
  <c r="AD26" i="3"/>
  <c r="AD27" i="3" s="1"/>
  <c r="Y14" i="4"/>
  <c r="Y12" i="4"/>
  <c r="Y10" i="4"/>
  <c r="Y13" i="4"/>
  <c r="Y9" i="4"/>
  <c r="Y8" i="4"/>
  <c r="Y6" i="4"/>
  <c r="Y7" i="4"/>
  <c r="Y5" i="4"/>
  <c r="Z28" i="3"/>
  <c r="Y11" i="4"/>
  <c r="Z26" i="3"/>
  <c r="Z27" i="3" s="1"/>
  <c r="W13" i="4"/>
  <c r="W11" i="4"/>
  <c r="W9" i="4"/>
  <c r="W12" i="4"/>
  <c r="X28" i="3"/>
  <c r="W7" i="4"/>
  <c r="W5" i="4"/>
  <c r="W14" i="4"/>
  <c r="W8" i="4"/>
  <c r="W6" i="4"/>
  <c r="W10" i="4"/>
  <c r="X26" i="3"/>
  <c r="X27" i="3" s="1"/>
  <c r="AF16" i="3"/>
  <c r="F83" i="1"/>
  <c r="AF17" i="3"/>
  <c r="AF15" i="3" s="1"/>
  <c r="AF20" i="3" s="1"/>
  <c r="AF22" i="3" s="1"/>
  <c r="E14" i="4"/>
  <c r="E12" i="4"/>
  <c r="E10" i="4"/>
  <c r="E11" i="4"/>
  <c r="E8" i="4"/>
  <c r="E6" i="4"/>
  <c r="E13" i="4"/>
  <c r="E9" i="4"/>
  <c r="E7" i="4"/>
  <c r="E5" i="4"/>
  <c r="F28" i="3"/>
  <c r="F26" i="3"/>
  <c r="F27" i="3" s="1"/>
  <c r="P16" i="4"/>
  <c r="P18" i="4" s="1"/>
  <c r="P17" i="4"/>
  <c r="BB14" i="4"/>
  <c r="BB13" i="4"/>
  <c r="BB12" i="4"/>
  <c r="BB10" i="4"/>
  <c r="BB11" i="4"/>
  <c r="BB8" i="4"/>
  <c r="BB6" i="4"/>
  <c r="BB7" i="4"/>
  <c r="BB5" i="4"/>
  <c r="BC26" i="3"/>
  <c r="BC27" i="3" s="1"/>
  <c r="BB9" i="4"/>
  <c r="BC28" i="3"/>
  <c r="AU14" i="4"/>
  <c r="AU12" i="4"/>
  <c r="AU10" i="4"/>
  <c r="AU13" i="4"/>
  <c r="AU8" i="4"/>
  <c r="AU6" i="4"/>
  <c r="AU9" i="4"/>
  <c r="AU11" i="4"/>
  <c r="AV28" i="3"/>
  <c r="AU5" i="4"/>
  <c r="AV26" i="3"/>
  <c r="AV27" i="3" s="1"/>
  <c r="AU7" i="4"/>
  <c r="AS14" i="3"/>
  <c r="AS20" i="3" s="1"/>
  <c r="AS22" i="3" s="1"/>
  <c r="M96" i="1"/>
  <c r="BB14" i="3" s="1"/>
  <c r="BB20" i="3" s="1"/>
  <c r="BB22" i="3" s="1"/>
  <c r="C13" i="4"/>
  <c r="C11" i="4"/>
  <c r="C14" i="4"/>
  <c r="C10" i="4"/>
  <c r="D28" i="3"/>
  <c r="C9" i="4"/>
  <c r="C7" i="4"/>
  <c r="C5" i="4"/>
  <c r="C12" i="4"/>
  <c r="C8" i="4"/>
  <c r="C6" i="4"/>
  <c r="D26" i="3"/>
  <c r="D27" i="3" s="1"/>
  <c r="D16" i="4"/>
  <c r="D18" i="4" s="1"/>
  <c r="D17" i="4"/>
  <c r="AA17" i="4"/>
  <c r="AA16" i="4"/>
  <c r="AA18" i="4" s="1"/>
  <c r="C42" i="6"/>
  <c r="C43" i="6" s="1"/>
  <c r="C35" i="6"/>
  <c r="C36" i="6"/>
  <c r="B12" i="4"/>
  <c r="B10" i="4"/>
  <c r="B8" i="4"/>
  <c r="B6" i="4"/>
  <c r="B11" i="4"/>
  <c r="B14" i="4"/>
  <c r="B13" i="4"/>
  <c r="B7" i="4"/>
  <c r="C28" i="3"/>
  <c r="B9" i="4"/>
  <c r="B5" i="4"/>
  <c r="C26" i="3"/>
  <c r="C27" i="3" s="1"/>
  <c r="AZ13" i="4"/>
  <c r="AZ14" i="4"/>
  <c r="AZ11" i="4"/>
  <c r="AZ9" i="4"/>
  <c r="AZ10" i="4"/>
  <c r="BA28" i="3"/>
  <c r="AZ7" i="4"/>
  <c r="AZ5" i="4"/>
  <c r="AZ12" i="4"/>
  <c r="AZ8" i="4"/>
  <c r="AZ6" i="4"/>
  <c r="BA26" i="3"/>
  <c r="BA27" i="3" s="1"/>
  <c r="AJ22" i="3"/>
  <c r="M17" i="4"/>
  <c r="M16" i="4"/>
  <c r="M18" i="4" s="1"/>
  <c r="K16" i="3"/>
  <c r="K17" i="3"/>
  <c r="K15" i="3" s="1"/>
  <c r="K20" i="3" s="1"/>
  <c r="K22" i="3" s="1"/>
  <c r="K27" i="1"/>
  <c r="O17" i="4"/>
  <c r="K14" i="4"/>
  <c r="K13" i="4"/>
  <c r="K11" i="4"/>
  <c r="K10" i="4"/>
  <c r="L28" i="3"/>
  <c r="K9" i="4"/>
  <c r="K7" i="4"/>
  <c r="K5" i="4"/>
  <c r="K12" i="4"/>
  <c r="K8" i="4"/>
  <c r="K6" i="4"/>
  <c r="L26" i="3"/>
  <c r="L27" i="3" s="1"/>
  <c r="G12" i="2"/>
  <c r="G14" i="2" s="1"/>
  <c r="U6" i="3" s="1"/>
  <c r="U9" i="3" s="1"/>
  <c r="U22" i="3" s="1"/>
  <c r="F14" i="2"/>
  <c r="T6" i="3" s="1"/>
  <c r="T9" i="3" s="1"/>
  <c r="T22" i="3" s="1"/>
  <c r="F14" i="4"/>
  <c r="F12" i="4"/>
  <c r="F10" i="4"/>
  <c r="F8" i="4"/>
  <c r="F6" i="4"/>
  <c r="F13" i="4"/>
  <c r="F11" i="4"/>
  <c r="F7" i="4"/>
  <c r="F9" i="4"/>
  <c r="F5" i="4"/>
  <c r="G28" i="3"/>
  <c r="G26" i="3"/>
  <c r="G27" i="3" s="1"/>
  <c r="AM14" i="4"/>
  <c r="AM12" i="4"/>
  <c r="AM10" i="4"/>
  <c r="AM13" i="4"/>
  <c r="AM8" i="4"/>
  <c r="AM6" i="4"/>
  <c r="AM9" i="4"/>
  <c r="AM11" i="4"/>
  <c r="AM7" i="4"/>
  <c r="AM5" i="4"/>
  <c r="AN28" i="3"/>
  <c r="AN26" i="3"/>
  <c r="AN27" i="3" s="1"/>
  <c r="AQ17" i="4"/>
  <c r="AQ16" i="4"/>
  <c r="AQ18" i="4" s="1"/>
  <c r="AD17" i="4"/>
  <c r="AD16" i="4"/>
  <c r="AD18" i="4" s="1"/>
  <c r="L16" i="4"/>
  <c r="L18" i="4" s="1"/>
  <c r="AN16" i="4"/>
  <c r="AN18" i="4" s="1"/>
  <c r="AO17" i="4"/>
  <c r="V16" i="4"/>
  <c r="V18" i="4" s="1"/>
  <c r="V17" i="4"/>
  <c r="U17" i="4"/>
  <c r="U16" i="4"/>
  <c r="U18" i="4" s="1"/>
  <c r="AP17" i="4"/>
  <c r="AP16" i="4"/>
  <c r="AP18" i="4" s="1"/>
  <c r="AT22" i="3"/>
  <c r="AL14" i="4"/>
  <c r="AL12" i="4"/>
  <c r="AL10" i="4"/>
  <c r="AL11" i="4"/>
  <c r="AL8" i="4"/>
  <c r="AL6" i="4"/>
  <c r="AL13" i="4"/>
  <c r="AL7" i="4"/>
  <c r="AL5" i="4"/>
  <c r="AL9" i="4"/>
  <c r="AM28" i="3"/>
  <c r="AM26" i="3"/>
  <c r="AM27" i="3" s="1"/>
  <c r="N14" i="4"/>
  <c r="N12" i="4"/>
  <c r="N10" i="4"/>
  <c r="N8" i="4"/>
  <c r="N6" i="4"/>
  <c r="N13" i="4"/>
  <c r="N11" i="4"/>
  <c r="O28" i="3"/>
  <c r="N5" i="4"/>
  <c r="N7" i="4"/>
  <c r="N9" i="4"/>
  <c r="O26" i="3"/>
  <c r="O27" i="3" s="1"/>
  <c r="BD13" i="4"/>
  <c r="BD11" i="4"/>
  <c r="BD9" i="4"/>
  <c r="BD12" i="4"/>
  <c r="BE28" i="3"/>
  <c r="BD7" i="4"/>
  <c r="BD5" i="4"/>
  <c r="BD14" i="4"/>
  <c r="BD8" i="4"/>
  <c r="BD6" i="4"/>
  <c r="BD10" i="4"/>
  <c r="BE26" i="3"/>
  <c r="BE27" i="3" s="1"/>
  <c r="AK11" i="4"/>
  <c r="AK9" i="4"/>
  <c r="AK12" i="4"/>
  <c r="AK10" i="4"/>
  <c r="AK6" i="4"/>
  <c r="AK8" i="4"/>
  <c r="AX22" i="3"/>
  <c r="AY16" i="4"/>
  <c r="AY18" i="4" s="1"/>
  <c r="AY17" i="4"/>
  <c r="AB16" i="4" l="1"/>
  <c r="AB18" i="4" s="1"/>
  <c r="AL26" i="3"/>
  <c r="AL27" i="3" s="1"/>
  <c r="AK5" i="4"/>
  <c r="AK13" i="4"/>
  <c r="AL28" i="3"/>
  <c r="AK7" i="4"/>
  <c r="AK17" i="4" s="1"/>
  <c r="X17" i="4"/>
  <c r="AX17" i="4"/>
  <c r="AE14" i="4"/>
  <c r="AE6" i="4"/>
  <c r="AF28" i="3"/>
  <c r="AE8" i="4"/>
  <c r="AE11" i="4"/>
  <c r="AF26" i="3"/>
  <c r="AF27" i="3" s="1"/>
  <c r="AE12" i="4"/>
  <c r="AE13" i="4"/>
  <c r="AE5" i="4"/>
  <c r="AE10" i="4"/>
  <c r="AE9" i="4"/>
  <c r="AE7" i="4"/>
  <c r="AV16" i="4"/>
  <c r="AV18" i="4" s="1"/>
  <c r="AX16" i="4"/>
  <c r="AX18" i="4" s="1"/>
  <c r="AH16" i="4"/>
  <c r="AH18" i="4" s="1"/>
  <c r="H16" i="4"/>
  <c r="H18" i="4" s="1"/>
  <c r="AH17" i="4"/>
  <c r="R11" i="4"/>
  <c r="AV17" i="4"/>
  <c r="H17" i="4"/>
  <c r="S26" i="3"/>
  <c r="S27" i="3" s="1"/>
  <c r="R9" i="4"/>
  <c r="R6" i="4"/>
  <c r="S28" i="3"/>
  <c r="R8" i="4"/>
  <c r="R7" i="4"/>
  <c r="R14" i="4"/>
  <c r="R12" i="4"/>
  <c r="R5" i="4"/>
  <c r="R13" i="4"/>
  <c r="AL17" i="4"/>
  <c r="AL16" i="4"/>
  <c r="AL18" i="4" s="1"/>
  <c r="BD17" i="4"/>
  <c r="BD16" i="4"/>
  <c r="BD18" i="4" s="1"/>
  <c r="AJ16" i="4"/>
  <c r="AJ18" i="4" s="1"/>
  <c r="AJ17" i="4"/>
  <c r="AS14" i="4"/>
  <c r="AS13" i="4"/>
  <c r="AS11" i="4"/>
  <c r="AS9" i="4"/>
  <c r="AS7" i="4"/>
  <c r="AS5" i="4"/>
  <c r="AS12" i="4"/>
  <c r="AS10" i="4"/>
  <c r="AS6" i="4"/>
  <c r="AS8" i="4"/>
  <c r="AT28" i="3"/>
  <c r="AT26" i="3"/>
  <c r="AT27" i="3" s="1"/>
  <c r="S14" i="4"/>
  <c r="S13" i="4"/>
  <c r="S11" i="4"/>
  <c r="S10" i="4"/>
  <c r="T28" i="3"/>
  <c r="S9" i="4"/>
  <c r="S7" i="4"/>
  <c r="S5" i="4"/>
  <c r="S12" i="4"/>
  <c r="S8" i="4"/>
  <c r="S6" i="4"/>
  <c r="T26" i="3"/>
  <c r="T27" i="3" s="1"/>
  <c r="AI14" i="4"/>
  <c r="AI12" i="4"/>
  <c r="AI10" i="4"/>
  <c r="AI8" i="4"/>
  <c r="AI6" i="4"/>
  <c r="AI11" i="4"/>
  <c r="AI13" i="4"/>
  <c r="AI9" i="4"/>
  <c r="AI7" i="4"/>
  <c r="AJ28" i="3"/>
  <c r="AI5" i="4"/>
  <c r="AJ26" i="3"/>
  <c r="AJ27" i="3" s="1"/>
  <c r="B17" i="4"/>
  <c r="B16" i="4"/>
  <c r="B18" i="4" s="1"/>
  <c r="BA14" i="4"/>
  <c r="BA11" i="4"/>
  <c r="BA9" i="4"/>
  <c r="BA13" i="4"/>
  <c r="BA7" i="4"/>
  <c r="BA5" i="4"/>
  <c r="BA12" i="4"/>
  <c r="BA10" i="4"/>
  <c r="BB28" i="3"/>
  <c r="BB26" i="3"/>
  <c r="BB27" i="3" s="1"/>
  <c r="BA6" i="4"/>
  <c r="BA8" i="4"/>
  <c r="AU16" i="4"/>
  <c r="AU18" i="4" s="1"/>
  <c r="AU17" i="4"/>
  <c r="W16" i="4"/>
  <c r="W18" i="4" s="1"/>
  <c r="W17" i="4"/>
  <c r="BC16" i="4"/>
  <c r="BC18" i="4" s="1"/>
  <c r="BC17" i="4"/>
  <c r="AT17" i="4"/>
  <c r="AT16" i="4"/>
  <c r="AT18" i="4" s="1"/>
  <c r="AW11" i="4"/>
  <c r="AW9" i="4"/>
  <c r="AW13" i="4"/>
  <c r="AW14" i="4"/>
  <c r="AW7" i="4"/>
  <c r="AW5" i="4"/>
  <c r="AW10" i="4"/>
  <c r="AW12" i="4"/>
  <c r="AW8" i="4"/>
  <c r="AX26" i="3"/>
  <c r="AX27" i="3" s="1"/>
  <c r="AW6" i="4"/>
  <c r="AX28" i="3"/>
  <c r="N16" i="4"/>
  <c r="N18" i="4" s="1"/>
  <c r="N17" i="4"/>
  <c r="J14" i="4"/>
  <c r="J12" i="4"/>
  <c r="J10" i="4"/>
  <c r="J8" i="4"/>
  <c r="J6" i="4"/>
  <c r="J11" i="4"/>
  <c r="J13" i="4"/>
  <c r="J9" i="4"/>
  <c r="J7" i="4"/>
  <c r="J5" i="4"/>
  <c r="K28" i="3"/>
  <c r="K26" i="3"/>
  <c r="K27" i="3" s="1"/>
  <c r="T14" i="4"/>
  <c r="T13" i="4"/>
  <c r="T11" i="4"/>
  <c r="T9" i="4"/>
  <c r="T7" i="4"/>
  <c r="T5" i="4"/>
  <c r="T12" i="4"/>
  <c r="T10" i="4"/>
  <c r="U28" i="3"/>
  <c r="U26" i="3"/>
  <c r="U27" i="3" s="1"/>
  <c r="T6" i="4"/>
  <c r="T8" i="4"/>
  <c r="AZ16" i="4"/>
  <c r="AZ18" i="4" s="1"/>
  <c r="AZ17" i="4"/>
  <c r="AR14" i="4"/>
  <c r="AR13" i="4"/>
  <c r="AR11" i="4"/>
  <c r="AR9" i="4"/>
  <c r="AR10" i="4"/>
  <c r="AS28" i="3"/>
  <c r="AR7" i="4"/>
  <c r="AR5" i="4"/>
  <c r="AR12" i="4"/>
  <c r="AR8" i="4"/>
  <c r="AR6" i="4"/>
  <c r="AS26" i="3"/>
  <c r="AS27" i="3" s="1"/>
  <c r="BB17" i="4"/>
  <c r="BB16" i="4"/>
  <c r="BB18" i="4" s="1"/>
  <c r="AC16" i="4"/>
  <c r="AC18" i="4" s="1"/>
  <c r="AC17" i="4"/>
  <c r="Q17" i="4"/>
  <c r="Q16" i="4"/>
  <c r="Q18" i="4" s="1"/>
  <c r="AG16" i="4"/>
  <c r="AG18" i="4" s="1"/>
  <c r="AG17" i="4"/>
  <c r="AM16" i="4"/>
  <c r="AM18" i="4" s="1"/>
  <c r="AM17" i="4"/>
  <c r="F16" i="4"/>
  <c r="F18" i="4" s="1"/>
  <c r="F17" i="4"/>
  <c r="K16" i="4"/>
  <c r="K18" i="4" s="1"/>
  <c r="K17" i="4"/>
  <c r="C16" i="4"/>
  <c r="C18" i="4" s="1"/>
  <c r="C17" i="4"/>
  <c r="E17" i="4"/>
  <c r="E16" i="4"/>
  <c r="E18" i="4" s="1"/>
  <c r="Y17" i="4"/>
  <c r="Y16" i="4"/>
  <c r="Y18" i="4" s="1"/>
  <c r="I17" i="4"/>
  <c r="I16" i="4"/>
  <c r="I18" i="4" s="1"/>
  <c r="AK16" i="4" l="1"/>
  <c r="AK18" i="4" s="1"/>
  <c r="AE17" i="4"/>
  <c r="AE16" i="4"/>
  <c r="AE18" i="4" s="1"/>
  <c r="R17" i="4"/>
  <c r="R16" i="4"/>
  <c r="R18" i="4" s="1"/>
  <c r="T16" i="4"/>
  <c r="T18" i="4" s="1"/>
  <c r="T17" i="4"/>
  <c r="J16" i="4"/>
  <c r="J18" i="4" s="1"/>
  <c r="J17" i="4"/>
  <c r="AS16" i="4"/>
  <c r="AS18" i="4" s="1"/>
  <c r="AS17" i="4"/>
  <c r="AR16" i="4"/>
  <c r="AR18" i="4" s="1"/>
  <c r="AR17" i="4"/>
  <c r="AW16" i="4"/>
  <c r="AW18" i="4" s="1"/>
  <c r="AW17" i="4"/>
  <c r="BA17" i="4"/>
  <c r="BA16" i="4"/>
  <c r="BA18" i="4" s="1"/>
  <c r="S16" i="4"/>
  <c r="S18" i="4" s="1"/>
  <c r="S17" i="4"/>
  <c r="AI16" i="4"/>
  <c r="AI18" i="4" s="1"/>
  <c r="AI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000-00003C000000}">
      <text>
        <r>
          <rPr>
            <sz val="10"/>
            <color rgb="FF000000"/>
            <rFont val="Arial"/>
            <family val="2"/>
          </rPr>
          <t xml:space="preserve">35.6 is Average of all national DSOs tariffs for 2022 for category D2 - D3. Category D represents agriculture sector and agro-allied industries
</t>
        </r>
        <r>
          <rPr>
            <sz val="10"/>
            <color rgb="FF000000"/>
            <rFont val="Arial"/>
            <family val="2"/>
          </rPr>
          <t xml:space="preserve">
</t>
        </r>
        <r>
          <rPr>
            <sz val="10"/>
            <color rgb="FF000000"/>
            <rFont val="Arial"/>
            <family val="2"/>
          </rPr>
          <t xml:space="preserve">Source: https://nerc.gov.ng/index.php/home/consumers/how-much-do-i-pay-for-electricity
</t>
        </r>
        <r>
          <rPr>
            <sz val="10"/>
            <color rgb="FF000000"/>
            <rFont val="Arial"/>
            <family val="2"/>
          </rPr>
          <t xml:space="preserve">	-André Troost
</t>
        </r>
        <r>
          <rPr>
            <sz val="10"/>
            <color rgb="FF000000"/>
            <rFont val="Arial"/>
            <family val="2"/>
          </rPr>
          <t xml:space="preserve">415 is currency exchange
</t>
        </r>
        <r>
          <rPr>
            <sz val="10"/>
            <color rgb="FF000000"/>
            <rFont val="Arial"/>
            <family val="2"/>
          </rPr>
          <t xml:space="preserve">	-André Troost</t>
        </r>
      </text>
    </comment>
    <comment ref="C8" authorId="0" shapeId="0" xr:uid="{00000000-0006-0000-0000-00003B000000}">
      <text>
        <r>
          <rPr>
            <sz val="10"/>
            <color rgb="FF000000"/>
            <rFont val="Arial"/>
            <family val="2"/>
          </rPr>
          <t xml:space="preserve">Source: RMI report 2018 (p15) - https://rmi.org/wp-content/uploads/2018/08/RMI_Nigeria_Minigrid_Investment_Report_2018.pdf
</t>
        </r>
        <r>
          <rPr>
            <sz val="10"/>
            <color rgb="FF000000"/>
            <rFont val="Arial"/>
            <family val="2"/>
          </rPr>
          <t xml:space="preserve">	-André Troost</t>
        </r>
      </text>
    </comment>
    <comment ref="C9" authorId="0" shapeId="0" xr:uid="{00000000-0006-0000-0000-00003A000000}">
      <text>
        <r>
          <rPr>
            <sz val="10"/>
            <color rgb="FF000000"/>
            <rFont val="Arial"/>
            <family val="2"/>
          </rPr>
          <t xml:space="preserve">Assuming 850 Naira per litre and 415 Naira for 1 USD
</t>
        </r>
        <r>
          <rPr>
            <sz val="10"/>
            <color rgb="FF000000"/>
            <rFont val="Arial"/>
            <family val="2"/>
          </rPr>
          <t xml:space="preserve">	-André Troost</t>
        </r>
      </text>
    </comment>
    <comment ref="B13" authorId="0" shapeId="0" xr:uid="{00000000-0006-0000-0000-000039000000}">
      <text>
        <r>
          <rPr>
            <sz val="10"/>
            <color rgb="FF000000"/>
            <rFont val="Arial"/>
            <family val="2"/>
          </rPr>
          <t xml:space="preserve">assumes N65000 per month, at exchange rate of 415N for 1 USD
</t>
        </r>
        <r>
          <rPr>
            <sz val="10"/>
            <color rgb="FF000000"/>
            <rFont val="Arial"/>
            <family val="2"/>
          </rPr>
          <t xml:space="preserve">	-André Troost</t>
        </r>
      </text>
    </comment>
    <comment ref="E18" authorId="0" shapeId="0" xr:uid="{00000000-0006-0000-0000-000025000000}">
      <text>
        <r>
          <rPr>
            <sz val="10"/>
            <color rgb="FF000000"/>
            <rFont val="Arial"/>
            <family val="2"/>
          </rPr>
          <t xml:space="preserve">https://www.alibaba.com/product-detail/multifunctional-industrial-sunflower-seed-corn-maize_1600619986224.html
</t>
        </r>
        <r>
          <rPr>
            <sz val="10"/>
            <color rgb="FF000000"/>
            <rFont val="Arial"/>
            <family val="2"/>
          </rPr>
          <t xml:space="preserve">	-André Troost
</t>
        </r>
        <r>
          <rPr>
            <sz val="10"/>
            <color rgb="FF000000"/>
            <rFont val="Arial"/>
            <family val="2"/>
          </rPr>
          <t xml:space="preserve">All NG capex follows USD = 415 ngn
</t>
        </r>
        <r>
          <rPr>
            <sz val="10"/>
            <color rgb="FF000000"/>
            <rFont val="Arial"/>
            <family val="2"/>
          </rPr>
          <t xml:space="preserve">	-André Troost</t>
        </r>
      </text>
    </comment>
    <comment ref="F18" authorId="0" shapeId="0" xr:uid="{00000000-0006-0000-0000-000024000000}">
      <text>
        <r>
          <rPr>
            <sz val="10"/>
            <color rgb="FF000000"/>
            <rFont val="Arial"/>
            <family val="2"/>
          </rPr>
          <t xml:space="preserve">https://www.alibaba.com/product-detail/Maize-Hammer-Mill-YUDA-Industrial-Grain_60196449465.html?s=p
</t>
        </r>
        <r>
          <rPr>
            <sz val="10"/>
            <color rgb="FF000000"/>
            <rFont val="Arial"/>
            <family val="2"/>
          </rPr>
          <t xml:space="preserve">	-André Troost</t>
        </r>
      </text>
    </comment>
    <comment ref="H18" authorId="0" shapeId="0" xr:uid="{00000000-0006-0000-0000-000023000000}">
      <text>
        <r>
          <rPr>
            <sz val="10"/>
            <color rgb="FF000000"/>
            <rFont val="Arial"/>
            <family val="2"/>
          </rPr>
          <t xml:space="preserve">Model GD-CP-1500: https://www.alibaba.com/product-detail/GOODWAY-Transformation-Du-Manioc-Cassava-Peeling_1600609711971.html
</t>
        </r>
        <r>
          <rPr>
            <sz val="10"/>
            <color rgb="FF000000"/>
            <rFont val="Arial"/>
            <family val="2"/>
          </rPr>
          <t xml:space="preserve">	-André Troost</t>
        </r>
      </text>
    </comment>
    <comment ref="I18" authorId="0" shapeId="0" xr:uid="{00000000-0006-0000-0000-000022000000}">
      <text>
        <r>
          <rPr>
            <sz val="10"/>
            <color rgb="FF000000"/>
            <rFont val="Arial"/>
            <family val="2"/>
          </rPr>
          <t xml:space="preserve">https://www.alibaba.com/product-detail/Cassava-Machine-Cassava-Crusher-Grating-Machine_1600550064674.html?spm=a2700.galleryofferlist.normal_offer.d_title.21f9becfs8h8XM
</t>
        </r>
        <r>
          <rPr>
            <sz val="10"/>
            <color rgb="FF000000"/>
            <rFont val="Arial"/>
            <family val="2"/>
          </rPr>
          <t xml:space="preserve">	-André Troost</t>
        </r>
      </text>
    </comment>
    <comment ref="J18" authorId="0" shapeId="0" xr:uid="{00000000-0006-0000-0000-000021000000}">
      <text>
        <r>
          <rPr>
            <sz val="10"/>
            <color rgb="FF000000"/>
            <rFont val="Arial"/>
            <family val="2"/>
            <scheme val="minor"/>
          </rPr>
          <t>https://www.alibaba.com/product-detail/The-best-price-of-cassava-milling_62021297262.html
	-André Troost</t>
        </r>
      </text>
    </comment>
    <comment ref="K18" authorId="0" shapeId="0" xr:uid="{00000000-0006-0000-0000-000020000000}">
      <text>
        <r>
          <rPr>
            <sz val="10"/>
            <color rgb="FF000000"/>
            <rFont val="Arial"/>
            <family val="2"/>
            <scheme val="minor"/>
          </rPr>
          <t>https://www.alibaba.com/product-detail/Cassava-Chip-Cutting-Machine-Multifunctional-Cassava_60716183208.html?spm=a2700.7735675.0.0.54e9753dK7jJJi&amp;s=p
	-André Troost</t>
        </r>
      </text>
    </comment>
    <comment ref="M18" authorId="0" shapeId="0" xr:uid="{00000000-0006-0000-0000-00001F000000}">
      <text>
        <r>
          <rPr>
            <sz val="10"/>
            <color rgb="FF000000"/>
            <rFont val="Arial"/>
            <family val="2"/>
            <scheme val="minor"/>
          </rPr>
          <t>This is not a mobile thresher - the only electric mobile thresher is in development stage (developed by Soybean Innovation Lab - cost USD 2000 - source USAID)
Source: https://jiji.ng/kaduna-north/farm-machinery-equipment/rice-sorghum-millet-thresher-11975516.html?page=1&amp;pos=6&amp;cur_pos=6&amp;ads_per_page=7&amp;ads_count=6&amp;lid=LVPVDI115YytF_XD
	-André Troost</t>
        </r>
      </text>
    </comment>
    <comment ref="N18" authorId="0" shapeId="0" xr:uid="{00000000-0006-0000-0000-00001E000000}">
      <text>
        <r>
          <rPr>
            <sz val="10"/>
            <color rgb="FF000000"/>
            <rFont val="Arial"/>
            <family val="2"/>
            <scheme val="minor"/>
          </rPr>
          <t>Electric motor for blower
Kerosene / diesel burner as heat source (others with wood as source)
Source: https://jiji.ng/ibadan/farm-machinery-equipment/mechanical-batch-rice-paddy-dryer-azbVRbhrmXzNnnLfcpf2dT5U.html?page=1&amp;pos=2&amp;cur_pos=2&amp;ads_per_page=20&amp;ads_count=102&amp;lid=8qzzo7ZBnTfimEql
	-André Troost</t>
        </r>
      </text>
    </comment>
    <comment ref="O18" authorId="0" shapeId="0" xr:uid="{00000000-0006-0000-0000-00001D000000}">
      <text>
        <r>
          <rPr>
            <sz val="10"/>
            <color rgb="FF000000"/>
            <rFont val="Arial"/>
            <family val="2"/>
            <scheme val="minor"/>
          </rPr>
          <t>Source: https://jiji.ng/kaduna-north/farm-machinery-equipment/n110-rice-mill-polisher-with-1115-diesel-engine-uOaouvPMH9o59ZKQYwqOx9or.html?page=1&amp;pos=2&amp;cur_pos=2&amp;ads_per_page=20&amp;ads_count=342&amp;lid=W0G80cF4RpcZ7vFV
	-André Troost</t>
        </r>
      </text>
    </comment>
    <comment ref="D19" authorId="0" shapeId="0" xr:uid="{00000000-0006-0000-0000-000027000000}">
      <text>
        <r>
          <rPr>
            <sz val="10"/>
            <color rgb="FF000000"/>
            <rFont val="Arial"/>
            <family val="2"/>
          </rPr>
          <t xml:space="preserve">500kg per batch (no time specification in source)
</t>
        </r>
        <r>
          <rPr>
            <sz val="10"/>
            <color rgb="FF000000"/>
            <rFont val="Arial"/>
            <family val="2"/>
          </rPr>
          <t xml:space="preserve">
</t>
        </r>
        <r>
          <rPr>
            <sz val="10"/>
            <color rgb="FF000000"/>
            <rFont val="Arial"/>
            <family val="2"/>
          </rPr>
          <t xml:space="preserve">It is assumed that it takes 6 hours to complete a batch
</t>
        </r>
        <r>
          <rPr>
            <sz val="10"/>
            <color rgb="FF000000"/>
            <rFont val="Arial"/>
            <family val="2"/>
          </rPr>
          <t xml:space="preserve">	-André Troost</t>
        </r>
      </text>
    </comment>
    <comment ref="D20" authorId="0" shapeId="0" xr:uid="{00000000-0006-0000-0000-000026000000}">
      <text>
        <r>
          <rPr>
            <sz val="10"/>
            <color rgb="FF000000"/>
            <rFont val="Arial"/>
            <family val="2"/>
          </rPr>
          <t xml:space="preserve">Source: https://jiji.ng/ibadan/farm-machinery-equipment/500kg-bed-dryer-lkeZBJM4YqBMhEWnEGVlCm7R.html?page=2&amp;pos=2&amp;cur_pos=2&amp;ads_per_page=17&amp;ads_count=90&amp;lid=8qzzo7ZBnTfimEql
</t>
        </r>
        <r>
          <rPr>
            <sz val="10"/>
            <color rgb="FF000000"/>
            <rFont val="Arial"/>
            <family val="2"/>
          </rPr>
          <t xml:space="preserve">	-André Troost</t>
        </r>
      </text>
    </comment>
    <comment ref="A22" authorId="0" shapeId="0" xr:uid="{00000000-0006-0000-0000-00002C000000}">
      <text>
        <r>
          <rPr>
            <sz val="10"/>
            <color rgb="FF000000"/>
            <rFont val="Arial"/>
            <family val="2"/>
          </rPr>
          <t xml:space="preserve">@andre.troost@tfe.energy consider protecting and locking the cells in this row, as well as other cells that might be derived from specific inputs, to ensure that they are not changed as the user makes inputs. Perhaps in the guidance doc we could say something like the cells highlighted in xx colour are locked and the cells non-highlighted fields are editable. Something like that
</t>
        </r>
        <r>
          <rPr>
            <sz val="10"/>
            <color rgb="FF000000"/>
            <rFont val="Arial"/>
            <family val="2"/>
          </rPr>
          <t xml:space="preserve">_Assigned to André Troost_
</t>
        </r>
        <r>
          <rPr>
            <sz val="10"/>
            <color rgb="FF000000"/>
            <rFont val="Arial"/>
            <family val="2"/>
          </rPr>
          <t xml:space="preserve">	-Ntsebo Sephelane
</t>
        </r>
        <r>
          <rPr>
            <sz val="10"/>
            <color rgb="FF000000"/>
            <rFont val="Arial"/>
            <family val="2"/>
          </rPr>
          <t xml:space="preserve">Good idea. All cells across the whole spreadsheet that the user should not change is now locked. Let me know if you're seeing that @ntsebo.sephelane@tfe.energy
</t>
        </r>
        <r>
          <rPr>
            <sz val="10"/>
            <color rgb="FF000000"/>
            <rFont val="Arial"/>
            <family val="2"/>
          </rPr>
          <t xml:space="preserve">_Reassigned to Ntsebo Sephelane_
</t>
        </r>
        <r>
          <rPr>
            <sz val="10"/>
            <color rgb="FF000000"/>
            <rFont val="Arial"/>
            <family val="2"/>
          </rPr>
          <t xml:space="preserve">	-André Troost
</t>
        </r>
        <r>
          <rPr>
            <sz val="10"/>
            <color rgb="FF000000"/>
            <rFont val="Arial"/>
            <family val="2"/>
          </rPr>
          <t xml:space="preserve">_Marked as done_
</t>
        </r>
        <r>
          <rPr>
            <sz val="10"/>
            <color rgb="FF000000"/>
            <rFont val="Arial"/>
            <family val="2"/>
          </rPr>
          <t xml:space="preserve">	-André Troost
</t>
        </r>
        <r>
          <rPr>
            <sz val="10"/>
            <color rgb="FF000000"/>
            <rFont val="Arial"/>
            <family val="2"/>
          </rPr>
          <t xml:space="preserve">_Re-opened_
</t>
        </r>
        <r>
          <rPr>
            <sz val="10"/>
            <color rgb="FF000000"/>
            <rFont val="Arial"/>
            <family val="2"/>
          </rPr>
          <t xml:space="preserve">Yes, it works !
</t>
        </r>
        <r>
          <rPr>
            <sz val="10"/>
            <color rgb="FF000000"/>
            <rFont val="Arial"/>
            <family val="2"/>
          </rPr>
          <t xml:space="preserve">	-Ntsebo Sephelane
</t>
        </r>
        <r>
          <rPr>
            <sz val="10"/>
            <color rgb="FF000000"/>
            <rFont val="Arial"/>
            <family val="2"/>
          </rPr>
          <t xml:space="preserve">great.
</t>
        </r>
        <r>
          <rPr>
            <sz val="10"/>
            <color rgb="FF000000"/>
            <rFont val="Arial"/>
            <family val="2"/>
          </rPr>
          <t xml:space="preserve">	-André Troost
</t>
        </r>
        <r>
          <rPr>
            <sz val="10"/>
            <color rgb="FF000000"/>
            <rFont val="Arial"/>
            <family val="2"/>
          </rPr>
          <t xml:space="preserve">it applies to the entire model, not only this sheet
</t>
        </r>
        <r>
          <rPr>
            <sz val="10"/>
            <color rgb="FF000000"/>
            <rFont val="Arial"/>
            <family val="2"/>
          </rPr>
          <t xml:space="preserve">	-André Troost</t>
        </r>
      </text>
    </comment>
    <comment ref="C35" authorId="0" shapeId="0" xr:uid="{00000000-0006-0000-0000-000036000000}">
      <text>
        <r>
          <rPr>
            <sz val="10"/>
            <color rgb="FF000000"/>
            <rFont val="Arial"/>
            <family val="2"/>
          </rPr>
          <t xml:space="preserve">Assumes USD = 1017 rwf
</t>
        </r>
        <r>
          <rPr>
            <sz val="10"/>
            <color rgb="FF000000"/>
            <rFont val="Arial"/>
            <family val="2"/>
          </rPr>
          <t xml:space="preserve">	-André Troost</t>
        </r>
      </text>
    </comment>
    <comment ref="C36" authorId="0" shapeId="0" xr:uid="{00000000-0006-0000-0000-000037000000}">
      <text>
        <r>
          <rPr>
            <sz val="10"/>
            <color rgb="FF000000"/>
            <rFont val="Arial"/>
            <family val="2"/>
          </rPr>
          <t xml:space="preserve">Assumes USD = 1017 rwf
</t>
        </r>
        <r>
          <rPr>
            <sz val="10"/>
            <color rgb="FF000000"/>
            <rFont val="Arial"/>
            <family val="2"/>
          </rPr>
          <t xml:space="preserve">	-André Troost</t>
        </r>
      </text>
    </comment>
    <comment ref="C37" authorId="0" shapeId="0" xr:uid="{00000000-0006-0000-0000-000035000000}">
      <text>
        <r>
          <rPr>
            <sz val="10"/>
            <color rgb="FF000000"/>
            <rFont val="Arial"/>
            <family val="2"/>
            <scheme val="minor"/>
          </rPr>
          <t>Assumes USD = 1017 rwf
	-André Troost</t>
        </r>
      </text>
    </comment>
    <comment ref="B41" authorId="0" shapeId="0" xr:uid="{00000000-0006-0000-0000-000038000000}">
      <text>
        <r>
          <rPr>
            <sz val="10"/>
            <color rgb="FF000000"/>
            <rFont val="Arial"/>
            <family val="2"/>
          </rPr>
          <t xml:space="preserve">Assumes RWF202000 per month at exchange of 1017 RWF per USD
</t>
        </r>
        <r>
          <rPr>
            <sz val="10"/>
            <color rgb="FF000000"/>
            <rFont val="Arial"/>
            <family val="2"/>
          </rPr>
          <t xml:space="preserve">	-André Troost</t>
        </r>
      </text>
    </comment>
    <comment ref="C43" authorId="0" shapeId="0" xr:uid="{00000000-0006-0000-0000-00002A000000}">
      <text>
        <r>
          <rPr>
            <sz val="10"/>
            <color rgb="FF000000"/>
            <rFont val="Arial"/>
            <family val="2"/>
          </rPr>
          <t xml:space="preserve">assuming the pump costs the same in Rwanda as in Zambia
</t>
        </r>
        <r>
          <rPr>
            <sz val="10"/>
            <color rgb="FF000000"/>
            <rFont val="Arial"/>
            <family val="2"/>
          </rPr>
          <t xml:space="preserve">	-André Troost</t>
        </r>
      </text>
    </comment>
    <comment ref="H43" authorId="0" shapeId="0" xr:uid="{00000000-0006-0000-0000-000029000000}">
      <text>
        <r>
          <rPr>
            <sz val="10"/>
            <color rgb="FF000000"/>
            <rFont val="Arial"/>
            <family val="2"/>
          </rPr>
          <t xml:space="preserve">assuming the pump costs the same in Rwanda as in Zambia
</t>
        </r>
        <r>
          <rPr>
            <sz val="10"/>
            <color rgb="FF000000"/>
            <rFont val="Arial"/>
            <family val="2"/>
          </rPr>
          <t xml:space="preserve">	-André Troost</t>
        </r>
      </text>
    </comment>
    <comment ref="N43" authorId="0" shapeId="0" xr:uid="{00000000-0006-0000-0000-000028000000}">
      <text>
        <r>
          <rPr>
            <sz val="10"/>
            <color rgb="FF000000"/>
            <rFont val="Arial"/>
            <family val="2"/>
          </rPr>
          <t xml:space="preserve">assuming the pump costs the same in Rwanda as in Zambia
</t>
        </r>
        <r>
          <rPr>
            <sz val="10"/>
            <color rgb="FF000000"/>
            <rFont val="Arial"/>
            <family val="2"/>
          </rPr>
          <t xml:space="preserve">	-André Troost</t>
        </r>
      </text>
    </comment>
    <comment ref="D46" authorId="0" shapeId="0" xr:uid="{00000000-0006-0000-0000-00001C000000}">
      <text>
        <r>
          <rPr>
            <sz val="10"/>
            <color rgb="FF000000"/>
            <rFont val="Arial"/>
            <family val="2"/>
          </rPr>
          <t xml:space="preserve">Source Easy Dry 500 maize dryer: https://www.acdivoca.org/easydry-m500-maize-dryer-overview-and-information-hub/
</t>
        </r>
        <r>
          <rPr>
            <sz val="10"/>
            <color rgb="FF000000"/>
            <rFont val="Arial"/>
            <family val="2"/>
          </rPr>
          <t xml:space="preserve">
</t>
        </r>
        <r>
          <rPr>
            <sz val="10"/>
            <color rgb="FF000000"/>
            <rFont val="Arial"/>
            <family val="2"/>
          </rPr>
          <t xml:space="preserve">Another option could be from source: https://www.mecmargroup.com/en/catalogo/mobile_dryers-2
</t>
        </r>
        <r>
          <rPr>
            <sz val="10"/>
            <color rgb="FF000000"/>
            <rFont val="Arial"/>
            <family val="2"/>
          </rPr>
          <t xml:space="preserve">
</t>
        </r>
        <r>
          <rPr>
            <sz val="10"/>
            <color rgb="FF000000"/>
            <rFont val="Arial"/>
            <family val="2"/>
          </rPr>
          <t xml:space="preserve">A higher power rating than other dryers is assumed considering the modernization of this equipment.
</t>
        </r>
        <r>
          <rPr>
            <sz val="10"/>
            <color rgb="FF000000"/>
            <rFont val="Arial"/>
            <family val="2"/>
          </rPr>
          <t xml:space="preserve">	-André Troost
</t>
        </r>
        <r>
          <rPr>
            <sz val="10"/>
            <color rgb="FF000000"/>
            <rFont val="Arial"/>
            <family val="2"/>
          </rPr>
          <t xml:space="preserve">see rows at bottom for exchange rate
</t>
        </r>
        <r>
          <rPr>
            <sz val="10"/>
            <color rgb="FF000000"/>
            <rFont val="Arial"/>
            <family val="2"/>
          </rPr>
          <t xml:space="preserve">	-André Troost</t>
        </r>
      </text>
    </comment>
    <comment ref="E46" authorId="0" shapeId="0" xr:uid="{00000000-0006-0000-0000-00001B000000}">
      <text>
        <r>
          <rPr>
            <sz val="10"/>
            <color rgb="FF000000"/>
            <rFont val="Arial"/>
            <family val="2"/>
          </rPr>
          <t xml:space="preserve">https://www.alibaba.com/product-detail/High-performance-maize-shelling-machine-in_1600582480867.html
</t>
        </r>
        <r>
          <rPr>
            <sz val="10"/>
            <color rgb="FF000000"/>
            <rFont val="Arial"/>
            <family val="2"/>
          </rPr>
          <t xml:space="preserve">	-André Troost</t>
        </r>
      </text>
    </comment>
    <comment ref="F46" authorId="0" shapeId="0" xr:uid="{00000000-0006-0000-0000-00001A000000}">
      <text>
        <r>
          <rPr>
            <sz val="10"/>
            <color rgb="FF000000"/>
            <rFont val="Arial"/>
            <family val="2"/>
            <scheme val="minor"/>
          </rPr>
          <t>Source: https://jiji.ug/central-division/farm-machinery-equipment/maize-hullir-with-engine-xwx4d0cUTP4YwRETc2UrEmAu.html?page=1&amp;pos=1&amp;cur_pos=1&amp;ads_per_page=5&amp;ads_count=5&amp;lid=82FqVZCUrsdsLFKb
	-André Troost</t>
        </r>
      </text>
    </comment>
    <comment ref="G46" authorId="0" shapeId="0" xr:uid="{00000000-0006-0000-0000-000019000000}">
      <text>
        <r>
          <rPr>
            <sz val="10"/>
            <color rgb="FF000000"/>
            <rFont val="Arial"/>
            <family val="2"/>
            <scheme val="minor"/>
          </rPr>
          <t>Source: https://jiji.ug/central-division/farm-machinery-equipment/maize-milling-machine-for-sale-iATxNTearr4J3vNpObxuq8Bb.html?page=2&amp;pos=3&amp;cur_pos=3&amp;ads_per_page=12&amp;ads_count=29&amp;lid=H2BM5JBFrR2Uhzpp
From Uganda
Also suitable for beans
	-André Troost</t>
        </r>
      </text>
    </comment>
    <comment ref="I46" authorId="0" shapeId="0" xr:uid="{00000000-0006-0000-0000-000018000000}">
      <text>
        <r>
          <rPr>
            <sz val="10"/>
            <color rgb="FF000000"/>
            <rFont val="Arial"/>
            <family val="2"/>
          </rPr>
          <t xml:space="preserve">Source: AgSol
</t>
        </r>
        <r>
          <rPr>
            <sz val="10"/>
            <color rgb="FF000000"/>
            <rFont val="Arial"/>
            <family val="2"/>
          </rPr>
          <t xml:space="preserve">https://agsol.com/wp-content/uploads/2020/07/Agsol-Catalogue.pdf
</t>
        </r>
        <r>
          <rPr>
            <sz val="10"/>
            <color rgb="FF000000"/>
            <rFont val="Arial"/>
            <family val="2"/>
          </rPr>
          <t xml:space="preserve">
</t>
        </r>
        <r>
          <rPr>
            <sz val="10"/>
            <color rgb="FF000000"/>
            <rFont val="Arial"/>
            <family val="2"/>
          </rPr>
          <t xml:space="preserve">Price: https://e4sv.org/wp-content/uploads/2020/12/2.2kW-Solar-Powered-3-phase-Agsol-Hammer-Milling-Machine-%E2%80%93-Pilot-Study-Results.docx.pdf
</t>
        </r>
        <r>
          <rPr>
            <sz val="10"/>
            <color rgb="FF000000"/>
            <rFont val="Arial"/>
            <family val="2"/>
          </rPr>
          <t xml:space="preserve">	-André Troost</t>
        </r>
      </text>
    </comment>
    <comment ref="K46" authorId="0" shapeId="0" xr:uid="{00000000-0006-0000-0000-000017000000}">
      <text>
        <r>
          <rPr>
            <sz val="10"/>
            <color rgb="FF000000"/>
            <rFont val="Arial"/>
            <family val="2"/>
          </rPr>
          <t xml:space="preserve">Source: https://www.adaptive.ag/shop/solar-bubble-dryer
</t>
        </r>
        <r>
          <rPr>
            <sz val="10"/>
            <color rgb="FF000000"/>
            <rFont val="Arial"/>
            <family val="2"/>
          </rPr>
          <t xml:space="preserve">
</t>
        </r>
        <r>
          <rPr>
            <sz val="10"/>
            <color rgb="FF000000"/>
            <rFont val="Arial"/>
            <family val="2"/>
          </rPr>
          <t xml:space="preserve">Can work also for other grains (I guess for maize also, cassava Im not sure)
</t>
        </r>
        <r>
          <rPr>
            <sz val="10"/>
            <color rgb="FF000000"/>
            <rFont val="Arial"/>
            <family val="2"/>
          </rPr>
          <t xml:space="preserve">
</t>
        </r>
        <r>
          <rPr>
            <sz val="10"/>
            <color rgb="FF000000"/>
            <rFont val="Arial"/>
            <family val="2"/>
          </rPr>
          <t xml:space="preserve">https://www.grainpro.com/grainpro-bubble-dryer
</t>
        </r>
        <r>
          <rPr>
            <sz val="10"/>
            <color rgb="FF000000"/>
            <rFont val="Arial"/>
            <family val="2"/>
          </rPr>
          <t xml:space="preserve">	-André Troost</t>
        </r>
      </text>
    </comment>
    <comment ref="L46" authorId="0" shapeId="0" xr:uid="{00000000-0006-0000-0000-000016000000}">
      <text>
        <r>
          <rPr>
            <sz val="10"/>
            <color rgb="FF000000"/>
            <rFont val="Arial"/>
            <family val="2"/>
          </rPr>
          <t xml:space="preserve">Source: https://jiji.ug/central-division/farm-machinery-equipment/beans-thresher-37WqGkaR6NozwbJM6wg77T2b.html?page=1&amp;pos=1&amp;cur_pos=1&amp;ads_per_page=4&amp;ads_count=3&amp;lid=7AS99EDHcP1-0HlX
</t>
        </r>
        <r>
          <rPr>
            <sz val="10"/>
            <color rgb="FF000000"/>
            <rFont val="Arial"/>
            <family val="2"/>
          </rPr>
          <t xml:space="preserve">	-André Troost</t>
        </r>
      </text>
    </comment>
    <comment ref="M46" authorId="0" shapeId="0" xr:uid="{00000000-0006-0000-0000-000015000000}">
      <text>
        <r>
          <rPr>
            <sz val="10"/>
            <color rgb="FF000000"/>
            <rFont val="Arial"/>
            <family val="2"/>
          </rPr>
          <t xml:space="preserve">Source: https://jiji.ug/central-division/farm-machinery-equipment/disc-mill-for-animal-feeds-dUgV8auyVzhfrcX1ZFDm4NAK.html?page=1&amp;pos=1&amp;cur_pos=1&amp;ads_per_page=1&amp;ads_count=1&amp;lid=o1iWlFCNn6F8QRI6
</t>
        </r>
        <r>
          <rPr>
            <sz val="10"/>
            <color rgb="FF000000"/>
            <rFont val="Arial"/>
            <family val="2"/>
          </rPr>
          <t xml:space="preserve">
</t>
        </r>
        <r>
          <rPr>
            <sz val="10"/>
            <color rgb="FF000000"/>
            <rFont val="Arial"/>
            <family val="2"/>
          </rPr>
          <t xml:space="preserve">From Uganda - disc mill
</t>
        </r>
        <r>
          <rPr>
            <sz val="10"/>
            <color rgb="FF000000"/>
            <rFont val="Arial"/>
            <family val="2"/>
          </rPr>
          <t xml:space="preserve">	-André Troost</t>
        </r>
      </text>
    </comment>
    <comment ref="C63" authorId="0" shapeId="0" xr:uid="{00000000-0006-0000-0000-000034000000}">
      <text>
        <r>
          <rPr>
            <sz val="10"/>
            <color rgb="FF000000"/>
            <rFont val="Arial"/>
            <family val="2"/>
            <scheme val="minor"/>
          </rPr>
          <t>https://www.zipar.org.zm/a-cost-reflective-tariff-damned-if-we-dont/
	-André Troost</t>
        </r>
      </text>
    </comment>
    <comment ref="C64" authorId="0" shapeId="0" xr:uid="{00000000-0006-0000-0000-000033000000}">
      <text>
        <r>
          <rPr>
            <sz val="10"/>
            <color rgb="FF000000"/>
            <rFont val="Arial"/>
            <family val="2"/>
            <scheme val="minor"/>
          </rPr>
          <t>From Engie data in focus group. Assumes usd = 17 kwacha
	-André Troost</t>
        </r>
      </text>
    </comment>
    <comment ref="C65" authorId="0" shapeId="0" xr:uid="{00000000-0006-0000-0000-000032000000}">
      <text>
        <r>
          <rPr>
            <sz val="10"/>
            <color rgb="FF000000"/>
            <rFont val="Arial"/>
            <family val="2"/>
            <scheme val="minor"/>
          </rPr>
          <t>https://www.erb.org.zm/wp-content/uploads/monthlyRetailPumpPrices2022.pdf. Assumes USD= 17 KWACHA
	-André Troost</t>
        </r>
      </text>
    </comment>
    <comment ref="B69" authorId="0" shapeId="0" xr:uid="{00000000-0006-0000-0000-000031000000}">
      <text>
        <r>
          <rPr>
            <sz val="10"/>
            <color rgb="FF000000"/>
            <rFont val="Arial"/>
            <family val="2"/>
          </rPr>
          <t xml:space="preserve">http://salaryexplorer.com/ ASSUMES usd=17 KWACHA
</t>
        </r>
        <r>
          <rPr>
            <sz val="10"/>
            <color rgb="FF000000"/>
            <rFont val="Arial"/>
            <family val="2"/>
          </rPr>
          <t xml:space="preserve">	-André Troost</t>
        </r>
      </text>
    </comment>
    <comment ref="D74" authorId="0" shapeId="0" xr:uid="{00000000-0006-0000-0000-000014000000}">
      <text>
        <r>
          <rPr>
            <sz val="10"/>
            <color rgb="FF000000"/>
            <rFont val="Arial"/>
            <family val="2"/>
          </rPr>
          <t xml:space="preserve">Source: https://www.camco.cn/product/maize-sheller/
</t>
        </r>
        <r>
          <rPr>
            <sz val="10"/>
            <color rgb="FF000000"/>
            <rFont val="Arial"/>
            <family val="2"/>
          </rPr>
          <t xml:space="preserve">Price (in comments of post): https://m.facebook.com/camcozambia/posts/4197044043638928?locale2=en_GB
</t>
        </r>
        <r>
          <rPr>
            <sz val="10"/>
            <color rgb="FF000000"/>
            <rFont val="Arial"/>
            <family val="2"/>
          </rPr>
          <t xml:space="preserve">	-André Troost</t>
        </r>
      </text>
    </comment>
    <comment ref="E74" authorId="0" shapeId="0" xr:uid="{00000000-0006-0000-0000-000013000000}">
      <text>
        <r>
          <rPr>
            <sz val="10"/>
            <color rgb="FF000000"/>
            <rFont val="Arial"/>
            <family val="2"/>
            <scheme val="minor"/>
          </rPr>
          <t>Source: https://www.camco.cn/product/maize-deluller/
Price: https://m.facebook.com/camcozambia/posts/maize-dehuller-durable-and-affordable-maize-dehullers-available-in-all-our-outle/4397535320256465/?locale2=fr_CA&amp;_se_imp=2qU4h0txLkWskSihN
	-André Troost</t>
        </r>
      </text>
    </comment>
    <comment ref="F74" authorId="0" shapeId="0" xr:uid="{00000000-0006-0000-0000-000012000000}">
      <text>
        <r>
          <rPr>
            <sz val="10"/>
            <color rgb="FF000000"/>
            <rFont val="Arial"/>
            <family val="2"/>
            <scheme val="minor"/>
          </rPr>
          <t>Source: https://www.camco.cn/product/hammer-mill/
Price: https://m.facebook.com/camcozambia/photos/a.1526803647329661/4062059640470703/?_se_imp=2Rp6JXQpLZZ2c2kZf
	-André Troost</t>
        </r>
      </text>
    </comment>
    <comment ref="H74" authorId="0" shapeId="0" xr:uid="{00000000-0006-0000-0000-000011000000}">
      <text>
        <r>
          <rPr>
            <sz val="10"/>
            <color rgb="FF000000"/>
            <rFont val="Arial"/>
            <family val="2"/>
            <scheme val="minor"/>
          </rPr>
          <t>Source: https://m.facebook.com/camcozambia/photos/cassava-processing-machineriesgood-news-to-all-cassava-farmerscamco-has-you-cove/4143469985663001/?_se_imp=2ntHkhc4ZXiBY0Z1n
No power rating specified, estimated from NIG machine
	-André Troost</t>
        </r>
      </text>
    </comment>
    <comment ref="I74" authorId="0" shapeId="0" xr:uid="{00000000-0006-0000-0000-000010000000}">
      <text>
        <r>
          <rPr>
            <sz val="10"/>
            <color rgb="FF000000"/>
            <rFont val="Arial"/>
            <family val="2"/>
            <scheme val="minor"/>
          </rPr>
          <t>https://www.alibaba.com/product-detail/Cassava-grater-cassava-grating-machine-for_60763620952.html?spm=a2700.galleryofferlist.normal_offer.d_title.4aca188eDjsroG
	-André Troost</t>
        </r>
      </text>
    </comment>
    <comment ref="J74" authorId="0" shapeId="0" xr:uid="{00000000-0006-0000-0000-00000F000000}">
      <text>
        <r>
          <rPr>
            <sz val="10"/>
            <color rgb="FF000000"/>
            <rFont val="Arial"/>
            <family val="2"/>
            <scheme val="minor"/>
          </rPr>
          <t>Source: https://www.camco.cn/product/hammer-mill/
Price: https://m.facebook.com/camcozambia/photos/a.1526803647329661/4062059640470703/?_se_imp=2Rp6JXQpLZZ2c2kZf
	-André Troost</t>
        </r>
      </text>
    </comment>
    <comment ref="K74" authorId="0" shapeId="0" xr:uid="{00000000-0006-0000-0000-00000E000000}">
      <text>
        <r>
          <rPr>
            <sz val="10"/>
            <color rgb="FF000000"/>
            <rFont val="Arial"/>
            <family val="2"/>
            <scheme val="minor"/>
          </rPr>
          <t>Source: https://m.facebook.com/camcozambia/photos/cassava-processing-machineriesgood-news-to-all-cassava-farmerscamco-has-you-cove/4143469985663001/?_se_imp=2ntHkhc4ZXiBY0Z1n
Power rating not specified. Example from https://www.cornmachine.com/cassva-chipper-machine.html
	-André Troost</t>
        </r>
      </text>
    </comment>
    <comment ref="M74" authorId="0" shapeId="0" xr:uid="{00000000-0006-0000-0000-00000D000000}">
      <text>
        <r>
          <rPr>
            <sz val="10"/>
            <color rgb="FF000000"/>
            <rFont val="Arial"/>
            <family val="2"/>
          </rPr>
          <t xml:space="preserve">Source: https://www.camco.cn/product/peanut-sheller/
</t>
        </r>
        <r>
          <rPr>
            <sz val="10"/>
            <color rgb="FF000000"/>
            <rFont val="Arial"/>
            <family val="2"/>
          </rPr>
          <t xml:space="preserve">
</t>
        </r>
        <r>
          <rPr>
            <sz val="10"/>
            <color rgb="FF000000"/>
            <rFont val="Arial"/>
            <family val="2"/>
          </rPr>
          <t xml:space="preserve">Price (FB): https://mk-mk.facebook.com/camcozambia/posts/4478199142190082
</t>
        </r>
        <r>
          <rPr>
            <sz val="10"/>
            <color rgb="FF000000"/>
            <rFont val="Arial"/>
            <family val="2"/>
          </rPr>
          <t xml:space="preserve">	-André Troost</t>
        </r>
      </text>
    </comment>
    <comment ref="N74" authorId="0" shapeId="0" xr:uid="{00000000-0006-0000-0000-00000C000000}">
      <text>
        <r>
          <rPr>
            <sz val="10"/>
            <color rgb="FF000000"/>
            <rFont val="Arial"/>
            <family val="2"/>
            <scheme val="minor"/>
          </rPr>
          <t>Source: https://www.camco.cn/product/oil-expeller/
Price: https://m.facebook.com/camcozambia/photos/a.1526803647329661/5523002954376357/
	-André Troost</t>
        </r>
      </text>
    </comment>
    <comment ref="P74" authorId="0" shapeId="0" xr:uid="{00000000-0006-0000-0000-00000B000000}">
      <text>
        <r>
          <rPr>
            <sz val="10"/>
            <color rgb="FF000000"/>
            <rFont val="Arial"/>
            <family val="2"/>
            <scheme val="minor"/>
          </rPr>
          <t>Source: https://www.camco.cn/product/peanut-butter-machine/
Price: https://m.facebook.com/camcozambia/videos/peanut-butter-making-machinezmk-14500join-entrepreneurship-today-by-engaging-val/502766897623080/?_se_imp=2OcmI0wbfNeK0xRjp
	-André Troost</t>
        </r>
      </text>
    </comment>
    <comment ref="C91" authorId="0" shapeId="0" xr:uid="{00000000-0006-0000-0000-000030000000}">
      <text>
        <r>
          <rPr>
            <sz val="10"/>
            <color rgb="FF000000"/>
            <rFont val="Arial"/>
            <family val="2"/>
          </rPr>
          <t xml:space="preserve">focus group
</t>
        </r>
        <r>
          <rPr>
            <sz val="10"/>
            <color rgb="FF000000"/>
            <rFont val="Arial"/>
            <family val="2"/>
          </rPr>
          <t xml:space="preserve">	-André Troost</t>
        </r>
      </text>
    </comment>
    <comment ref="C92" authorId="0" shapeId="0" xr:uid="{00000000-0006-0000-0000-00002F000000}">
      <text>
        <r>
          <rPr>
            <sz val="10"/>
            <color rgb="FF000000"/>
            <rFont val="Arial"/>
            <family val="2"/>
          </rPr>
          <t xml:space="preserve">focus group
</t>
        </r>
        <r>
          <rPr>
            <sz val="10"/>
            <color rgb="FF000000"/>
            <rFont val="Arial"/>
            <family val="2"/>
          </rPr>
          <t xml:space="preserve">	-André Troost</t>
        </r>
      </text>
    </comment>
    <comment ref="C93" authorId="0" shapeId="0" xr:uid="{00000000-0006-0000-0000-00002E000000}">
      <text>
        <r>
          <rPr>
            <sz val="10"/>
            <color rgb="FF000000"/>
            <rFont val="Arial"/>
            <family val="2"/>
          </rPr>
          <t xml:space="preserve">https://www.zera.co.zw/
</t>
        </r>
        <r>
          <rPr>
            <sz val="10"/>
            <color rgb="FF000000"/>
            <rFont val="Arial"/>
            <family val="2"/>
          </rPr>
          <t xml:space="preserve">	-André Troost</t>
        </r>
      </text>
    </comment>
    <comment ref="B97" authorId="0" shapeId="0" xr:uid="{00000000-0006-0000-0000-00002D000000}">
      <text>
        <r>
          <rPr>
            <sz val="10"/>
            <color rgb="FF000000"/>
            <rFont val="Arial"/>
            <family val="2"/>
          </rPr>
          <t xml:space="preserve">salaryexplorer.com Assumes exchange rate of 1 usd = 362 ZWD
</t>
        </r>
        <r>
          <rPr>
            <sz val="10"/>
            <color rgb="FF000000"/>
            <rFont val="Arial"/>
            <family val="2"/>
          </rPr>
          <t xml:space="preserve">	-André Troost</t>
        </r>
      </text>
    </comment>
    <comment ref="D102" authorId="0" shapeId="0" xr:uid="{00000000-0006-0000-0000-00000A000000}">
      <text>
        <r>
          <rPr>
            <sz val="10"/>
            <color rgb="FF000000"/>
            <rFont val="Arial"/>
            <family val="2"/>
          </rPr>
          <t xml:space="preserve">Source: http://www.kurimamachinery.com/product/multi-crop-thresher/
</t>
        </r>
        <r>
          <rPr>
            <sz val="10"/>
            <color rgb="FF000000"/>
            <rFont val="Arial"/>
            <family val="2"/>
          </rPr>
          <t xml:space="preserve">
</t>
        </r>
        <r>
          <rPr>
            <sz val="10"/>
            <color rgb="FF000000"/>
            <rFont val="Arial"/>
            <family val="2"/>
          </rPr>
          <t xml:space="preserve">Price: https://www.facebook.com/KurimaZim/photos/a.631382143959585/1396637887434003/
</t>
        </r>
        <r>
          <rPr>
            <sz val="10"/>
            <color rgb="FF000000"/>
            <rFont val="Arial"/>
            <family val="2"/>
          </rPr>
          <t xml:space="preserve">https://www.facebook.com/KurimaZim/videos/multi-crop-thresher/670392244063984/
</t>
        </r>
        <r>
          <rPr>
            <sz val="10"/>
            <color rgb="FF000000"/>
            <rFont val="Arial"/>
            <family val="2"/>
          </rPr>
          <t xml:space="preserve">	-André Troost</t>
        </r>
      </text>
    </comment>
    <comment ref="E102" authorId="0" shapeId="0" xr:uid="{00000000-0006-0000-0000-000009000000}">
      <text>
        <r>
          <rPr>
            <sz val="10"/>
            <color rgb="FF000000"/>
            <rFont val="Arial"/>
            <family val="2"/>
            <scheme val="minor"/>
          </rPr>
          <t>Source: https://www.tanroy.com/products/dehuller_electric/343
Price: https://www.facebook.com/tanroyengineering/photos/p.2985390521471970/2985390521471970/?type=3
Power rating is assumed to be the same as same machinery in Zambia and Rwanda
	-André Troost</t>
        </r>
      </text>
    </comment>
    <comment ref="F102" authorId="0" shapeId="0" xr:uid="{00000000-0006-0000-0000-000008000000}">
      <text>
        <r>
          <rPr>
            <sz val="10"/>
            <color rgb="FF000000"/>
            <rFont val="Arial"/>
            <family val="2"/>
            <scheme val="minor"/>
          </rPr>
          <t>https://agic.en.alibaba.com/product/60840606636-804140541/Local_price_maize_grinding_mill_for_sale_in_Zimbabwe.html
	-André Troost</t>
        </r>
      </text>
    </comment>
    <comment ref="H102" authorId="0" shapeId="0" xr:uid="{00000000-0006-0000-0000-000007000000}">
      <text>
        <r>
          <rPr>
            <sz val="10"/>
            <color rgb="FF000000"/>
            <rFont val="Arial"/>
            <family val="2"/>
          </rPr>
          <t xml:space="preserve">https://www.agriuniverse.co.zw/machinery-tools-and-equipment/grinding-mills-shelling-machines-peanut-butter-making-machines-etc/peanut-sheller-for-sale.html
</t>
        </r>
        <r>
          <rPr>
            <sz val="10"/>
            <color rgb="FF000000"/>
            <rFont val="Arial"/>
            <family val="2"/>
          </rPr>
          <t xml:space="preserve">	-André Troost</t>
        </r>
      </text>
    </comment>
    <comment ref="I102" authorId="0" shapeId="0" xr:uid="{00000000-0006-0000-0000-000006000000}">
      <text>
        <r>
          <rPr>
            <sz val="10"/>
            <color rgb="FF000000"/>
            <rFont val="Arial"/>
            <family val="2"/>
            <scheme val="minor"/>
          </rPr>
          <t>Source: https://www.facebook.com/tanroyengineering
Power rating: https://www.indiamart.com/proddetail/groundnut-deskinner-split-cum-grader-17727022291.html
	-André Troost</t>
        </r>
      </text>
    </comment>
    <comment ref="J102" authorId="0" shapeId="0" xr:uid="{00000000-0006-0000-0000-000005000000}">
      <text>
        <r>
          <rPr>
            <sz val="10"/>
            <color rgb="FF000000"/>
            <rFont val="Arial"/>
            <family val="2"/>
            <scheme val="minor"/>
          </rPr>
          <t>Source: https://www.facebook.com/tanroyengineering
	-André Troost
Same as groundnut oil pressing machine in Zambia.
	-André Troost</t>
        </r>
      </text>
    </comment>
    <comment ref="K102" authorId="0" shapeId="0" xr:uid="{00000000-0006-0000-0000-000004000000}">
      <text>
        <r>
          <rPr>
            <sz val="10"/>
            <color rgb="FF000000"/>
            <rFont val="Arial"/>
            <family val="2"/>
            <scheme val="minor"/>
          </rPr>
          <t>https://www.alibaba.com/product-detail/Peanut-Butter-Grinding-Machine-Price-List_60795163884.html
	-André Troost</t>
        </r>
      </text>
    </comment>
    <comment ref="M102" authorId="0" shapeId="0" xr:uid="{00000000-0006-0000-0000-000003000000}">
      <text>
        <r>
          <rPr>
            <sz val="10"/>
            <color rgb="FF000000"/>
            <rFont val="Arial"/>
            <family val="2"/>
            <scheme val="minor"/>
          </rPr>
          <t>Source: http://www.kurimamachinery.com/product/multi-crop-thresher/
Price: https://www.facebook.com/KurimaZim/photos/a.631382143959585/1396637887434003/
https://www.facebook.com/KurimaZim/videos/multi-crop-thresher/670392244063984/
	-André Troost</t>
        </r>
      </text>
    </comment>
    <comment ref="N102" authorId="0" shapeId="0" xr:uid="{00000000-0006-0000-0000-000002000000}">
      <text>
        <r>
          <rPr>
            <sz val="10"/>
            <color rgb="FF000000"/>
            <rFont val="Arial"/>
            <family val="2"/>
            <scheme val="minor"/>
          </rPr>
          <t>https://www.agriuniverse.co.zw/machinery-tools-and-equipment/grinding-mills-shelling-machines-peanut-butter-making-machines-etc/dehuller-chisvuuriso-for-sale.html
	-André Troost
assuming more expensive and less throughput. advertised machine is diesel
	-André Troost</t>
        </r>
      </text>
    </comment>
    <comment ref="O102" authorId="0" shapeId="0" xr:uid="{00000000-0006-0000-0000-000001000000}">
      <text>
        <r>
          <rPr>
            <sz val="10"/>
            <color rgb="FF000000"/>
            <rFont val="Arial"/>
            <family val="2"/>
            <scheme val="minor"/>
          </rPr>
          <t>Same as maize - althoug different throughput
	-André Troost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00000000-0006-0000-0100-000029000000}">
      <text>
        <r>
          <rPr>
            <sz val="10"/>
            <color rgb="FF000000"/>
            <rFont val="Arial"/>
            <family val="2"/>
          </rPr>
          <t xml:space="preserve">0.4 FROM https://www.tridge.com/intelligences/corn/NG/price
</t>
        </r>
        <r>
          <rPr>
            <sz val="10"/>
            <color rgb="FF000000"/>
            <rFont val="Arial"/>
            <family val="2"/>
          </rPr>
          <t xml:space="preserve">	-André Troost</t>
        </r>
      </text>
    </comment>
    <comment ref="G6" authorId="0" shapeId="0" xr:uid="{00000000-0006-0000-0100-000001000000}">
      <text>
        <r>
          <rPr>
            <sz val="10"/>
            <color rgb="FF000000"/>
            <rFont val="Arial"/>
            <family val="2"/>
            <scheme val="minor"/>
          </rPr>
          <t>Source: USAID PUE report
	-André Troost</t>
        </r>
      </text>
    </comment>
    <comment ref="L6" authorId="0" shapeId="0" xr:uid="{00000000-0006-0000-0100-000024000000}">
      <text>
        <r>
          <rPr>
            <sz val="10"/>
            <color rgb="FF000000"/>
            <rFont val="Arial"/>
            <family val="2"/>
          </rPr>
          <t xml:space="preserve">The 121 has been taken from this source: 
</t>
        </r>
        <r>
          <rPr>
            <sz val="10"/>
            <color rgb="FF000000"/>
            <rFont val="Arial"/>
            <family val="2"/>
          </rPr>
          <t xml:space="preserve">
</t>
        </r>
        <r>
          <rPr>
            <sz val="10"/>
            <color rgb="FF000000"/>
            <rFont val="Arial"/>
            <family val="2"/>
          </rPr>
          <t xml:space="preserve">VALUE CHAIN ASSESSMENT OF RICE, TOMATO AND WHEAT FOR APPEALS
</t>
        </r>
        <r>
          <rPr>
            <sz val="10"/>
            <color rgb="FF000000"/>
            <rFont val="Arial"/>
            <family val="2"/>
          </rPr>
          <t xml:space="preserve">PROJECT IN KANO STATE, NIGERIA (2019)
</t>
        </r>
        <r>
          <rPr>
            <sz val="10"/>
            <color rgb="FF000000"/>
            <rFont val="Arial"/>
            <family val="2"/>
          </rPr>
          <t xml:space="preserve">
</t>
        </r>
        <r>
          <rPr>
            <sz val="10"/>
            <color rgb="FF000000"/>
            <rFont val="Arial"/>
            <family val="2"/>
          </rPr>
          <t xml:space="preserve">https://www.kanostateappealsproject.org/pdfs/DRAFT-VALUE-CHAIN-ASSESSMENT-REPORT-min.pdf
</t>
        </r>
        <r>
          <rPr>
            <sz val="10"/>
            <color rgb="FF000000"/>
            <rFont val="Arial"/>
            <family val="2"/>
          </rPr>
          <t xml:space="preserve">
</t>
        </r>
        <r>
          <rPr>
            <sz val="10"/>
            <color rgb="FF000000"/>
            <rFont val="Arial"/>
            <family val="2"/>
          </rPr>
          <t xml:space="preserve">Specific value can be found in Table 3.6 of the report.
</t>
        </r>
        <r>
          <rPr>
            <sz val="10"/>
            <color rgb="FF000000"/>
            <rFont val="Arial"/>
            <family val="2"/>
          </rPr>
          <t xml:space="preserve">	-André Troost</t>
        </r>
      </text>
    </comment>
    <comment ref="E7" authorId="0" shapeId="0" xr:uid="{00000000-0006-0000-0100-000028000000}">
      <text>
        <r>
          <rPr>
            <sz val="10"/>
            <color rgb="FF000000"/>
            <rFont val="Arial"/>
            <family val="2"/>
            <scheme val="minor"/>
          </rPr>
          <t>Source: Olayinka Yusuf interview
	-André Troost</t>
        </r>
      </text>
    </comment>
    <comment ref="F7" authorId="0" shapeId="0" xr:uid="{00000000-0006-0000-0100-000027000000}">
      <text>
        <r>
          <rPr>
            <sz val="10"/>
            <color rgb="FF000000"/>
            <rFont val="Arial"/>
            <family val="2"/>
          </rPr>
          <t xml:space="preserve">Source: USAID PUE report
</t>
        </r>
        <r>
          <rPr>
            <sz val="10"/>
            <color rgb="FF000000"/>
            <rFont val="Arial"/>
            <family val="2"/>
          </rPr>
          <t xml:space="preserve">Assumption: 0.017 USD/kg represents the processing fee of maize milling as indicated by USAID. It is assumed that this is the minimum profit margin expected from milling.
</t>
        </r>
        <r>
          <rPr>
            <sz val="10"/>
            <color rgb="FF000000"/>
            <rFont val="Arial"/>
            <family val="2"/>
          </rPr>
          <t xml:space="preserve">	-André Troost</t>
        </r>
      </text>
    </comment>
    <comment ref="M7" authorId="0" shapeId="0" xr:uid="{00000000-0006-0000-0100-000023000000}">
      <text>
        <r>
          <rPr>
            <sz val="10"/>
            <color rgb="FF000000"/>
            <rFont val="Arial"/>
            <family val="2"/>
            <scheme val="minor"/>
          </rPr>
          <t>Source: USAID PUE report
	-André Troost</t>
        </r>
      </text>
    </comment>
    <comment ref="N7" authorId="0" shapeId="0" xr:uid="{00000000-0006-0000-0100-000022000000}">
      <text>
        <r>
          <rPr>
            <sz val="10"/>
            <color rgb="FF000000"/>
            <rFont val="Arial"/>
            <family val="2"/>
            <scheme val="minor"/>
          </rPr>
          <t>Source: "Policy Brief: The impact of mechanization in
smallholder rice production in Nigeria" 2021
	-André Troost</t>
        </r>
      </text>
    </comment>
    <comment ref="O7" authorId="0" shapeId="0" xr:uid="{00000000-0006-0000-0100-000021000000}">
      <text>
        <r>
          <rPr>
            <sz val="10"/>
            <color rgb="FF000000"/>
            <rFont val="Arial"/>
            <family val="2"/>
            <scheme val="minor"/>
          </rPr>
          <t>Source: USAID PUE report (checked with FEWS April 2022 market price of rice)
	-André Troost</t>
        </r>
      </text>
    </comment>
    <comment ref="E8" authorId="0" shapeId="0" xr:uid="{00000000-0006-0000-0100-000025000000}">
      <text>
        <r>
          <rPr>
            <sz val="10"/>
            <color rgb="FF000000"/>
            <rFont val="Arial"/>
            <family val="2"/>
            <scheme val="minor"/>
          </rPr>
          <t>https://planbiz.com.ng/maize-flour-production-in-nigeria/
	-André Troost</t>
        </r>
      </text>
    </comment>
    <comment ref="F8" authorId="0" shapeId="0" xr:uid="{00000000-0006-0000-0100-000026000000}">
      <text>
        <r>
          <rPr>
            <sz val="10"/>
            <color rgb="FF000000"/>
            <rFont val="Arial"/>
            <family val="2"/>
            <scheme val="minor"/>
          </rPr>
          <t>https://planbiz.com.ng/maize-flour-production-in-nigeria/
	-André Troost</t>
        </r>
      </text>
    </comment>
    <comment ref="G8" authorId="0" shapeId="0" xr:uid="{00000000-0006-0000-0100-000019000000}">
      <text>
        <r>
          <rPr>
            <sz val="10"/>
            <color rgb="FF000000"/>
            <rFont val="Arial"/>
            <family val="2"/>
            <scheme val="minor"/>
          </rPr>
          <t>https://openknowledge.worldbank.org/server/api/core/bitstreams/67895866-6d05-5a9d-afc6-d28b5f13a8fb/content
	-André Troost</t>
        </r>
      </text>
    </comment>
    <comment ref="H8" authorId="0" shapeId="0" xr:uid="{00000000-0006-0000-0100-00001C000000}">
      <text>
        <r>
          <rPr>
            <sz val="10"/>
            <color rgb="FF000000"/>
            <rFont val="Arial"/>
            <family val="2"/>
            <scheme val="minor"/>
          </rPr>
          <t>https://openknowledge.worldbank.org/server/api/core/bitstreams/67895866-6d05-5a9d-afc6-d28b5f13a8fb/content
	-André Troost</t>
        </r>
      </text>
    </comment>
    <comment ref="I8" authorId="0" shapeId="0" xr:uid="{00000000-0006-0000-0100-00001B000000}">
      <text>
        <r>
          <rPr>
            <sz val="10"/>
            <color rgb="FF000000"/>
            <rFont val="Arial"/>
            <family val="2"/>
            <scheme val="minor"/>
          </rPr>
          <t>https://openknowledge.worldbank.org/server/api/core/bitstreams/67895866-6d05-5a9d-afc6-d28b5f13a8fb/content
	-André Troost</t>
        </r>
      </text>
    </comment>
    <comment ref="J8" authorId="0" shapeId="0" xr:uid="{00000000-0006-0000-0100-00001A000000}">
      <text>
        <r>
          <rPr>
            <sz val="10"/>
            <color rgb="FF000000"/>
            <rFont val="Arial"/>
            <family val="2"/>
          </rPr>
          <t xml:space="preserve">https://openknowledge.worldbank.org/server/api/core/bitstreams/67895866-6d05-5a9d-afc6-d28b5f13a8fb/content
</t>
        </r>
        <r>
          <rPr>
            <sz val="10"/>
            <color rgb="FF000000"/>
            <rFont val="Arial"/>
            <family val="2"/>
          </rPr>
          <t xml:space="preserve">	-André Troost</t>
        </r>
      </text>
    </comment>
    <comment ref="K8" authorId="0" shapeId="0" xr:uid="{00000000-0006-0000-0100-000018000000}">
      <text>
        <r>
          <rPr>
            <sz val="10"/>
            <color rgb="FF000000"/>
            <rFont val="Arial"/>
            <family val="2"/>
            <scheme val="minor"/>
          </rPr>
          <t>https://openknowledge.worldbank.org/server/api/core/bitstreams/67895866-6d05-5a9d-afc6-d28b5f13a8fb/content
	-André Troost</t>
        </r>
      </text>
    </comment>
    <comment ref="D12" authorId="0" shapeId="0" xr:uid="{00000000-0006-0000-0100-000020000000}">
      <text>
        <r>
          <rPr>
            <sz val="10"/>
            <color rgb="FF000000"/>
            <rFont val="Arial"/>
            <family val="2"/>
            <scheme val="minor"/>
          </rPr>
          <t>Source: https://rwandainspirer.com/2021/02/05/minicom-sets-maize-price-for-first-quarter-2021/
	-André Troost</t>
        </r>
      </text>
    </comment>
    <comment ref="H12" authorId="0" shapeId="0" xr:uid="{00000000-0006-0000-0100-00001D000000}">
      <text>
        <r>
          <rPr>
            <sz val="10"/>
            <color rgb="FF000000"/>
            <rFont val="Arial"/>
            <family val="2"/>
            <scheme val="minor"/>
          </rPr>
          <t>https://www.newtimes.co.rw/news/cassava-farmers-decry-low-prices
Price that Kinazi cassava plant pays to farmers for cassava fresh tubers
	-André Troost</t>
        </r>
      </text>
    </comment>
    <comment ref="I12" authorId="0" shapeId="0" xr:uid="{00000000-0006-0000-0100-000017000000}">
      <text>
        <r>
          <rPr>
            <sz val="10"/>
            <color rgb="FF000000"/>
            <rFont val="Arial"/>
            <family val="2"/>
            <scheme val="minor"/>
          </rPr>
          <t>Source: FAOstat - Producer prices 2020
	-André Troost</t>
        </r>
      </text>
    </comment>
    <comment ref="J12" authorId="0" shapeId="0" xr:uid="{00000000-0006-0000-0100-000016000000}">
      <text>
        <r>
          <rPr>
            <sz val="10"/>
            <color rgb="FF000000"/>
            <rFont val="Arial"/>
            <family val="2"/>
            <scheme val="minor"/>
          </rPr>
          <t>Farmgate price: https://www.fao.org/faostat/en/#data/PP
	-André Troost</t>
        </r>
      </text>
    </comment>
    <comment ref="D13" authorId="0" shapeId="0" xr:uid="{00000000-0006-0000-0100-00001F000000}">
      <text>
        <r>
          <rPr>
            <sz val="10"/>
            <color rgb="FF000000"/>
            <rFont val="Arial"/>
            <family val="2"/>
            <scheme val="minor"/>
          </rPr>
          <t>Source: FAOstat - Producer prices 2020
	-André Troost</t>
        </r>
      </text>
    </comment>
    <comment ref="G13" authorId="0" shapeId="0" xr:uid="{00000000-0006-0000-0100-00001E000000}">
      <text>
        <r>
          <rPr>
            <sz val="10"/>
            <color rgb="FF000000"/>
            <rFont val="Arial"/>
            <family val="2"/>
            <scheme val="minor"/>
          </rPr>
          <t>Source: https://open.unido.org/api/documents/5328232/download/Maize%20in%20Rwanda%20-%20A%20Value%20Chain%20Analysis (2012)
The increase in profit (%) is considered.
	-André Troost</t>
        </r>
      </text>
    </comment>
    <comment ref="J13" authorId="0" shapeId="0" xr:uid="{00000000-0006-0000-0100-000015000000}">
      <text>
        <r>
          <rPr>
            <sz val="10"/>
            <color rgb="FF000000"/>
            <rFont val="Arial"/>
            <family val="2"/>
          </rPr>
          <t xml:space="preserve">considering 15% profit margin
</t>
        </r>
        <r>
          <rPr>
            <sz val="10"/>
            <color rgb="FF000000"/>
            <rFont val="Arial"/>
            <family val="2"/>
          </rPr>
          <t xml:space="preserve">	-André Troost</t>
        </r>
      </text>
    </comment>
    <comment ref="D18" authorId="0" shapeId="0" xr:uid="{00000000-0006-0000-0100-000013000000}">
      <text>
        <r>
          <rPr>
            <sz val="10"/>
            <color rgb="FF000000"/>
            <rFont val="Arial"/>
            <family val="2"/>
            <scheme val="minor"/>
          </rPr>
          <t>Source: FAOstat - Producer prices 2018
Same as price reported by FEWS NET in https://fews.net/sites/default/files/documents/reports/PW_GLOBAL_202207_Final.pdf
	-André Troost</t>
        </r>
      </text>
    </comment>
    <comment ref="H18" authorId="0" shapeId="0" xr:uid="{00000000-0006-0000-0100-000011000000}">
      <text>
        <r>
          <rPr>
            <sz val="10"/>
            <color rgb="FF000000"/>
            <rFont val="Arial"/>
            <family val="2"/>
            <scheme val="minor"/>
          </rPr>
          <t>Source: articles
https://www.lusakatimes.com/2019/09/20/cassava-farmers-not-happy-with-the-floor-price/
https://www.aatf-africa.org/removing-drudgery-from-cassava-farming-success-for-farmer-stephania-kunda-in-zambia/
	-André Troost</t>
        </r>
      </text>
    </comment>
    <comment ref="L18" authorId="0" shapeId="0" xr:uid="{00000000-0006-0000-0100-00000F000000}">
      <text>
        <r>
          <rPr>
            <sz val="10"/>
            <color rgb="FF000000"/>
            <rFont val="Arial"/>
            <family val="2"/>
            <scheme val="minor"/>
          </rPr>
          <t>https://zambianbusinesstimes.com/groundnut-prices-double-within-one-year/
	-André Troost</t>
        </r>
      </text>
    </comment>
    <comment ref="P18" authorId="0" shapeId="0" xr:uid="{00000000-0006-0000-0100-00000B000000}">
      <text>
        <r>
          <rPr>
            <sz val="10"/>
            <color rgb="FF000000"/>
            <rFont val="Arial"/>
            <family val="2"/>
            <scheme val="minor"/>
          </rPr>
          <t>https://www.selinawamucii.com/insights/prices/zambia/groundnuts-peanuts/#:~:text=In%202023%2C%20the%20approximate%20price,727.95%20in%20Kitwe%20and%20Lusaka.
	-André Troost</t>
        </r>
      </text>
    </comment>
    <comment ref="C19" authorId="0" shapeId="0" xr:uid="{00000000-0006-0000-0100-000014000000}">
      <text>
        <r>
          <rPr>
            <sz val="10"/>
            <color rgb="FF000000"/>
            <rFont val="Arial"/>
            <family val="2"/>
            <scheme val="minor"/>
          </rPr>
          <t>Assuming a 30% mark up thanks to improved produce as a result of better watering from irrigation
	-André Troost</t>
        </r>
      </text>
    </comment>
    <comment ref="F19" authorId="0" shapeId="0" xr:uid="{00000000-0006-0000-0100-000012000000}">
      <text>
        <r>
          <rPr>
            <sz val="10"/>
            <color rgb="FF000000"/>
            <rFont val="Arial"/>
            <family val="2"/>
            <scheme val="minor"/>
          </rPr>
          <t>Source: FEWs NET Global price watch July 2022 - Zambia Roller Maize Meal
https://fews.net/sites/default/files/documents/reports/PW_GLOBAL_202207_Final.pdf
	-André Troost</t>
        </r>
      </text>
    </comment>
    <comment ref="J19" authorId="0" shapeId="0" xr:uid="{00000000-0006-0000-0100-000010000000}">
      <text>
        <r>
          <rPr>
            <sz val="10"/>
            <color rgb="FF000000"/>
            <rFont val="Arial"/>
            <family val="2"/>
            <scheme val="minor"/>
          </rPr>
          <t>Source: FAOstat - Producer prices 2019 (not sure what end product is referred to)
Article from 2020 mentions selling price of 0.27 USD/kg for cassava flour. https://www.howwemadeitinafrica.com/cassava-gets-new-use-in-zambia-hand-sanitiser/65719/
	-André Troost</t>
        </r>
      </text>
    </comment>
    <comment ref="N19" authorId="0" shapeId="0" xr:uid="{00000000-0006-0000-0100-00000D000000}">
      <text>
        <r>
          <rPr>
            <sz val="10"/>
            <color rgb="FF000000"/>
            <rFont val="Arial"/>
            <family val="2"/>
            <scheme val="minor"/>
          </rPr>
          <t>https://diggers.news/local/2022/03/18/prices-of-cooking-oil-will-continue-rising-chibumba/
	-André Troost</t>
        </r>
      </text>
    </comment>
    <comment ref="P19" authorId="0" shapeId="0" xr:uid="{00000000-0006-0000-0100-00000A000000}">
      <text>
        <r>
          <rPr>
            <sz val="10"/>
            <color rgb="FF000000"/>
            <rFont val="Arial"/>
            <family val="2"/>
            <scheme val="minor"/>
          </rPr>
          <t>Source: article https://www.moneyfmzambia.com/2021/02/18/basic-commodities-on-the-increase/
	-André Troost
reducing price because sourced price was retail. need wholesale
	-André Troost</t>
        </r>
      </text>
    </comment>
    <comment ref="M20" authorId="0" shapeId="0" xr:uid="{00000000-0006-0000-0100-00000E000000}">
      <text>
        <r>
          <rPr>
            <sz val="10"/>
            <color rgb="FF000000"/>
            <rFont val="Arial"/>
            <family val="2"/>
            <scheme val="minor"/>
          </rPr>
          <t>margins derived from: https://faolex.fao.org/docs/pdf/zam189991.pdf
	-André Troost</t>
        </r>
      </text>
    </comment>
    <comment ref="O20" authorId="0" shapeId="0" xr:uid="{00000000-0006-0000-0100-00000C000000}">
      <text>
        <r>
          <rPr>
            <sz val="10"/>
            <color rgb="FF000000"/>
            <rFont val="Arial"/>
            <family val="2"/>
            <scheme val="minor"/>
          </rPr>
          <t>margins derived from: https://faolex.fao.org/docs/pdf/zam189991.pdf
	-André Troost</t>
        </r>
      </text>
    </comment>
    <comment ref="D24" authorId="0" shapeId="0" xr:uid="{00000000-0006-0000-0100-000009000000}">
      <text>
        <r>
          <rPr>
            <sz val="10"/>
            <color rgb="FF000000"/>
            <rFont val="Arial"/>
            <family val="2"/>
          </rPr>
          <t xml:space="preserve">Source: Thomas Mupetesi 
</t>
        </r>
        <r>
          <rPr>
            <sz val="10"/>
            <color rgb="FF000000"/>
            <rFont val="Arial"/>
            <family val="2"/>
          </rPr>
          <t xml:space="preserve">
</t>
        </r>
        <r>
          <rPr>
            <sz val="10"/>
            <color rgb="FF000000"/>
            <rFont val="Arial"/>
            <family val="2"/>
          </rPr>
          <t xml:space="preserve">FAOstat - Producer prices 2018 states a value of 0.39 USD/kg
</t>
        </r>
        <r>
          <rPr>
            <sz val="10"/>
            <color rgb="FF000000"/>
            <rFont val="Arial"/>
            <family val="2"/>
          </rPr>
          <t xml:space="preserve">	-André Troost</t>
        </r>
      </text>
    </comment>
    <comment ref="G24" authorId="0" shapeId="0" xr:uid="{00000000-0006-0000-0100-000006000000}">
      <text>
        <r>
          <rPr>
            <sz val="10"/>
            <color rgb="FF000000"/>
            <rFont val="Arial"/>
            <family val="2"/>
            <scheme val="minor"/>
          </rPr>
          <t>https://ama.co.zw/wp-content/uploads/2022/03/Bulletin-Number-1-of-2022.pdf
	-André Troost</t>
        </r>
      </text>
    </comment>
    <comment ref="H24" authorId="0" shapeId="0" xr:uid="{00000000-0006-0000-0100-000005000000}">
      <text>
        <r>
          <rPr>
            <sz val="10"/>
            <color rgb="FF000000"/>
            <rFont val="Arial"/>
            <family val="2"/>
            <scheme val="minor"/>
          </rPr>
          <t>https://ama.co.zw/wp-content/uploads/2022/03/Bulletin-Number-1-of-2022.pdf
	-André Troost</t>
        </r>
      </text>
    </comment>
    <comment ref="D25" authorId="0" shapeId="0" xr:uid="{00000000-0006-0000-0100-000008000000}">
      <text>
        <r>
          <rPr>
            <sz val="10"/>
            <color rgb="FF000000"/>
            <rFont val="Arial"/>
            <family val="2"/>
            <scheme val="minor"/>
          </rPr>
          <t>20% MARGIN. See F 25
	-André Troost</t>
        </r>
      </text>
    </comment>
    <comment ref="F25" authorId="0" shapeId="0" xr:uid="{00000000-0006-0000-0100-000007000000}">
      <text>
        <r>
          <rPr>
            <sz val="10"/>
            <color rgb="FF000000"/>
            <rFont val="Arial"/>
            <family val="2"/>
            <scheme val="minor"/>
          </rPr>
          <t>interview with guy from zim. A Profit margin in general.
	-André Troost</t>
        </r>
      </text>
    </comment>
    <comment ref="H25" authorId="0" shapeId="0" xr:uid="{00000000-0006-0000-0100-000004000000}">
      <text>
        <r>
          <rPr>
            <sz val="10"/>
            <color rgb="FF000000"/>
            <rFont val="Arial"/>
            <family val="2"/>
            <scheme val="minor"/>
          </rPr>
          <t>Source: Thomas Mupetesi
	-André Troost</t>
        </r>
      </text>
    </comment>
    <comment ref="K25" authorId="0" shapeId="0" xr:uid="{00000000-0006-0000-0100-000003000000}">
      <text>
        <r>
          <rPr>
            <sz val="10"/>
            <color rgb="FF000000"/>
            <rFont val="Arial"/>
            <family val="2"/>
            <scheme val="minor"/>
          </rPr>
          <t>converting from retail to wholesale
	-André Troost</t>
        </r>
      </text>
    </comment>
    <comment ref="M25" authorId="0" shapeId="0" xr:uid="{00000000-0006-0000-0100-000002000000}">
      <text>
        <r>
          <rPr>
            <sz val="10"/>
            <color rgb="FF000000"/>
            <rFont val="Arial"/>
            <family val="2"/>
            <scheme val="minor"/>
          </rPr>
          <t>Source: Thomas Mupetesi
FAOstat - Producer prices 2018 states a value of 0.39 USD/kg
	-André Troost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2" authorId="0" shapeId="0" xr:uid="{00000000-0006-0000-0200-000002000000}">
      <text>
        <r>
          <rPr>
            <sz val="10"/>
            <color rgb="FF000000"/>
            <rFont val="Arial"/>
            <family val="2"/>
            <scheme val="minor"/>
          </rPr>
          <t>Assumes 2 trips per week for half of the year (i.e. 48 trips) and 100km to market and back
	-André Troost</t>
        </r>
      </text>
    </comment>
    <comment ref="B30" authorId="0" shapeId="0" xr:uid="{00000000-0006-0000-0200-000001000000}">
      <text>
        <r>
          <rPr>
            <sz val="10"/>
            <color rgb="FF000000"/>
            <rFont val="Arial"/>
            <family val="2"/>
          </rPr>
          <t xml:space="preserve">@andre.troost@tfe.energy is it possible to also move this dropdown into the high level inputs sheet? So the question to the user would be something like what is the source of electricity for your equipment? And then the if statement is written in B15 of this sheet, drawing from the input?
</t>
        </r>
        <r>
          <rPr>
            <sz val="10"/>
            <color rgb="FF000000"/>
            <rFont val="Arial"/>
            <family val="2"/>
          </rPr>
          <t xml:space="preserve">_Assigned to André Troost_
</t>
        </r>
        <r>
          <rPr>
            <sz val="10"/>
            <color rgb="FF000000"/>
            <rFont val="Arial"/>
            <family val="2"/>
          </rPr>
          <t xml:space="preserve">	-Ntsebo Sephelane
</t>
        </r>
        <r>
          <rPr>
            <sz val="10"/>
            <color rgb="FF000000"/>
            <rFont val="Arial"/>
            <family val="2"/>
          </rPr>
          <t xml:space="preserve">This also applies to location and irrigation season columns that follow from here
</t>
        </r>
        <r>
          <rPr>
            <sz val="10"/>
            <color rgb="FF000000"/>
            <rFont val="Arial"/>
            <family val="2"/>
          </rPr>
          <t xml:space="preserve">	-Ntsebo Sephelane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5" authorId="0" shapeId="0" xr:uid="{00000000-0006-0000-0400-000009000000}">
      <text>
        <r>
          <rPr>
            <sz val="10"/>
            <color rgb="FF000000"/>
            <rFont val="Arial"/>
            <family val="2"/>
          </rPr>
          <t xml:space="preserve">According to crop calendar: 2 seasons of maize production which have 3 and 4 months of growing stages.
</t>
        </r>
        <r>
          <rPr>
            <sz val="10"/>
            <color rgb="FF000000"/>
            <rFont val="Arial"/>
            <family val="2"/>
          </rPr>
          <t xml:space="preserve">	-André Troost</t>
        </r>
      </text>
    </comment>
    <comment ref="C15" authorId="0" shapeId="0" xr:uid="{00000000-0006-0000-0400-000008000000}">
      <text>
        <r>
          <rPr>
            <sz val="10"/>
            <color rgb="FF000000"/>
            <rFont val="Arial"/>
            <family val="2"/>
            <scheme val="minor"/>
          </rPr>
          <t>According to crop calendar: harvest is done after 12-18 months of planting (growing season of 12-18 months). It is assumed that water from irrigation is required all year long.
	-André Troost</t>
        </r>
      </text>
    </comment>
    <comment ref="D15" authorId="0" shapeId="0" xr:uid="{00000000-0006-0000-0400-000007000000}">
      <text>
        <r>
          <rPr>
            <sz val="10"/>
            <color rgb="FF000000"/>
            <rFont val="Arial"/>
            <family val="2"/>
            <scheme val="minor"/>
          </rPr>
          <t>According to crop calendar: 2 seasons of rice production which have 2 and 2 months of growing stages.
	-André Troost</t>
        </r>
      </text>
    </comment>
    <comment ref="B16" authorId="0" shapeId="0" xr:uid="{00000000-0006-0000-0400-000006000000}">
      <text>
        <r>
          <rPr>
            <sz val="10"/>
            <color rgb="FF000000"/>
            <rFont val="Arial"/>
            <family val="2"/>
          </rPr>
          <t xml:space="preserve">3 months maize + 3 months tomato
</t>
        </r>
        <r>
          <rPr>
            <sz val="10"/>
            <color rgb="FF000000"/>
            <rFont val="Arial"/>
            <family val="2"/>
          </rPr>
          <t xml:space="preserve">	-André Troost
</t>
        </r>
        <r>
          <rPr>
            <sz val="10"/>
            <color rgb="FF000000"/>
            <rFont val="Arial"/>
            <family val="2"/>
          </rPr>
          <t xml:space="preserve">Tomato growing stage is 60-90 days long
</t>
        </r>
        <r>
          <rPr>
            <sz val="10"/>
            <color rgb="FF000000"/>
            <rFont val="Arial"/>
            <family val="2"/>
          </rPr>
          <t xml:space="preserve">	-André Troost</t>
        </r>
      </text>
    </comment>
    <comment ref="C16" authorId="0" shapeId="0" xr:uid="{00000000-0006-0000-0400-000005000000}">
      <text>
        <r>
          <rPr>
            <sz val="10"/>
            <color rgb="FF000000"/>
            <rFont val="Arial"/>
            <family val="2"/>
            <scheme val="minor"/>
          </rPr>
          <t>No tomato
	-André Troost</t>
        </r>
      </text>
    </comment>
    <comment ref="D16" authorId="0" shapeId="0" xr:uid="{00000000-0006-0000-0400-000004000000}">
      <text>
        <r>
          <rPr>
            <sz val="10"/>
            <color rgb="FF000000"/>
            <rFont val="Arial"/>
            <family val="2"/>
            <scheme val="minor"/>
          </rPr>
          <t>2 months rice + 3 months tomato
	-André Troost
Tomato growing stage is 60-90 days long
	-André Troost</t>
        </r>
      </text>
    </comment>
    <comment ref="A19" authorId="0" shapeId="0" xr:uid="{00000000-0006-0000-0400-000003000000}">
      <text>
        <r>
          <rPr>
            <sz val="10"/>
            <color rgb="FF000000"/>
            <rFont val="Arial"/>
            <family val="2"/>
            <scheme val="minor"/>
          </rPr>
          <t>This data is annual, but can be regarded as seasonal because it speaks to rainfed agriculture, which is one season per year
	-André Troost</t>
        </r>
      </text>
    </comment>
    <comment ref="B19" authorId="0" shapeId="0" xr:uid="{00000000-0006-0000-0400-00000E000000}">
      <text>
        <r>
          <rPr>
            <sz val="10"/>
            <color rgb="FF000000"/>
            <rFont val="Arial"/>
            <family val="2"/>
          </rPr>
          <t xml:space="preserve">SPAM Data
</t>
        </r>
        <r>
          <rPr>
            <sz val="10"/>
            <color rgb="FF000000"/>
            <rFont val="Arial"/>
            <family val="2"/>
          </rPr>
          <t xml:space="preserve">	-André Troost</t>
        </r>
      </text>
    </comment>
    <comment ref="C19" authorId="0" shapeId="0" xr:uid="{00000000-0006-0000-0400-00000D000000}">
      <text>
        <r>
          <rPr>
            <sz val="10"/>
            <color rgb="FF000000"/>
            <rFont val="Arial"/>
            <family val="2"/>
            <scheme val="minor"/>
          </rPr>
          <t>SPAM Data
	-André Troost</t>
        </r>
      </text>
    </comment>
    <comment ref="B21" authorId="0" shapeId="0" xr:uid="{00000000-0006-0000-0400-000014000000}">
      <text>
        <r>
          <rPr>
            <sz val="10"/>
            <color rgb="FF000000"/>
            <rFont val="Arial"/>
            <family val="2"/>
            <scheme val="minor"/>
          </rPr>
          <t>https://www.yieldgap.org/gygaviewer/index.html. Selected Indonesia data because no data for nigeria
	-André Troost</t>
        </r>
      </text>
    </comment>
    <comment ref="C21" authorId="0" shapeId="0" xr:uid="{00000000-0006-0000-0400-000013000000}">
      <text>
        <r>
          <rPr>
            <sz val="10"/>
            <color rgb="FF000000"/>
            <rFont val="Arial"/>
            <family val="2"/>
            <scheme val="minor"/>
          </rPr>
          <t>https://www.yieldgap.org/gygaviewer/index.html
	-André Troost</t>
        </r>
      </text>
    </comment>
    <comment ref="D21" authorId="0" shapeId="0" xr:uid="{00000000-0006-0000-0400-000011000000}">
      <text>
        <r>
          <rPr>
            <sz val="10"/>
            <color rgb="FF000000"/>
            <rFont val="Arial"/>
            <family val="2"/>
            <scheme val="minor"/>
          </rPr>
          <t>https://www.researchgate.net/publication/315773421_EFFECT_OF_SUPPLEMENTAL_IRRIGATION_ON_GROWTH_DEVELOPMENT_AND_YIELD_OF_CASSAVA_UNDER_DRIP_IRRIGATION_SYSTEM_IN_AKURE_ONDO_STATE_NIGERIA
	-André Troost</t>
        </r>
      </text>
    </comment>
    <comment ref="B22" authorId="0" shapeId="0" xr:uid="{00000000-0006-0000-0400-00000F000000}">
      <text>
        <r>
          <rPr>
            <sz val="10"/>
            <color rgb="FF000000"/>
            <rFont val="Arial"/>
            <family val="2"/>
            <scheme val="minor"/>
          </rPr>
          <t>https://www.yieldgap.org/gygaviewer/index.html. Selected Indonesia data because no data for nigeria
	-André Troost</t>
        </r>
      </text>
    </comment>
    <comment ref="C22" authorId="0" shapeId="0" xr:uid="{00000000-0006-0000-0400-000010000000}">
      <text>
        <r>
          <rPr>
            <sz val="10"/>
            <color rgb="FF000000"/>
            <rFont val="Arial"/>
            <family val="2"/>
            <scheme val="minor"/>
          </rPr>
          <t>https://www.yieldgap.org/gygaviewer/index.html
	-André Troost</t>
        </r>
      </text>
    </comment>
    <comment ref="D22" authorId="0" shapeId="0" xr:uid="{00000000-0006-0000-0400-000012000000}">
      <text>
        <r>
          <rPr>
            <sz val="10"/>
            <color rgb="FF000000"/>
            <rFont val="Arial"/>
            <family val="2"/>
            <scheme val="minor"/>
          </rPr>
          <t>https://wiredspace.wits.ac.za/items/7772d4f9-6e29-432d-986b-fb46eee7b699
	-André Troost
https://www.researchgate.net/publication/315773421_EFFECT_OF_SUPPLEMENTAL_IRRIGATION_ON_GROWTH_DEVELOPMENT_AND_YIELD_OF_CASSAVA_UNDER_DRIP_IRRIGATION_SYSTEM_IN_AKURE_ONDO_STATE_NIGERIA
	-André Troost</t>
        </r>
      </text>
    </comment>
    <comment ref="B25" authorId="0" shapeId="0" xr:uid="{00000000-0006-0000-0400-00000C000000}">
      <text>
        <r>
          <rPr>
            <sz val="10"/>
            <color rgb="FF000000"/>
            <rFont val="Arial"/>
            <family val="2"/>
          </rPr>
          <t xml:space="preserve">Calculated using escalation factors form Gygaviewer data (SPAM does not have irrigation data)
</t>
        </r>
        <r>
          <rPr>
            <sz val="10"/>
            <color rgb="FF000000"/>
            <rFont val="Arial"/>
            <family val="2"/>
          </rPr>
          <t xml:space="preserve">	-André Troost</t>
        </r>
      </text>
    </comment>
    <comment ref="C25" authorId="0" shapeId="0" xr:uid="{00000000-0006-0000-0400-00000B000000}">
      <text>
        <r>
          <rPr>
            <sz val="10"/>
            <color rgb="FF000000"/>
            <rFont val="Arial"/>
            <family val="2"/>
            <scheme val="minor"/>
          </rPr>
          <t>Calculated using escalation factors form Gygaviewer data (SPAM does not have irrigation data)
	-André Troost</t>
        </r>
      </text>
    </comment>
    <comment ref="B26" authorId="0" shapeId="0" xr:uid="{00000000-0006-0000-0400-00000A000000}">
      <text>
        <r>
          <rPr>
            <sz val="10"/>
            <color rgb="FF000000"/>
            <rFont val="Arial"/>
            <family val="2"/>
            <scheme val="minor"/>
          </rPr>
          <t>50kg basket at N5000 in low season (Nov-Feb) going to N20000 in high season (Apr-Sep) https://veggiegrow.ng/tomato-farming-in-nigeria/
	-André Troost
----
Average between 5 tn/ha and 12.5 tn/ha, take from different sources:
5 tn/ha per season: https://agri-logic.nl/wp-content/uploads/2021/05/Annex-D-Scoping-report.pdf
12.5 tn/ha per season: https://veggiegrow.ng/tomato-farming-in-nigeria/
	-André Troost</t>
        </r>
      </text>
    </comment>
    <comment ref="B45" authorId="0" shapeId="0" xr:uid="{00000000-0006-0000-0400-000002000000}">
      <text>
        <r>
          <rPr>
            <sz val="10"/>
            <color rgb="FF000000"/>
            <rFont val="Arial"/>
            <family val="2"/>
          </rPr>
          <t xml:space="preserve">Average between 5 tn/ha and 12.5 tn/ha, take from different sources:
</t>
        </r>
        <r>
          <rPr>
            <sz val="10"/>
            <color rgb="FF000000"/>
            <rFont val="Arial"/>
            <family val="2"/>
          </rPr>
          <t xml:space="preserve">
</t>
        </r>
        <r>
          <rPr>
            <sz val="10"/>
            <color rgb="FF000000"/>
            <rFont val="Arial"/>
            <family val="2"/>
          </rPr>
          <t xml:space="preserve">5 tn/ha per season: https://agri-logic.nl/wp-content/uploads/2021/05/Annex-D-Scoping-report.pdf
</t>
        </r>
        <r>
          <rPr>
            <sz val="10"/>
            <color rgb="FF000000"/>
            <rFont val="Arial"/>
            <family val="2"/>
          </rPr>
          <t xml:space="preserve">
</t>
        </r>
        <r>
          <rPr>
            <sz val="10"/>
            <color rgb="FF000000"/>
            <rFont val="Arial"/>
            <family val="2"/>
          </rPr>
          <t xml:space="preserve">12.5 tn/ha per season: https://veggiegrow.ng/tomato-farming-in-nigeria/
</t>
        </r>
        <r>
          <rPr>
            <sz val="10"/>
            <color rgb="FF000000"/>
            <rFont val="Arial"/>
            <family val="2"/>
          </rPr>
          <t xml:space="preserve">	-André Troost</t>
        </r>
      </text>
    </comment>
    <comment ref="B46" authorId="0" shapeId="0" xr:uid="{00000000-0006-0000-0400-000001000000}">
      <text>
        <r>
          <rPr>
            <sz val="10"/>
            <color rgb="FF000000"/>
            <rFont val="Arial"/>
            <family val="2"/>
          </rPr>
          <t xml:space="preserve">50kg basket at N5000 in low season (Nov-Feb) going to N20000 in high season (Apr-Sep) https://veggiegrow.ng/tomato-farming-in-nigeria/
</t>
        </r>
        <r>
          <rPr>
            <sz val="10"/>
            <color rgb="FF000000"/>
            <rFont val="Arial"/>
            <family val="2"/>
          </rPr>
          <t xml:space="preserve">	-André Troost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5" authorId="0" shapeId="0" xr:uid="{00000000-0006-0000-0500-00000B000000}">
      <text>
        <r>
          <rPr>
            <sz val="10"/>
            <color rgb="FF000000"/>
            <rFont val="Arial"/>
            <family val="2"/>
          </rPr>
          <t xml:space="preserve">According to crop calendar: 2 seasons of maize production which have 2 and 2 months of growing stages.
</t>
        </r>
        <r>
          <rPr>
            <sz val="10"/>
            <color rgb="FF000000"/>
            <rFont val="Arial"/>
            <family val="2"/>
          </rPr>
          <t xml:space="preserve">	-André Troost</t>
        </r>
      </text>
    </comment>
    <comment ref="C15" authorId="0" shapeId="0" xr:uid="{00000000-0006-0000-0500-00000A000000}">
      <text>
        <r>
          <rPr>
            <sz val="10"/>
            <color rgb="FF000000"/>
            <rFont val="Arial"/>
            <family val="2"/>
            <scheme val="minor"/>
          </rPr>
          <t>According to crop calendar: harvest is done after 16 months of planting (growing season of 16 months). It is assumed that water from irrigation is required all year long.
	-André Troost</t>
        </r>
      </text>
    </comment>
    <comment ref="D15" authorId="0" shapeId="0" xr:uid="{00000000-0006-0000-0500-000009000000}">
      <text>
        <r>
          <rPr>
            <sz val="10"/>
            <color rgb="FF000000"/>
            <rFont val="Arial"/>
            <family val="2"/>
            <scheme val="minor"/>
          </rPr>
          <t>According to crop calendar: 2 seasons of beans production which have 1 and 1 months of growing stages.
	-André Troost</t>
        </r>
      </text>
    </comment>
    <comment ref="B16" authorId="0" shapeId="0" xr:uid="{00000000-0006-0000-0500-000008000000}">
      <text>
        <r>
          <rPr>
            <sz val="10"/>
            <color rgb="FF000000"/>
            <rFont val="Arial"/>
            <family val="2"/>
            <scheme val="minor"/>
          </rPr>
          <t>2 months maize + 2 months tomato
	-André Troost
Tomato growing stage is 60 days
	-André Troost</t>
        </r>
      </text>
    </comment>
    <comment ref="C16" authorId="0" shapeId="0" xr:uid="{00000000-0006-0000-0500-000007000000}">
      <text>
        <r>
          <rPr>
            <sz val="10"/>
            <color rgb="FF000000"/>
            <rFont val="Arial"/>
            <family val="2"/>
            <scheme val="minor"/>
          </rPr>
          <t>No tomato
	-André Troost</t>
        </r>
      </text>
    </comment>
    <comment ref="D16" authorId="0" shapeId="0" xr:uid="{00000000-0006-0000-0500-000006000000}">
      <text>
        <r>
          <rPr>
            <sz val="10"/>
            <color rgb="FF000000"/>
            <rFont val="Arial"/>
            <family val="2"/>
            <scheme val="minor"/>
          </rPr>
          <t>1 month beans + 2 months tomato
	-André Troost
Tomato growing stage is 60 days
	-André Troost</t>
        </r>
      </text>
    </comment>
    <comment ref="A19" authorId="0" shapeId="0" xr:uid="{00000000-0006-0000-0500-00000C000000}">
      <text>
        <r>
          <rPr>
            <sz val="10"/>
            <color rgb="FF000000"/>
            <rFont val="Arial"/>
            <family val="2"/>
            <scheme val="minor"/>
          </rPr>
          <t>This data is annual, but can be regarded as seasonal because it speaks to rainfed agriculture, which is one season per year
	-André Troost</t>
        </r>
      </text>
    </comment>
    <comment ref="B21" authorId="0" shapeId="0" xr:uid="{00000000-0006-0000-0500-000004000000}">
      <text>
        <r>
          <rPr>
            <sz val="10"/>
            <color rgb="FF000000"/>
            <rFont val="Arial"/>
            <family val="2"/>
            <scheme val="minor"/>
          </rPr>
          <t>https://www.yieldgap.org/gygaviewer/index.html. Selected Indonesia data because no data for rwanda
	-André Troost</t>
        </r>
      </text>
    </comment>
    <comment ref="C21" authorId="0" shapeId="0" xr:uid="{00000000-0006-0000-0500-000002000000}">
      <text>
        <r>
          <rPr>
            <sz val="10"/>
            <color rgb="FF000000"/>
            <rFont val="Arial"/>
            <family val="2"/>
            <scheme val="minor"/>
          </rPr>
          <t>https://www.yieldgap.org/gygaviewer/index.html selected nigeria data because no data for rwanda
	-André Troost</t>
        </r>
      </text>
    </comment>
    <comment ref="D21" authorId="0" shapeId="0" xr:uid="{00000000-0006-0000-0500-00000D000000}">
      <text>
        <r>
          <rPr>
            <sz val="10"/>
            <color rgb="FF000000"/>
            <rFont val="Arial"/>
            <family val="2"/>
            <scheme val="minor"/>
          </rPr>
          <t>https://www.scielo.br/j/rbeaa/a/rhKbzzLRHgmswvVsrZ3pNJM/?format=pdf&amp;lang=en
	-André Troost
Data from Brazil, no data for Rwanda
	-André Troost</t>
        </r>
      </text>
    </comment>
    <comment ref="B22" authorId="0" shapeId="0" xr:uid="{00000000-0006-0000-0500-000003000000}">
      <text>
        <r>
          <rPr>
            <sz val="10"/>
            <color rgb="FF000000"/>
            <rFont val="Arial"/>
            <family val="2"/>
            <scheme val="minor"/>
          </rPr>
          <t>https://www.yieldgap.org/gygaviewer/index.html. Selected Indonesia data because no data for rwanda
	-André Troost</t>
        </r>
      </text>
    </comment>
    <comment ref="C22" authorId="0" shapeId="0" xr:uid="{00000000-0006-0000-0500-000001000000}">
      <text>
        <r>
          <rPr>
            <sz val="10"/>
            <color rgb="FF000000"/>
            <rFont val="Arial"/>
            <family val="2"/>
            <scheme val="minor"/>
          </rPr>
          <t>https://www.yieldgap.org/gygaviewer/index.html selected nigeria data because no data for rwanda
	-André Troost</t>
        </r>
      </text>
    </comment>
    <comment ref="D22" authorId="0" shapeId="0" xr:uid="{00000000-0006-0000-0500-00000E000000}">
      <text>
        <r>
          <rPr>
            <sz val="10"/>
            <color rgb="FF000000"/>
            <rFont val="Arial"/>
            <family val="2"/>
            <scheme val="minor"/>
          </rPr>
          <t>https://www.sciencedirect.com/science/article/abs/pii/S0304423817304168
	-André Troost
Data from Egypt, no data for Rwanda
	-André Troost</t>
        </r>
      </text>
    </comment>
    <comment ref="B47" authorId="0" shapeId="0" xr:uid="{00000000-0006-0000-0500-000005000000}">
      <text>
        <r>
          <rPr>
            <sz val="10"/>
            <color rgb="FF000000"/>
            <rFont val="Arial"/>
            <family val="2"/>
          </rPr>
          <t xml:space="preserve">https://www.yumpu.com/en/document/read/55380329/smart-tomato-supply-chain-analysis-for-rwanda
</t>
        </r>
        <r>
          <rPr>
            <sz val="10"/>
            <color rgb="FF000000"/>
            <rFont val="Arial"/>
            <family val="2"/>
          </rPr>
          <t xml:space="preserve">	-André Troost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5" authorId="0" shapeId="0" xr:uid="{00000000-0006-0000-0600-00000B000000}">
      <text>
        <r>
          <rPr>
            <sz val="10"/>
            <color rgb="FF000000"/>
            <rFont val="Arial"/>
            <family val="2"/>
          </rPr>
          <t xml:space="preserve">According to crop calendar: 1 season of maize production with a growing stage of 5 months. 2 seasons of maize: 5 months each growing stage
</t>
        </r>
        <r>
          <rPr>
            <sz val="10"/>
            <color rgb="FF000000"/>
            <rFont val="Arial"/>
            <family val="2"/>
          </rPr>
          <t xml:space="preserve">	-André Troost</t>
        </r>
      </text>
    </comment>
    <comment ref="C15" authorId="0" shapeId="0" xr:uid="{00000000-0006-0000-0600-00000A000000}">
      <text>
        <r>
          <rPr>
            <sz val="10"/>
            <color rgb="FF000000"/>
            <rFont val="Arial"/>
            <family val="2"/>
            <scheme val="minor"/>
          </rPr>
          <t>Assumed as Nigeria and Rwanda since no specific crop calendar for cassava in Zambia has been found
	-André Troost</t>
        </r>
      </text>
    </comment>
    <comment ref="D15" authorId="0" shapeId="0" xr:uid="{00000000-0006-0000-0600-000009000000}">
      <text>
        <r>
          <rPr>
            <sz val="10"/>
            <color rgb="FF000000"/>
            <rFont val="Arial"/>
            <family val="2"/>
            <scheme val="minor"/>
          </rPr>
          <t>According to crop calendar: 1 season of groundnut production with 4 months of growing stage.
	-André Troost
2 seasons of groundnuts: 4 months each growing stage
	-André Troost</t>
        </r>
      </text>
    </comment>
    <comment ref="B16" authorId="0" shapeId="0" xr:uid="{00000000-0006-0000-0600-000008000000}">
      <text>
        <r>
          <rPr>
            <sz val="10"/>
            <color rgb="FF000000"/>
            <rFont val="Arial"/>
            <family val="2"/>
            <scheme val="minor"/>
          </rPr>
          <t>5 months maize + 2 months tomato
	-André Troost
Tomato growing stage is 60 days long. https://cropcalendar.apps.fao.org/#/home?id=ZM,ZW&amp;crops=0356
	-André Troost</t>
        </r>
      </text>
    </comment>
    <comment ref="C16" authorId="0" shapeId="0" xr:uid="{00000000-0006-0000-0600-000007000000}">
      <text>
        <r>
          <rPr>
            <sz val="10"/>
            <color rgb="FF000000"/>
            <rFont val="Arial"/>
            <family val="2"/>
            <scheme val="minor"/>
          </rPr>
          <t>No tomato
	-André Troost</t>
        </r>
      </text>
    </comment>
    <comment ref="D16" authorId="0" shapeId="0" xr:uid="{00000000-0006-0000-0600-000006000000}">
      <text>
        <r>
          <rPr>
            <sz val="10"/>
            <color rgb="FF000000"/>
            <rFont val="Arial"/>
            <family val="2"/>
            <scheme val="minor"/>
          </rPr>
          <t>4 months groundnuts + 2 months tomato
	-André Troost
Tomato growing stage is 60 days long. https://cropcalendar.apps.fao.org/#/home?id=ZM,ZW&amp;crops=0356
	-André Troost</t>
        </r>
      </text>
    </comment>
    <comment ref="A19" authorId="0" shapeId="0" xr:uid="{00000000-0006-0000-0600-00000C000000}">
      <text>
        <r>
          <rPr>
            <sz val="10"/>
            <color rgb="FF000000"/>
            <rFont val="Arial"/>
            <family val="2"/>
            <scheme val="minor"/>
          </rPr>
          <t>This data is annual, but can be regarded as seasonal because it speaks to rainfed agriculture, which is one season per year
	-André Troost</t>
        </r>
      </text>
    </comment>
    <comment ref="B21" authorId="0" shapeId="0" xr:uid="{00000000-0006-0000-0600-000004000000}">
      <text>
        <r>
          <rPr>
            <sz val="10"/>
            <color rgb="FF000000"/>
            <rFont val="Arial"/>
            <family val="2"/>
            <scheme val="minor"/>
          </rPr>
          <t>https://www.yieldgap.org/gygaviewer/index.html. Selected Indonesia data because no data for zambia
	-André Troost</t>
        </r>
      </text>
    </comment>
    <comment ref="C21" authorId="0" shapeId="0" xr:uid="{00000000-0006-0000-0600-000002000000}">
      <text>
        <r>
          <rPr>
            <sz val="10"/>
            <color rgb="FF000000"/>
            <rFont val="Arial"/>
            <family val="2"/>
            <scheme val="minor"/>
          </rPr>
          <t>https://www.yieldgap.org/gygaviewer/index.html selected nigeria data because no data for zambia
	-André Troost</t>
        </r>
      </text>
    </comment>
    <comment ref="D21" authorId="0" shapeId="0" xr:uid="{00000000-0006-0000-0600-00000F000000}">
      <text>
        <r>
          <rPr>
            <sz val="10"/>
            <color rgb="FF000000"/>
            <rFont val="Arial"/>
            <family val="2"/>
            <scheme val="minor"/>
          </rPr>
          <t>http://www.drss.gov.zw/index.php/faqs-on-groundnuts/295-what-are-the-main-groundnuts-varieties-in-zimbabwe
	-André Troost
ZIM data because no data for ZAM
	-André Troost</t>
        </r>
      </text>
    </comment>
    <comment ref="B22" authorId="0" shapeId="0" xr:uid="{00000000-0006-0000-0600-000003000000}">
      <text>
        <r>
          <rPr>
            <sz val="10"/>
            <color rgb="FF000000"/>
            <rFont val="Arial"/>
            <family val="2"/>
            <scheme val="minor"/>
          </rPr>
          <t>https://www.yieldgap.org/gygaviewer/index.html. Selected Indonesia data because no data for zambia
	-André Troost</t>
        </r>
      </text>
    </comment>
    <comment ref="C22" authorId="0" shapeId="0" xr:uid="{00000000-0006-0000-0600-000001000000}">
      <text>
        <r>
          <rPr>
            <sz val="10"/>
            <color rgb="FF000000"/>
            <rFont val="Arial"/>
            <family val="2"/>
            <scheme val="minor"/>
          </rPr>
          <t>https://www.yieldgap.org/gygaviewer/index.html selected nigeria data because no data for zambia
	-André Troost</t>
        </r>
      </text>
    </comment>
    <comment ref="D22" authorId="0" shapeId="0" xr:uid="{00000000-0006-0000-0600-000010000000}">
      <text>
        <r>
          <rPr>
            <sz val="10"/>
            <color rgb="FF000000"/>
            <rFont val="Arial"/>
            <family val="2"/>
            <scheme val="minor"/>
          </rPr>
          <t>ZIM data because no data for ZAM https://docplayer.net/190747963-Profitability-and-factors-affecting-groundnut-production-under-irrigation-in-zimbabwe.html
	-André Troost
https://mujaes.mak.ac.ug/wp-content/uploads/2020/01/Manzivera.pdf
	-André Troost</t>
        </r>
      </text>
    </comment>
    <comment ref="B47" authorId="0" shapeId="0" xr:uid="{00000000-0006-0000-0600-00000E000000}">
      <text>
        <r>
          <rPr>
            <sz val="10"/>
            <color rgb="FF000000"/>
            <rFont val="Arial"/>
            <family val="2"/>
          </rPr>
          <t xml:space="preserve">Minimum value from other countries - conservative case
</t>
        </r>
        <r>
          <rPr>
            <sz val="10"/>
            <color rgb="FF000000"/>
            <rFont val="Arial"/>
            <family val="2"/>
          </rPr>
          <t xml:space="preserve">	-André Troost</t>
        </r>
      </text>
    </comment>
    <comment ref="B48" authorId="0" shapeId="0" xr:uid="{00000000-0006-0000-0600-000005000000}">
      <text>
        <r>
          <rPr>
            <sz val="10"/>
            <color rgb="FF000000"/>
            <rFont val="Arial"/>
            <family val="2"/>
            <scheme val="minor"/>
          </rPr>
          <t>https://knoema.com/FAOPS2017DEC/fao-producer-price-statistics?country=1001760-zambia&amp;item=1001460-onions-dry
	-André Troost</t>
        </r>
      </text>
    </comment>
    <comment ref="B52" authorId="0" shapeId="0" xr:uid="{00000000-0006-0000-0600-00000D000000}">
      <text>
        <r>
          <rPr>
            <sz val="10"/>
            <color rgb="FF000000"/>
            <rFont val="Arial"/>
            <family val="2"/>
            <scheme val="minor"/>
          </rPr>
          <t>https://zaszambia.wordpress.com/2020/11/14/groundnut-growers-guide/#:~:text=Groundnuts%20are%20a%20good%20crop,suitable%20in%20a%20rainfed%20system.
	-André Troost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15" authorId="0" shapeId="0" xr:uid="{00000000-0006-0000-0700-00000C000000}">
      <text>
        <r>
          <rPr>
            <sz val="10"/>
            <color rgb="FF000000"/>
            <rFont val="Arial"/>
            <family val="2"/>
          </rPr>
          <t xml:space="preserve">According to crop calendar: 1 season of maize production with a growing stage of 4months.
</t>
        </r>
        <r>
          <rPr>
            <sz val="10"/>
            <color rgb="FF000000"/>
            <rFont val="Arial"/>
            <family val="2"/>
          </rPr>
          <t xml:space="preserve">	-André Troost
</t>
        </r>
        <r>
          <rPr>
            <sz val="10"/>
            <color rgb="FF000000"/>
            <rFont val="Arial"/>
            <family val="2"/>
          </rPr>
          <t xml:space="preserve">2 seasons maize production: 4 months each growing stage
</t>
        </r>
        <r>
          <rPr>
            <sz val="10"/>
            <color rgb="FF000000"/>
            <rFont val="Arial"/>
            <family val="2"/>
          </rPr>
          <t xml:space="preserve">	-André Troost</t>
        </r>
      </text>
    </comment>
    <comment ref="C15" authorId="0" shapeId="0" xr:uid="{00000000-0006-0000-0700-00000B000000}">
      <text>
        <r>
          <rPr>
            <sz val="10"/>
            <color rgb="FF000000"/>
            <rFont val="Arial"/>
            <family val="2"/>
            <scheme val="minor"/>
          </rPr>
          <t>According to crop calendar: 1 season of groudnut production with a growing stage of 5 months.
	-André Troost
2 seasons groundnuts production: 5 months each growing stage
	-André Troost</t>
        </r>
      </text>
    </comment>
    <comment ref="D15" authorId="0" shapeId="0" xr:uid="{00000000-0006-0000-0700-00000A000000}">
      <text>
        <r>
          <rPr>
            <sz val="10"/>
            <color rgb="FF000000"/>
            <rFont val="Arial"/>
            <family val="2"/>
            <scheme val="minor"/>
          </rPr>
          <t>According to crop calendar: 1 season of sorghum production with a growing stage of 4 months.
	-André Troost
2 seasons sorghum production: 4 months each growing stage
	-André Troost</t>
        </r>
      </text>
    </comment>
    <comment ref="B16" authorId="0" shapeId="0" xr:uid="{00000000-0006-0000-0700-000009000000}">
      <text>
        <r>
          <rPr>
            <sz val="10"/>
            <color rgb="FF000000"/>
            <rFont val="Arial"/>
            <family val="2"/>
            <scheme val="minor"/>
          </rPr>
          <t>4 months maize + 3 months tomato
	-André Troost</t>
        </r>
      </text>
    </comment>
    <comment ref="C16" authorId="0" shapeId="0" xr:uid="{00000000-0006-0000-0700-000008000000}">
      <text>
        <r>
          <rPr>
            <sz val="10"/>
            <color rgb="FF000000"/>
            <rFont val="Arial"/>
            <family val="2"/>
            <scheme val="minor"/>
          </rPr>
          <t>5 months groundnuts + 3 months tomato
	-André Troost</t>
        </r>
      </text>
    </comment>
    <comment ref="D16" authorId="0" shapeId="0" xr:uid="{00000000-0006-0000-0700-000007000000}">
      <text>
        <r>
          <rPr>
            <sz val="10"/>
            <color rgb="FF000000"/>
            <rFont val="Arial"/>
            <family val="2"/>
            <scheme val="minor"/>
          </rPr>
          <t>4 months sorghum + 3 months tomato
	-André Troost</t>
        </r>
      </text>
    </comment>
    <comment ref="A19" authorId="0" shapeId="0" xr:uid="{00000000-0006-0000-0700-00000D000000}">
      <text>
        <r>
          <rPr>
            <sz val="10"/>
            <color rgb="FF000000"/>
            <rFont val="Arial"/>
            <family val="2"/>
            <scheme val="minor"/>
          </rPr>
          <t>This data is annual, but can be regarded as seasonal because it speaks to rainfed agriculture, which is one season per year
	-André Troost</t>
        </r>
      </text>
    </comment>
    <comment ref="B21" authorId="0" shapeId="0" xr:uid="{00000000-0006-0000-0700-000005000000}">
      <text>
        <r>
          <rPr>
            <sz val="10"/>
            <color rgb="FF000000"/>
            <rFont val="Arial"/>
            <family val="2"/>
            <scheme val="minor"/>
          </rPr>
          <t>https://www.yieldgap.org/gygaviewer/index.html. Selected Indonesia data because no data for zimbabwe
	-André Troost</t>
        </r>
      </text>
    </comment>
    <comment ref="C21" authorId="0" shapeId="0" xr:uid="{00000000-0006-0000-0700-000003000000}">
      <text>
        <r>
          <rPr>
            <sz val="10"/>
            <color rgb="FF000000"/>
            <rFont val="Arial"/>
            <family val="2"/>
            <scheme val="minor"/>
          </rPr>
          <t>http://www.drss.gov.zw/index.php/faqs-on-groundnuts/295-what-are-the-main-groundnuts-varieties-in-zimbabwe
	-André Troost</t>
        </r>
      </text>
    </comment>
    <comment ref="D21" authorId="0" shapeId="0" xr:uid="{00000000-0006-0000-0700-00000F000000}">
      <text>
        <r>
          <rPr>
            <sz val="10"/>
            <color rgb="FF000000"/>
            <rFont val="Arial"/>
            <family val="2"/>
            <scheme val="minor"/>
          </rPr>
          <t>https://www.yieldgap.org/gygaviewer/index.html
	-André Troost</t>
        </r>
      </text>
    </comment>
    <comment ref="B22" authorId="0" shapeId="0" xr:uid="{00000000-0006-0000-0700-000004000000}">
      <text>
        <r>
          <rPr>
            <sz val="10"/>
            <color rgb="FF000000"/>
            <rFont val="Arial"/>
            <family val="2"/>
            <scheme val="minor"/>
          </rPr>
          <t>https://www.yieldgap.org/gygaviewer/index.html. Selected Indonesia data because no data for zimbabwe
	-André Troost</t>
        </r>
      </text>
    </comment>
    <comment ref="C22" authorId="0" shapeId="0" xr:uid="{00000000-0006-0000-0700-000002000000}">
      <text>
        <r>
          <rPr>
            <sz val="10"/>
            <color rgb="FF000000"/>
            <rFont val="Arial"/>
            <family val="2"/>
            <scheme val="minor"/>
          </rPr>
          <t>https://docplayer.net/190747963-Profitability-and-factors-affecting-groundnut-production-under-irrigation-in-zimbabwe.html
	-André Troost
https://mujaes.mak.ac.ug/wp-content/uploads/2020/01/Manzivera.pdf
	-André Troost</t>
        </r>
      </text>
    </comment>
    <comment ref="B27" authorId="0" shapeId="0" xr:uid="{00000000-0006-0000-0700-00000E000000}">
      <text>
        <r>
          <rPr>
            <sz val="10"/>
            <color rgb="FF000000"/>
            <rFont val="Arial"/>
            <family val="2"/>
            <scheme val="minor"/>
          </rPr>
          <t>Current yield: 6.5 t/ha
Potential yield with best practices: 17 t/ha
https://pdf.usaid.gov/pdf_docs/PA00TBXT.pdf
	-André Troost</t>
        </r>
      </text>
    </comment>
    <comment ref="B46" authorId="0" shapeId="0" xr:uid="{00000000-0006-0000-0700-000006000000}">
      <text>
        <r>
          <rPr>
            <sz val="10"/>
            <color rgb="FF000000"/>
            <rFont val="Arial"/>
            <family val="2"/>
          </rPr>
          <t xml:space="preserve">Current yield: 6.5 t/ha
</t>
        </r>
        <r>
          <rPr>
            <sz val="10"/>
            <color rgb="FF000000"/>
            <rFont val="Arial"/>
            <family val="2"/>
          </rPr>
          <t xml:space="preserve">Potential yield with best practices: 17 t/ha
</t>
        </r>
        <r>
          <rPr>
            <sz val="10"/>
            <color rgb="FF000000"/>
            <rFont val="Arial"/>
            <family val="2"/>
          </rPr>
          <t xml:space="preserve">https://pdf.usaid.gov/pdf_docs/PA00TBXT.pdf
</t>
        </r>
        <r>
          <rPr>
            <sz val="10"/>
            <color rgb="FF000000"/>
            <rFont val="Arial"/>
            <family val="2"/>
          </rPr>
          <t xml:space="preserve">	-André Troost</t>
        </r>
      </text>
    </comment>
    <comment ref="B47" authorId="0" shapeId="0" xr:uid="{00000000-0006-0000-0700-000001000000}">
      <text>
        <r>
          <rPr>
            <sz val="10"/>
            <color rgb="FF000000"/>
            <rFont val="Arial"/>
            <family val="2"/>
            <scheme val="minor"/>
          </rPr>
          <t>Low season: 0.2-0.25 USD/kg
High season: 0.5-0.6 USD/kg
https://allafrica.com/stories/202102190712.html
	-André Troost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800-000003000000}">
      <text>
        <r>
          <rPr>
            <sz val="10"/>
            <color rgb="FF000000"/>
            <rFont val="Arial"/>
            <family val="2"/>
            <scheme val="minor"/>
          </rPr>
          <t>Electric motor for blower
Kerosene / diesel burner as heat source (others with wood as source)
Source: https://jiji.ng/ibadan/farm-machinery-equipment/mechanical-batch-rice-paddy-dryer-azbVRbhrmXzNnnLfcpf2dT5U.html?page=1&amp;pos=2&amp;cur_pos=2&amp;ads_per_page=20&amp;ads_count=102&amp;lid=8qzzo7ZBnTfimEql
Power rating assumed from the only drying machine found - the electric motor is for the hot air blower
	-André Troost
----
500kg per batch (no time specification in source)
It is assumed that it takes 6 hours to complete a batch
	-André Troost
----
Source: https://jiji.ng/ibadan/farm-machinery-equipment/500kg-bed-dryer-lkeZBJM4YqBMhEWnEGVlCm7R.html?page=2&amp;pos=2&amp;cur_pos=2&amp;ads_per_page=17&amp;ads_count=90&amp;lid=8qzzo7ZBnTfimEql
	-André Troost</t>
        </r>
      </text>
    </comment>
    <comment ref="E1" authorId="0" shapeId="0" xr:uid="{00000000-0006-0000-0800-000002000000}">
      <text>
        <r>
          <rPr>
            <sz val="10"/>
            <color rgb="FF000000"/>
            <rFont val="Arial"/>
            <family val="2"/>
            <scheme val="minor"/>
          </rPr>
          <t>This is not a mobile thresher - the only electric mobile thresher is in development stage (developed by Soybean Innovation Lab - cost USD 2000 - source USAID)
Source: https://jiji.ng/kaduna-north/farm-machinery-equipment/rice-sorghum-millet-thresher-11975516.html?page=1&amp;pos=6&amp;cur_pos=6&amp;ads_per_page=7&amp;ads_count=6&amp;lid=LVPVDI115YytF_XD
	-André Troost
----
https://www.alibaba.com/product-detail/multifunctional-industrial-sunflower-seed-corn-maize_1600619986224.html
	-André Troost</t>
        </r>
      </text>
    </comment>
    <comment ref="F1" authorId="0" shapeId="0" xr:uid="{00000000-0006-0000-0800-000006000000}">
      <text>
        <r>
          <rPr>
            <sz val="10"/>
            <color rgb="FF000000"/>
            <rFont val="Arial"/>
            <family val="2"/>
            <scheme val="minor"/>
          </rPr>
          <t>Model GD-CP-1500: https://www.alibaba.com/product-detail/GOODWAY-Transformation-Du-Manioc-Cassava-Peeling_1600609711971.html
	-André Troost</t>
        </r>
      </text>
    </comment>
    <comment ref="G1" authorId="0" shapeId="0" xr:uid="{00000000-0006-0000-0800-000005000000}">
      <text>
        <r>
          <rPr>
            <sz val="10"/>
            <color rgb="FF000000"/>
            <rFont val="Arial"/>
            <family val="2"/>
            <scheme val="minor"/>
          </rPr>
          <t>https://www.alibaba.com/product-detail/Cassava-Machine-Cassava-Crusher-Grating-Machine_1600550064674.html?spm=a2700.galleryofferlist.normal_offer.d_title.21f9becfs8h8XM
	-André Troost</t>
        </r>
      </text>
    </comment>
    <comment ref="H1" authorId="0" shapeId="0" xr:uid="{00000000-0006-0000-0800-000001000000}">
      <text>
        <r>
          <rPr>
            <sz val="10"/>
            <color rgb="FF000000"/>
            <rFont val="Arial"/>
            <family val="2"/>
            <scheme val="minor"/>
          </rPr>
          <t>Source: https://jiji.ng/kaduna-north/farm-machinery-equipment/n110-rice-mill-polisher-with-1115-diesel-engine-uOaouvPMH9o59ZKQYwqOx9or.html?page=1&amp;pos=2&amp;cur_pos=2&amp;ads_per_page=20&amp;ads_count=342&amp;lid=W0G80cF4RpcZ7vFV
	-André Troost
----
Source: http://www.farmscape.ng/dawn-agro-rice-destoner/
	-André Troost
----
https://www.alibaba.com/product-detail/The-best-price-of-cassava-milling_62021297262.html
	-André Troost
----
https://www.alibaba.com/product-detail/Maize-Hammer-Mill-YUDA-Industrial-Grain_60196449465.html?s=p
	-André Troost</t>
        </r>
      </text>
    </comment>
    <comment ref="I1" authorId="0" shapeId="0" xr:uid="{00000000-0006-0000-0800-000004000000}">
      <text>
        <r>
          <rPr>
            <sz val="10"/>
            <color rgb="FF000000"/>
            <rFont val="Arial"/>
            <family val="2"/>
            <scheme val="minor"/>
          </rPr>
          <t>https://www.alibaba.com/product-detail/Cassava-Chip-Cutting-Machine-Multifunctional-Cassava_60716183208.html?spm=a2700.7735675.0.0.54e9753dK7jJJi&amp;s=p
	-André Troost</t>
        </r>
      </text>
    </comment>
  </commentList>
</comments>
</file>

<file path=xl/sharedStrings.xml><?xml version="1.0" encoding="utf-8"?>
<sst xmlns="http://schemas.openxmlformats.org/spreadsheetml/2006/main" count="909" uniqueCount="367">
  <si>
    <t xml:space="preserve">Insert staple crop 1 below: </t>
  </si>
  <si>
    <t xml:space="preserve">Insert staple crop 2 below: </t>
  </si>
  <si>
    <t xml:space="preserve">Insert staple crop 3 below: </t>
  </si>
  <si>
    <t xml:space="preserve">Insert horticulture crop below: </t>
  </si>
  <si>
    <t>Nigeria</t>
  </si>
  <si>
    <t>Maize</t>
  </si>
  <si>
    <t>Cassava</t>
  </si>
  <si>
    <t>Rice</t>
  </si>
  <si>
    <t>Tomato</t>
  </si>
  <si>
    <t>Unit</t>
  </si>
  <si>
    <t>Irrigation</t>
  </si>
  <si>
    <t>Drying</t>
  </si>
  <si>
    <t>Shelling</t>
  </si>
  <si>
    <t>Milling</t>
  </si>
  <si>
    <t>Peeling</t>
  </si>
  <si>
    <t>Grating</t>
  </si>
  <si>
    <t>Chipping</t>
  </si>
  <si>
    <t>Threshing</t>
  </si>
  <si>
    <t>General questions:</t>
  </si>
  <si>
    <t>How many hours per day will the equipment be operational?</t>
  </si>
  <si>
    <t>h/day</t>
  </si>
  <si>
    <t xml:space="preserve">Across how many months per year will the equipment be used? </t>
  </si>
  <si>
    <t>months/year</t>
  </si>
  <si>
    <t>If the equipment will be connected to the grid, what is the tariff?</t>
  </si>
  <si>
    <t>USD/kWh</t>
  </si>
  <si>
    <t>If the equipment will be connected to a mini-grid, what is the tariff?</t>
  </si>
  <si>
    <t>What is the current price per litre of diesel?</t>
  </si>
  <si>
    <t>USD/L</t>
  </si>
  <si>
    <t>What is the distance from the farm to the market and back?</t>
  </si>
  <si>
    <t>km</t>
  </si>
  <si>
    <t>What is the fuel consumption of the vehicle that delivers crops to market?</t>
  </si>
  <si>
    <t>l/km</t>
  </si>
  <si>
    <t>How much do you expect to spend on maintenance per year?</t>
  </si>
  <si>
    <t>USD/year</t>
  </si>
  <si>
    <t xml:space="preserve">What is the monthly salary in USD that the equipment operator will earn? </t>
  </si>
  <si>
    <t>Irrigation-specific questions (additional inputs on irrigation sheet):</t>
  </si>
  <si>
    <t>What is the upfront cost of the relevant solar water pump?</t>
  </si>
  <si>
    <t>USD</t>
  </si>
  <si>
    <t>What the the power rating of the pump?</t>
  </si>
  <si>
    <t>kW</t>
  </si>
  <si>
    <t>Agro-processing specific questions:</t>
  </si>
  <si>
    <t>What is the upfront cost of the relevant processing machine?</t>
  </si>
  <si>
    <t>What is the maximum possible throughput that the machine can deliver?</t>
  </si>
  <si>
    <t>kg/hour</t>
  </si>
  <si>
    <t>What is the power rating of the processing machine?</t>
  </si>
  <si>
    <t>Automatic answers, feeding into results sheets:</t>
  </si>
  <si>
    <t>Capacity utilization</t>
  </si>
  <si>
    <t>%</t>
  </si>
  <si>
    <t>Operating hours</t>
  </si>
  <si>
    <t>h/year</t>
  </si>
  <si>
    <t>Portion of salary (1 worker) attributed to operation of the equipment</t>
  </si>
  <si>
    <t>Realistic machinery throughput</t>
  </si>
  <si>
    <t>kg/h</t>
  </si>
  <si>
    <t>Annual energy consumption</t>
  </si>
  <si>
    <t>kWh/year</t>
  </si>
  <si>
    <t>Power rating reverse calculation</t>
  </si>
  <si>
    <t>Insert country name below:</t>
  </si>
  <si>
    <t>Insert staple crop 1 below:</t>
  </si>
  <si>
    <t>Insert staple crop 2 below:</t>
  </si>
  <si>
    <t>Insert staple crop 3 below:</t>
  </si>
  <si>
    <t>Insert horticulture crop below:</t>
  </si>
  <si>
    <t xml:space="preserve"> Rwanda</t>
  </si>
  <si>
    <t>Beans</t>
  </si>
  <si>
    <t>User to answer questions in green :</t>
  </si>
  <si>
    <t>Dehulling</t>
  </si>
  <si>
    <t>Grinding</t>
  </si>
  <si>
    <t xml:space="preserve">Insert country name: </t>
  </si>
  <si>
    <t>Zambia</t>
  </si>
  <si>
    <t>Groundnuts</t>
  </si>
  <si>
    <t>User to answer questions in brown :</t>
  </si>
  <si>
    <t>Oil pressing</t>
  </si>
  <si>
    <t>Crushing</t>
  </si>
  <si>
    <t>Peanut butter</t>
  </si>
  <si>
    <t>CAPEX of standalone solar water pump</t>
  </si>
  <si>
    <t>What is the power rating of the pump?</t>
  </si>
  <si>
    <t xml:space="preserve"> Zimbabwe</t>
  </si>
  <si>
    <t>Sorghum</t>
  </si>
  <si>
    <t>User to answer questions in red :</t>
  </si>
  <si>
    <t>De-skinning</t>
  </si>
  <si>
    <t>Roasting</t>
  </si>
  <si>
    <t>General assumptions:</t>
  </si>
  <si>
    <t>Processing</t>
  </si>
  <si>
    <t>Utilization (days/week)</t>
  </si>
  <si>
    <t>Utilization (days/month)</t>
  </si>
  <si>
    <t>Monthly salary allocation</t>
  </si>
  <si>
    <t>USD NGN exchange rate</t>
  </si>
  <si>
    <t>USD RWF exchange rate</t>
  </si>
  <si>
    <t>USD UGX exhange rate</t>
  </si>
  <si>
    <t>USD ZMW exchange rate</t>
  </si>
  <si>
    <t>USD ZWD exchange rate</t>
  </si>
  <si>
    <t>What follows below are additional revenue generated from crop sales enabled by irrigation and processing machinery. This is expressed as a price margin in $/kg and feeds into paypack period, IRR and NPV calculations.</t>
  </si>
  <si>
    <t xml:space="preserve">Values in orange are estimated / extrapolated </t>
  </si>
  <si>
    <t>Parameter</t>
  </si>
  <si>
    <t>Crop price without activity</t>
  </si>
  <si>
    <t>USD/kg</t>
  </si>
  <si>
    <t>Crop price with activity</t>
  </si>
  <si>
    <t>Price margin</t>
  </si>
  <si>
    <t>Appendix 1: Peanut butter margin calculations:</t>
  </si>
  <si>
    <t>Peanut butter bottle 375ml</t>
  </si>
  <si>
    <t>https://zimpricecheck.com/market-intelligence/shops-hike-the-prices-of-sugar-and-peanut-butter/</t>
  </si>
  <si>
    <t>Peanut butter yield from 1kg groundnuts</t>
  </si>
  <si>
    <t>kg</t>
  </si>
  <si>
    <t>https://www.quora.com/How-many-kg-of-peanuts-give-1-kg-of-peanut-butter</t>
  </si>
  <si>
    <t>ml</t>
  </si>
  <si>
    <t>https://www.howmany.wiki/wv/How-many--ml--of--peanut+butter--in--1--kg</t>
  </si>
  <si>
    <t>Bottles peanut butter per 1kg groudnuts</t>
  </si>
  <si>
    <t>Price peanut butter</t>
  </si>
  <si>
    <t>USD/kg groundnuts</t>
  </si>
  <si>
    <t>Annual marginal revenue</t>
  </si>
  <si>
    <t>Produce sales</t>
  </si>
  <si>
    <t>Others</t>
  </si>
  <si>
    <t>Total revenues</t>
  </si>
  <si>
    <t>Annual marginal cost</t>
  </si>
  <si>
    <t>Transport cost to market</t>
  </si>
  <si>
    <t>Labour</t>
  </si>
  <si>
    <t>Maintenance</t>
  </si>
  <si>
    <t>Electricity</t>
  </si>
  <si>
    <t>Grid</t>
  </si>
  <si>
    <t>Mini-grid</t>
  </si>
  <si>
    <t>Total costs</t>
  </si>
  <si>
    <t>Annual marginal profit</t>
  </si>
  <si>
    <t>Indicators</t>
  </si>
  <si>
    <t>Upfront cost</t>
  </si>
  <si>
    <t>Payback (years)</t>
  </si>
  <si>
    <t>Payback (months)</t>
  </si>
  <si>
    <t>Value added</t>
  </si>
  <si>
    <t>Electricity source</t>
  </si>
  <si>
    <t>Standalone</t>
  </si>
  <si>
    <t>Location</t>
  </si>
  <si>
    <t>Farm</t>
  </si>
  <si>
    <t>Village</t>
  </si>
  <si>
    <t>Irrigation second season</t>
  </si>
  <si>
    <t>Crop rotation</t>
  </si>
  <si>
    <t>Year-round horticulture irrigation</t>
  </si>
  <si>
    <t>Year 0</t>
  </si>
  <si>
    <t>Year 1</t>
  </si>
  <si>
    <t>Year 2</t>
  </si>
  <si>
    <t>Year 3</t>
  </si>
  <si>
    <t>Year 4</t>
  </si>
  <si>
    <t>Year 5</t>
  </si>
  <si>
    <t>Year 6</t>
  </si>
  <si>
    <t>Year 7</t>
  </si>
  <si>
    <t>Year 8</t>
  </si>
  <si>
    <t>Year 9</t>
  </si>
  <si>
    <t>Year 10</t>
  </si>
  <si>
    <t>NPV</t>
  </si>
  <si>
    <t>IRR</t>
  </si>
  <si>
    <t>Conclusion</t>
  </si>
  <si>
    <t>Water pumping requirements (information only):</t>
  </si>
  <si>
    <t>Input category</t>
  </si>
  <si>
    <t>Source</t>
  </si>
  <si>
    <t>Notes</t>
  </si>
  <si>
    <t>Required flow rate (maize)</t>
  </si>
  <si>
    <t>m3/hour</t>
  </si>
  <si>
    <t>USAID Solar irrigation report</t>
  </si>
  <si>
    <t>Required flow rate (Cassava)</t>
  </si>
  <si>
    <t>Required flow rate (Rice)</t>
  </si>
  <si>
    <t>Brand and model name of selected pump</t>
  </si>
  <si>
    <t>Bennie Agro Surface water pump</t>
  </si>
  <si>
    <t xml:space="preserve">https://upcommons.upc.edu/bitstream/handle/2117/371758/master-thesis-matias-k-stner-msc-energy-engineering.pdf?sequence=1
</t>
  </si>
  <si>
    <t>Power rating of selected pump</t>
  </si>
  <si>
    <t>Max flow rate of selected pump</t>
  </si>
  <si>
    <t>Total head</t>
  </si>
  <si>
    <t xml:space="preserve">m </t>
  </si>
  <si>
    <r>
      <rPr>
        <sz val="10"/>
        <color rgb="FFFFFFFF"/>
        <rFont val="Arial"/>
        <family val="2"/>
      </rPr>
      <t>Calculation of</t>
    </r>
    <r>
      <rPr>
        <b/>
        <sz val="10"/>
        <color rgb="FFFFFFFF"/>
        <rFont val="Arial"/>
        <family val="2"/>
      </rPr>
      <t xml:space="preserve"> yield</t>
    </r>
    <r>
      <rPr>
        <sz val="10"/>
        <color rgb="FFFFFFFF"/>
        <rFont val="Arial"/>
        <family val="2"/>
      </rPr>
      <t xml:space="preserve"> increases in </t>
    </r>
    <r>
      <rPr>
        <b/>
        <sz val="10"/>
        <color rgb="FFFFFFFF"/>
        <rFont val="Arial"/>
        <family val="2"/>
      </rPr>
      <t>staple</t>
    </r>
    <r>
      <rPr>
        <sz val="10"/>
        <color rgb="FFFFFFFF"/>
        <rFont val="Arial"/>
        <family val="2"/>
      </rPr>
      <t xml:space="preserve"> crops as a result of irrigation (serves as an input for revenue calculations below):</t>
    </r>
  </si>
  <si>
    <t>Utilization of irrigation (h/day)</t>
  </si>
  <si>
    <t>User to input:</t>
  </si>
  <si>
    <t>Utilization of irrigation - mono-cropping (month/year)</t>
  </si>
  <si>
    <t>Utilization of irrigation - crop rotation (month/year)</t>
  </si>
  <si>
    <t>Seasons rainfed (per year)</t>
  </si>
  <si>
    <t>Seasons irrigated (per year)</t>
  </si>
  <si>
    <t>AVG yield - rainfed (kg/ha)</t>
  </si>
  <si>
    <t>Rainfed yield (tonnes per hectare)</t>
  </si>
  <si>
    <t>Irrigated yield (tonnes per hectare)</t>
  </si>
  <si>
    <t>Factors used to calculate irrigation yield from rainfed yield</t>
  </si>
  <si>
    <t>Auto-calculation:</t>
  </si>
  <si>
    <t xml:space="preserve">AVG yield  - irrigated (kg/ha) </t>
  </si>
  <si>
    <r>
      <rPr>
        <b/>
        <sz val="10"/>
        <color rgb="FFFFFFFF"/>
        <rFont val="Arial"/>
        <family val="2"/>
      </rPr>
      <t xml:space="preserve">Auto-calculation: Increased </t>
    </r>
    <r>
      <rPr>
        <b/>
        <u/>
        <sz val="10"/>
        <color rgb="FFFFFFFF"/>
        <rFont val="Arial"/>
        <family val="2"/>
      </rPr>
      <t>revenues</t>
    </r>
    <r>
      <rPr>
        <b/>
        <sz val="10"/>
        <color rgb="FFFFFFFF"/>
        <rFont val="Arial"/>
        <family val="2"/>
      </rPr>
      <t xml:space="preserve"> as a result of irrigation</t>
    </r>
    <r>
      <rPr>
        <sz val="10"/>
        <color rgb="FFFFFFFF"/>
        <rFont val="Arial"/>
        <family val="2"/>
      </rPr>
      <t xml:space="preserve">
Scenarios 1 and 2: Mono-cultivation (1 season &amp; 2 seasons, with staple crop)</t>
    </r>
  </si>
  <si>
    <t>Price rainfed</t>
  </si>
  <si>
    <t>Price irrigation</t>
  </si>
  <si>
    <t>Annual revenue rainfed only (without irrigation)</t>
  </si>
  <si>
    <t>Annual revenue with irrigation for same crop (mono-c)</t>
  </si>
  <si>
    <t>Marginal annual revenue in mono-cultivation scenario, 1 season</t>
  </si>
  <si>
    <t>Marginal annual revenue in mono-cultivation scenario, 2 seasons</t>
  </si>
  <si>
    <r>
      <rPr>
        <b/>
        <sz val="10"/>
        <color rgb="FFFFFFFF"/>
        <rFont val="Arial"/>
        <family val="2"/>
      </rPr>
      <t xml:space="preserve">Auto-calculation: Increased </t>
    </r>
    <r>
      <rPr>
        <b/>
        <u/>
        <sz val="10"/>
        <color rgb="FFFFFFFF"/>
        <rFont val="Arial"/>
        <family val="2"/>
      </rPr>
      <t>revenues</t>
    </r>
    <r>
      <rPr>
        <b/>
        <sz val="10"/>
        <color rgb="FFFFFFFF"/>
        <rFont val="Arial"/>
        <family val="2"/>
      </rPr>
      <t xml:space="preserve"> as a result of irrigation
</t>
    </r>
    <r>
      <rPr>
        <sz val="10"/>
        <color rgb="FFFFFFFF"/>
        <rFont val="Arial"/>
        <family val="2"/>
      </rPr>
      <t xml:space="preserve"> Scenario 3: Crop rotation (Dry season horticulture &amp; second season staple)</t>
    </r>
  </si>
  <si>
    <t>AVG yield - irrigated horticulture</t>
  </si>
  <si>
    <t>kg/ha</t>
  </si>
  <si>
    <t>Price irrigation horticulture</t>
  </si>
  <si>
    <t>Annual revenue irrigation (1 season horticulture, 1 season staple)</t>
  </si>
  <si>
    <t>Marginal annual revenue in crop rotation scenario</t>
  </si>
  <si>
    <r>
      <rPr>
        <b/>
        <sz val="10"/>
        <color rgb="FFFFFFFF"/>
        <rFont val="Arial"/>
        <family val="2"/>
      </rPr>
      <t xml:space="preserve">Calculation: Increased </t>
    </r>
    <r>
      <rPr>
        <b/>
        <u/>
        <sz val="10"/>
        <color rgb="FFFFFFFF"/>
        <rFont val="Arial"/>
        <family val="2"/>
      </rPr>
      <t>revenues</t>
    </r>
    <r>
      <rPr>
        <b/>
        <sz val="10"/>
        <color rgb="FFFFFFFF"/>
        <rFont val="Arial"/>
        <family val="2"/>
      </rPr>
      <t xml:space="preserve"> as a result of irrigation (user inputs needed)
</t>
    </r>
    <r>
      <rPr>
        <sz val="10"/>
        <color rgb="FFFFFFFF"/>
        <rFont val="Arial"/>
        <family val="2"/>
      </rPr>
      <t xml:space="preserve"> Scenario 4: Year-round irrigated horticulture </t>
    </r>
  </si>
  <si>
    <t>&lt;--User to input</t>
  </si>
  <si>
    <t>Annual revenue irrigation</t>
  </si>
  <si>
    <t>Marginal annual revenue</t>
  </si>
  <si>
    <t>Required flow rate (beans)</t>
  </si>
  <si>
    <t>Futurepump SF2</t>
  </si>
  <si>
    <r>
      <t xml:space="preserve">Vitalite interview &amp; </t>
    </r>
    <r>
      <rPr>
        <u/>
        <sz val="10"/>
        <color rgb="FF1155CC"/>
        <rFont val="Arial"/>
        <family val="2"/>
      </rPr>
      <t>https://futurepump.com/solar-water-pump-datasheet-sf2/</t>
    </r>
  </si>
  <si>
    <t>Power rating</t>
  </si>
  <si>
    <r>
      <rPr>
        <sz val="10"/>
        <color rgb="FFFFFFFF"/>
        <rFont val="Arial"/>
        <family val="2"/>
      </rPr>
      <t>Calculation of</t>
    </r>
    <r>
      <rPr>
        <b/>
        <sz val="10"/>
        <color rgb="FFFFFFFF"/>
        <rFont val="Arial"/>
        <family val="2"/>
      </rPr>
      <t xml:space="preserve"> yield</t>
    </r>
    <r>
      <rPr>
        <sz val="10"/>
        <color rgb="FFFFFFFF"/>
        <rFont val="Arial"/>
        <family val="2"/>
      </rPr>
      <t xml:space="preserve"> increases in </t>
    </r>
    <r>
      <rPr>
        <b/>
        <sz val="10"/>
        <color rgb="FFFFFFFF"/>
        <rFont val="Arial"/>
        <family val="2"/>
      </rPr>
      <t>staple</t>
    </r>
    <r>
      <rPr>
        <sz val="10"/>
        <color rgb="FFFFFFFF"/>
        <rFont val="Arial"/>
        <family val="2"/>
      </rPr>
      <t xml:space="preserve"> crops as a result of irrigation (serves as an input for revenue calculations below):</t>
    </r>
  </si>
  <si>
    <t>Source SPAM</t>
  </si>
  <si>
    <t>AVG yield - irrigated (kg/ha)</t>
  </si>
  <si>
    <t>Exchange rate RWF/USD</t>
  </si>
  <si>
    <r>
      <rPr>
        <b/>
        <sz val="10"/>
        <color rgb="FFFFFFFF"/>
        <rFont val="Arial"/>
        <family val="2"/>
      </rPr>
      <t xml:space="preserve">Auto-calculation: Increased </t>
    </r>
    <r>
      <rPr>
        <b/>
        <u/>
        <sz val="10"/>
        <color rgb="FFFFFFFF"/>
        <rFont val="Arial"/>
        <family val="2"/>
      </rPr>
      <t>revenues</t>
    </r>
    <r>
      <rPr>
        <b/>
        <sz val="10"/>
        <color rgb="FFFFFFFF"/>
        <rFont val="Arial"/>
        <family val="2"/>
      </rPr>
      <t xml:space="preserve"> as a result of irrigation</t>
    </r>
    <r>
      <rPr>
        <sz val="10"/>
        <color rgb="FFFFFFFF"/>
        <rFont val="Arial"/>
        <family val="2"/>
      </rPr>
      <t xml:space="preserve">
Scenarios 1 and 2: Mono-cultivation (1 season &amp; 2 seasons, with staple crop)</t>
    </r>
  </si>
  <si>
    <r>
      <rPr>
        <b/>
        <sz val="10"/>
        <color rgb="FFFFFFFF"/>
        <rFont val="Arial"/>
        <family val="2"/>
      </rPr>
      <t xml:space="preserve">Auto-calculation: Increased </t>
    </r>
    <r>
      <rPr>
        <b/>
        <u/>
        <sz val="10"/>
        <color rgb="FFFFFFFF"/>
        <rFont val="Arial"/>
        <family val="2"/>
      </rPr>
      <t>revenues</t>
    </r>
    <r>
      <rPr>
        <b/>
        <sz val="10"/>
        <color rgb="FFFFFFFF"/>
        <rFont val="Arial"/>
        <family val="2"/>
      </rPr>
      <t xml:space="preserve"> as a result of irrigation
</t>
    </r>
    <r>
      <rPr>
        <sz val="10"/>
        <color rgb="FFFFFFFF"/>
        <rFont val="Arial"/>
        <family val="2"/>
      </rPr>
      <t xml:space="preserve"> Scenario 3: Crop rotation (Dry season horticulture &amp; second season staple)</t>
    </r>
  </si>
  <si>
    <t>Crop rotation (Dry season horticulture &amp; second season staple)</t>
  </si>
  <si>
    <r>
      <rPr>
        <b/>
        <sz val="10"/>
        <color rgb="FFFFFFFF"/>
        <rFont val="Arial"/>
        <family val="2"/>
      </rPr>
      <t xml:space="preserve">Calculation: Increased </t>
    </r>
    <r>
      <rPr>
        <b/>
        <u/>
        <sz val="10"/>
        <color rgb="FFFFFFFF"/>
        <rFont val="Arial"/>
        <family val="2"/>
      </rPr>
      <t>revenues</t>
    </r>
    <r>
      <rPr>
        <b/>
        <sz val="10"/>
        <color rgb="FFFFFFFF"/>
        <rFont val="Arial"/>
        <family val="2"/>
      </rPr>
      <t xml:space="preserve"> as a result of irrigation (user inputs needed)
</t>
    </r>
    <r>
      <rPr>
        <sz val="10"/>
        <color rgb="FFFFFFFF"/>
        <rFont val="Arial"/>
        <family val="2"/>
      </rPr>
      <t xml:space="preserve"> Scenario 4: Year-round irrigated horticulture </t>
    </r>
  </si>
  <si>
    <t>Year-round irrigated horticulture</t>
  </si>
  <si>
    <t>AVG yield - irrigated horticulture (kg/ha)</t>
  </si>
  <si>
    <t>Focus group Zambia</t>
  </si>
  <si>
    <t>Estimated from NG values</t>
  </si>
  <si>
    <t>Required flow rate (groundnuts)</t>
  </si>
  <si>
    <r>
      <t xml:space="preserve">Vitalite interview &amp; </t>
    </r>
    <r>
      <rPr>
        <u/>
        <sz val="10"/>
        <color rgb="FF1155CC"/>
        <rFont val="Arial"/>
        <family val="2"/>
      </rPr>
      <t>https://futurepump.com/solar-water-pump-datasheet-sf2/</t>
    </r>
  </si>
  <si>
    <r>
      <rPr>
        <sz val="10"/>
        <color rgb="FFFFFFFF"/>
        <rFont val="Arial"/>
        <family val="2"/>
      </rPr>
      <t>Calculation of</t>
    </r>
    <r>
      <rPr>
        <b/>
        <sz val="10"/>
        <color rgb="FFFFFFFF"/>
        <rFont val="Arial"/>
        <family val="2"/>
      </rPr>
      <t xml:space="preserve"> yield</t>
    </r>
    <r>
      <rPr>
        <sz val="10"/>
        <color rgb="FFFFFFFF"/>
        <rFont val="Arial"/>
        <family val="2"/>
      </rPr>
      <t xml:space="preserve"> increases in </t>
    </r>
    <r>
      <rPr>
        <b/>
        <sz val="10"/>
        <color rgb="FFFFFFFF"/>
        <rFont val="Arial"/>
        <family val="2"/>
      </rPr>
      <t>staple</t>
    </r>
    <r>
      <rPr>
        <sz val="10"/>
        <color rgb="FFFFFFFF"/>
        <rFont val="Arial"/>
        <family val="2"/>
      </rPr>
      <t xml:space="preserve"> crops as a result of irrigation (serves as an input for revenue calculations below):</t>
    </r>
  </si>
  <si>
    <t xml:space="preserve"> </t>
  </si>
  <si>
    <t>Exchange rate ZMW/USD</t>
  </si>
  <si>
    <r>
      <rPr>
        <b/>
        <sz val="10"/>
        <color rgb="FFFFFFFF"/>
        <rFont val="Arial"/>
        <family val="2"/>
      </rPr>
      <t xml:space="preserve">Auto-calculation: Increased </t>
    </r>
    <r>
      <rPr>
        <b/>
        <u/>
        <sz val="10"/>
        <color rgb="FFFFFFFF"/>
        <rFont val="Arial"/>
        <family val="2"/>
      </rPr>
      <t>revenues</t>
    </r>
    <r>
      <rPr>
        <b/>
        <sz val="10"/>
        <color rgb="FFFFFFFF"/>
        <rFont val="Arial"/>
        <family val="2"/>
      </rPr>
      <t xml:space="preserve"> as a result of irrigation
</t>
    </r>
    <r>
      <rPr>
        <sz val="10"/>
        <color rgb="FFFFFFFF"/>
        <rFont val="Arial"/>
        <family val="2"/>
      </rPr>
      <t xml:space="preserve"> Scenario 3: Crop rotation (Dry season horticulture &amp; second season staple)</t>
    </r>
  </si>
  <si>
    <r>
      <rPr>
        <b/>
        <sz val="10"/>
        <color rgb="FFFFFFFF"/>
        <rFont val="Arial"/>
        <family val="2"/>
      </rPr>
      <t xml:space="preserve">Calculation: Increased </t>
    </r>
    <r>
      <rPr>
        <b/>
        <u/>
        <sz val="10"/>
        <color rgb="FFFFFFFF"/>
        <rFont val="Arial"/>
        <family val="2"/>
      </rPr>
      <t>revenues</t>
    </r>
    <r>
      <rPr>
        <b/>
        <sz val="10"/>
        <color rgb="FFFFFFFF"/>
        <rFont val="Arial"/>
        <family val="2"/>
      </rPr>
      <t xml:space="preserve"> as a result of irrigation (user inputs needed)
</t>
    </r>
    <r>
      <rPr>
        <sz val="10"/>
        <color rgb="FFFFFFFF"/>
        <rFont val="Arial"/>
        <family val="2"/>
      </rPr>
      <t xml:space="preserve"> Scenario 4: Year-round irrigated horticulture </t>
    </r>
  </si>
  <si>
    <t>Required flow rate (sorghum)</t>
  </si>
  <si>
    <t>Shinko Afrika 0.5HP DC pumpset</t>
  </si>
  <si>
    <t>https://shinkoafrika.net/solar-and-hybrid-pumpsets-packages/</t>
  </si>
  <si>
    <r>
      <rPr>
        <sz val="10"/>
        <color rgb="FFFFFFFF"/>
        <rFont val="Arial"/>
        <family val="2"/>
      </rPr>
      <t>Calculation of</t>
    </r>
    <r>
      <rPr>
        <b/>
        <sz val="10"/>
        <color rgb="FFFFFFFF"/>
        <rFont val="Arial"/>
        <family val="2"/>
      </rPr>
      <t xml:space="preserve"> yield</t>
    </r>
    <r>
      <rPr>
        <sz val="10"/>
        <color rgb="FFFFFFFF"/>
        <rFont val="Arial"/>
        <family val="2"/>
      </rPr>
      <t xml:space="preserve"> increases in </t>
    </r>
    <r>
      <rPr>
        <b/>
        <sz val="10"/>
        <color rgb="FFFFFFFF"/>
        <rFont val="Arial"/>
        <family val="2"/>
      </rPr>
      <t>staple</t>
    </r>
    <r>
      <rPr>
        <sz val="10"/>
        <color rgb="FFFFFFFF"/>
        <rFont val="Arial"/>
        <family val="2"/>
      </rPr>
      <t xml:space="preserve"> crops as a result of irrigation (serves as an input for revenue calculations below):</t>
    </r>
  </si>
  <si>
    <t>Tomato growing stage is 80 days long</t>
  </si>
  <si>
    <r>
      <rPr>
        <b/>
        <sz val="10"/>
        <color rgb="FFFFFFFF"/>
        <rFont val="Arial"/>
        <family val="2"/>
      </rPr>
      <t xml:space="preserve">Auto-calculation: Increased </t>
    </r>
    <r>
      <rPr>
        <b/>
        <u/>
        <sz val="10"/>
        <color rgb="FFFFFFFF"/>
        <rFont val="Arial"/>
        <family val="2"/>
      </rPr>
      <t>revenues</t>
    </r>
    <r>
      <rPr>
        <b/>
        <sz val="10"/>
        <color rgb="FFFFFFFF"/>
        <rFont val="Arial"/>
        <family val="2"/>
      </rPr>
      <t xml:space="preserve"> as a result of irrigation</t>
    </r>
    <r>
      <rPr>
        <sz val="10"/>
        <color rgb="FFFFFFFF"/>
        <rFont val="Arial"/>
        <family val="2"/>
      </rPr>
      <t xml:space="preserve">
Scenarios 1 and 2: Mono-cultivation (1 season &amp; 2 seasons, with staple crop)</t>
    </r>
  </si>
  <si>
    <r>
      <rPr>
        <b/>
        <sz val="10"/>
        <color rgb="FFFFFFFF"/>
        <rFont val="Arial"/>
        <family val="2"/>
      </rPr>
      <t xml:space="preserve">Auto-calculation: Increased </t>
    </r>
    <r>
      <rPr>
        <b/>
        <u/>
        <sz val="10"/>
        <color rgb="FFFFFFFF"/>
        <rFont val="Arial"/>
        <family val="2"/>
      </rPr>
      <t>revenues</t>
    </r>
    <r>
      <rPr>
        <b/>
        <sz val="10"/>
        <color rgb="FFFFFFFF"/>
        <rFont val="Arial"/>
        <family val="2"/>
      </rPr>
      <t xml:space="preserve"> as a result of irrigation
</t>
    </r>
    <r>
      <rPr>
        <sz val="10"/>
        <color rgb="FFFFFFFF"/>
        <rFont val="Arial"/>
        <family val="2"/>
      </rPr>
      <t xml:space="preserve"> Scenario 3: Crop rotation (Dry season horticulture &amp; second season staple)</t>
    </r>
  </si>
  <si>
    <r>
      <rPr>
        <b/>
        <sz val="10"/>
        <color rgb="FFFFFFFF"/>
        <rFont val="Arial"/>
        <family val="2"/>
      </rPr>
      <t xml:space="preserve">Calculation: Increased </t>
    </r>
    <r>
      <rPr>
        <b/>
        <u/>
        <sz val="10"/>
        <color rgb="FFFFFFFF"/>
        <rFont val="Arial"/>
        <family val="2"/>
      </rPr>
      <t>revenues</t>
    </r>
    <r>
      <rPr>
        <b/>
        <sz val="10"/>
        <color rgb="FFFFFFFF"/>
        <rFont val="Arial"/>
        <family val="2"/>
      </rPr>
      <t xml:space="preserve"> as a result of irrigation (user inputs needed)
</t>
    </r>
    <r>
      <rPr>
        <sz val="10"/>
        <color rgb="FFFFFFFF"/>
        <rFont val="Arial"/>
        <family val="2"/>
      </rPr>
      <t xml:space="preserve"> Scenario 4: Year-round irrigated horticulture </t>
    </r>
  </si>
  <si>
    <t>Notes on suppliers (Nigeria)</t>
  </si>
  <si>
    <t>Notes on suppliers (Rwanda)</t>
  </si>
  <si>
    <t>Notes on suppliers (Zambia)</t>
  </si>
  <si>
    <t>Notes on suppliers (Zimbabwe)</t>
  </si>
  <si>
    <t>Kenyan company selling electric small scale agricultural processing machinery</t>
  </si>
  <si>
    <t>Tanelec Zambia: local manufacturing company that produced electric threshers in 2020 in partnership with Soyben Innovation Lab (SIL) and FirstWave Group (FWG)</t>
  </si>
  <si>
    <t>Diesel hammer mill - indian company that exports to many countries of Africa including Zimbabwe</t>
  </si>
  <si>
    <t>https://sonasindianmachines.com/product/22-hp-hammer-mill/</t>
  </si>
  <si>
    <t>Ugandan company selling shellers, millers, grinders, chippers</t>
  </si>
  <si>
    <t>https://agsol.com/products-original/</t>
  </si>
  <si>
    <t>https://agrinatura-eu.eu/news/zambias-first-locally-produced-multi-crop-threshers/</t>
  </si>
  <si>
    <t>http://tonnetagro.com/service.php?slug=maize-sheller100kg</t>
  </si>
  <si>
    <t>https://agsol.com/wp-content/uploads/2020/07/Agsol-Catalogue.pdf</t>
  </si>
  <si>
    <t>Davis &amp; Shirtliff</t>
  </si>
  <si>
    <t>USAID report on PUE sector Rwanda 2020 - with agroprocessing product catalogue</t>
  </si>
  <si>
    <t>Websites to look at</t>
  </si>
  <si>
    <t>https://www.usaid.gov/sites/default/files/documents/Power-Africa-PUE-2020-Catalog-Rwanda.pdf</t>
  </si>
  <si>
    <t>e-shops</t>
  </si>
  <si>
    <t>https://jiji.ng/farm-machinery-equipment</t>
  </si>
  <si>
    <t>Camco (chinese company with subsidiaries in Zambia)</t>
  </si>
  <si>
    <t>maize thresher, peanut sheller</t>
  </si>
  <si>
    <t>https://www.vmulticlassifieds.co.zw/category-t/shelling-machines,256.html</t>
  </si>
  <si>
    <t>https://www.facebook.com/ExotischEnterprise/</t>
  </si>
  <si>
    <t>Companies that sell agri machinery but dont have website</t>
  </si>
  <si>
    <t>Solar equipment (panels, batteries)</t>
  </si>
  <si>
    <t>https://www.camco.cn/product/solar-panel/</t>
  </si>
  <si>
    <t>Maize sheller</t>
  </si>
  <si>
    <t>https://www.agriuniverse.co.zw/machinery-tools-and-equipment/grinding-mills-shelling-machines-peanut-butter-making-machines-etc/maize-thresher-with-electric-motor.html</t>
  </si>
  <si>
    <t>https://jiji.ng/farm-machinery-equipment?filter_attr_1623_type=Milling%20Machines</t>
  </si>
  <si>
    <t>Evergreen Machinery</t>
  </si>
  <si>
    <t>Solar water pumps</t>
  </si>
  <si>
    <t>https://www.camco.cn/product/solar-dc-submersible-pumps/</t>
  </si>
  <si>
    <t>peanut butter machine</t>
  </si>
  <si>
    <t>Diesel maize sheller</t>
  </si>
  <si>
    <t>Agrotech</t>
  </si>
  <si>
    <t>https://www.camco.cn/product/maize-sheller/</t>
  </si>
  <si>
    <t>Price ZMK 21000 - 1000 kg/hr (FB site)</t>
  </si>
  <si>
    <t>https://www.afrimash.com/shop/agricultural-equipment-section/agricultural-equipment/maize-shelling-machine-350-kg-hr/</t>
  </si>
  <si>
    <t>Orange Machinery &amp; parts</t>
  </si>
  <si>
    <t>Maize dehuller</t>
  </si>
  <si>
    <t>https://www.camco.cn/product/maize-deluller/</t>
  </si>
  <si>
    <t>Kurima Machinery</t>
  </si>
  <si>
    <t>Rice mill</t>
  </si>
  <si>
    <t>https://www.camco.cn/product/combine-rice-mill/</t>
  </si>
  <si>
    <t>http://www.kurimamachinery.com/maize-shellers/</t>
  </si>
  <si>
    <t>Electric maize sheller</t>
  </si>
  <si>
    <t>Rice destoner</t>
  </si>
  <si>
    <t>https://www.camco.cn/product/stone-seperator/</t>
  </si>
  <si>
    <t>Hammer mill (grinding any dry grain - maize, sorghum)</t>
  </si>
  <si>
    <t>http://www.kurimamachinery.com/product/hammermill/</t>
  </si>
  <si>
    <t>https://farmpays.com/product/maize-sheller-agricultural-equipment/</t>
  </si>
  <si>
    <t>Rice grading siever</t>
  </si>
  <si>
    <t>https://www.camco.cn/product/rice-grading-sieve/</t>
  </si>
  <si>
    <t>Multi-crop sheller (sorghum)</t>
  </si>
  <si>
    <t>http://www.kurimamachinery.com/product/multi-crop-thresher/</t>
  </si>
  <si>
    <t>Not many suitable grain dryers found online</t>
  </si>
  <si>
    <t>Oil machine (groundnut)</t>
  </si>
  <si>
    <t>https://www.camco.cn/product/oil-expeller/</t>
  </si>
  <si>
    <t>Price ZMK 35000 - ZMK 75000 (FB site)</t>
  </si>
  <si>
    <t>Electric motor water pump (they also have diesel pumps)</t>
  </si>
  <si>
    <t>http://www.kurimamachinery.com/product/electric-motor-water-pump/</t>
  </si>
  <si>
    <t>Groundwater pump (w PV)</t>
  </si>
  <si>
    <t>One start-up doing fee as a service for drying grains - CropTech</t>
  </si>
  <si>
    <t>Peanut butter machine</t>
  </si>
  <si>
    <t>https://www.camco.cn/product/peanut-butter-machine/</t>
  </si>
  <si>
    <t>https://solarcreed.com/collections/solar-water-pump</t>
  </si>
  <si>
    <t>Mecmar sold some grain dryers in Rwanda, but larger scale (26tn/24h the smallest one) - no info on prices found - electric</t>
  </si>
  <si>
    <t>Hammer mill (crushes / grinds maize, cassava)</t>
  </si>
  <si>
    <t>https://www.camco.cn/product/hammer-mill/</t>
  </si>
  <si>
    <t>Tanroy Engineering</t>
  </si>
  <si>
    <t>https://www.tanroy.com/products</t>
  </si>
  <si>
    <t>Easy Dry 500 maize dryer - seems to be in pilot stages of development still - petrol engine + cobs burning</t>
  </si>
  <si>
    <t>Disc mill (maize)</t>
  </si>
  <si>
    <t>https://www.camco.cn/product/disc-mill/</t>
  </si>
  <si>
    <t>Maize sheller (electric)</t>
  </si>
  <si>
    <t>https://www.tanroy.com/products/maize_sheller_electric/340</t>
  </si>
  <si>
    <t>No specs nor prices in the website</t>
  </si>
  <si>
    <t>All cassava dryers are currently large scale</t>
  </si>
  <si>
    <t>Grinding mill</t>
  </si>
  <si>
    <t>https://www.tanroy.com/products/grinding_mill_engine_driven/341</t>
  </si>
  <si>
    <t>https://www.grainpro.com/grainpro-bubble-dryer</t>
  </si>
  <si>
    <t>Groundnut sheller (I think its diesel)</t>
  </si>
  <si>
    <t>https://www.facebook.com/273118020189834/posts/groundnut-shelling-machine-at-affordable-price-we-make-make-all-types-1manual-2-/754438438724454/</t>
  </si>
  <si>
    <t>Mobile gravity mill (diesel)</t>
  </si>
  <si>
    <t>https://www.tanroy.com/products/mobile_gravity_mill/8aLp6ONLyAZw433834</t>
  </si>
  <si>
    <t>Prices of maize grinding machines (2022)</t>
  </si>
  <si>
    <t>https://nigerianprice.com/maize-grinding-machine-prices-in-nigeria/</t>
  </si>
  <si>
    <t>Dehuller (electric)</t>
  </si>
  <si>
    <t>https://www.tanroy.com/products/dehuller_electric/343</t>
  </si>
  <si>
    <t>Price of rice destoner</t>
  </si>
  <si>
    <t>https://nigerianprice.com/rice-destoning-machine-prices-in-nigeria/</t>
  </si>
  <si>
    <t>Cassava processing is done by a few "medium" scale processing plants</t>
  </si>
  <si>
    <t>Multi-crop thresher (electric)</t>
  </si>
  <si>
    <t>https://www.tanroy.com/products/multi_crop_thrasher_electric/345</t>
  </si>
  <si>
    <t>Price of some machines in general</t>
  </si>
  <si>
    <t>https://nigerianprice.com/machines/</t>
  </si>
  <si>
    <t>No equipment has been found online for cassava</t>
  </si>
  <si>
    <t>https://www.tanroy.com/products/pot_peanut_butter_machine/kdLABQLP2pyg433831</t>
  </si>
  <si>
    <t>Groundnut sheller</t>
  </si>
  <si>
    <t>https://www.tanroy.com/products/groundnut_sheller_1tonnehr/La5b9rd2jM1W433829</t>
  </si>
  <si>
    <t>Bennie Agro</t>
  </si>
  <si>
    <t>https://bennietech.com/product</t>
  </si>
  <si>
    <t>Electric roaster</t>
  </si>
  <si>
    <t>https://www.tanroy.com/products/electric_roaster/9n1AVB1ayABX433835</t>
  </si>
  <si>
    <t>Maize / rice sheller/thresher (petrol 5.5 hp)</t>
  </si>
  <si>
    <t>Cassava grater and chipper (electric)</t>
  </si>
  <si>
    <t>https://www.tanroy.com/products/cassava_grater_chipper_electric/339</t>
  </si>
  <si>
    <t>Maize (de)huller</t>
  </si>
  <si>
    <t>Garri sieve</t>
  </si>
  <si>
    <t>Cassava Peeler</t>
  </si>
  <si>
    <t>Mini drier</t>
  </si>
  <si>
    <t>Hammer mill</t>
  </si>
  <si>
    <t>Maize / Rice / Cassava mills</t>
  </si>
  <si>
    <t>Surface water pump</t>
  </si>
  <si>
    <t>Agrikhub</t>
  </si>
  <si>
    <t>https://agrikhub.com/big/</t>
  </si>
  <si>
    <t>AMEFAN (agricultural machineries and equipment fabricators association)</t>
  </si>
  <si>
    <t>http://amefan.org/</t>
  </si>
  <si>
    <t>no info in the website</t>
  </si>
  <si>
    <t>http://www.krishannigeria.com/grain-grinding-mills.php#paddy</t>
  </si>
  <si>
    <t>Other companies with agro processing equipment but no specs / prices online found</t>
  </si>
  <si>
    <t>Wilsotech Machinery</t>
  </si>
  <si>
    <t>https://jiji.ng/sellerpage-4318975</t>
  </si>
  <si>
    <t>Best Royal Agro</t>
  </si>
  <si>
    <t>http://www.bestroyalagro.com/index.php?pname=products</t>
  </si>
  <si>
    <t>Chinige Technology Services</t>
  </si>
  <si>
    <t>https://jiji.ng/shop/chinige-technology?listing_id=QLZf8HaV09SqBruI&amp;filter_category=289</t>
  </si>
  <si>
    <t>Bio Treasures International</t>
  </si>
  <si>
    <t>https://jiji.ng/shop/biotreasuresagro?page=2&amp;listing_id=xMK-sUQF8sD2F160</t>
  </si>
  <si>
    <t>https://btiagro.com.ng/</t>
  </si>
  <si>
    <t>Nobex Technologies Ltd (cassava processing machinery)</t>
  </si>
  <si>
    <t>https://businessday.ng/real-sector/article/nobex-pioneers-standard-in-africas-cassava-processing-value-chain/</t>
  </si>
  <si>
    <t>Cassava flash drier (big scale)</t>
  </si>
  <si>
    <t>https://jiji.ng/lagos-abule-egba/farm-machinery-equipment/flash-dryer-6-tons-day-q2bYfSGuvwEFmi51tRmakOPt.html</t>
  </si>
  <si>
    <t>Water pumps</t>
  </si>
  <si>
    <t>https://solarstores.org/#</t>
  </si>
  <si>
    <t>https://www.gosolarmart.com/es/solar-water-pumps</t>
  </si>
  <si>
    <t>Price corn grinding machine (2nd source)</t>
  </si>
  <si>
    <t>https://nigeriantech.com.ng/maize-grinding-machine-prices-in-nigeria/</t>
  </si>
  <si>
    <t>User to answer questions in blue:</t>
  </si>
  <si>
    <t>User to configure:</t>
  </si>
  <si>
    <r>
      <rPr>
        <b/>
        <sz val="11"/>
        <color rgb="FF000000"/>
        <rFont val="Arial"/>
        <family val="2"/>
        <scheme val="minor"/>
      </rPr>
      <t>Irrigation second season definitions:</t>
    </r>
    <r>
      <rPr>
        <sz val="11"/>
        <color rgb="FF000000"/>
        <rFont val="Arial"/>
        <family val="2"/>
        <scheme val="minor"/>
      </rPr>
      <t xml:space="preserve">
1. No: No second season irrigation. Thus only irrigation during rainy season
2. Mono-cultivation: Two seasons of staple crop cultivation enabled by year-round access to irrigation.
3. Crop rotation: Again year-round irrigation, but diversifying through one season with staple crop and the other with horticulture (tomato used as test case)
4. Year-round horticulture: Again year-round irrigation, but no cultivation of staple crop, only horticulture (year-round horticulture only selectable in horticulture columns - P, AB, AQ &amp; BE).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</si>
</sst>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
    <numFmt numFmtId="166" formatCode="[$$]#,##0"/>
    <numFmt numFmtId="167" formatCode="0.0"/>
    <numFmt numFmtId="168" formatCode="0.0000"/>
  </numFmts>
  <fonts count="31" x14ac:knownFonts="1">
    <font>
      <sz val="10"/>
      <color rgb="FF000000"/>
      <name val="Arial"/>
      <scheme val="minor"/>
    </font>
    <font>
      <b/>
      <sz val="10"/>
      <color rgb="FFFFFFFF"/>
      <name val="Arial"/>
      <family val="2"/>
      <scheme val="minor"/>
    </font>
    <font>
      <sz val="10"/>
      <color rgb="FFFFFFFF"/>
      <name val="Arial"/>
      <family val="2"/>
      <scheme val="minor"/>
    </font>
    <font>
      <sz val="10"/>
      <name val="Arial"/>
      <family val="2"/>
    </font>
    <font>
      <b/>
      <sz val="10"/>
      <color rgb="FF000000"/>
      <name val="Arial"/>
      <family val="2"/>
      <scheme val="minor"/>
    </font>
    <font>
      <b/>
      <sz val="10"/>
      <color rgb="FF000000"/>
      <name val="Arial"/>
      <family val="2"/>
    </font>
    <font>
      <sz val="10"/>
      <color theme="1"/>
      <name val="Arial"/>
      <family val="2"/>
      <scheme val="minor"/>
    </font>
    <font>
      <sz val="10"/>
      <color rgb="FF000000"/>
      <name val="Arial"/>
      <family val="2"/>
    </font>
    <font>
      <sz val="10"/>
      <color rgb="FFE69138"/>
      <name val="Arial"/>
      <family val="2"/>
      <scheme val="minor"/>
    </font>
    <font>
      <sz val="10"/>
      <color rgb="FF000000"/>
      <name val="Arial"/>
      <family val="2"/>
      <scheme val="minor"/>
    </font>
    <font>
      <b/>
      <sz val="10"/>
      <color theme="1"/>
      <name val="Arial"/>
      <family val="2"/>
      <scheme val="minor"/>
    </font>
    <font>
      <sz val="10"/>
      <color theme="1"/>
      <name val="Arial"/>
      <family val="2"/>
    </font>
    <font>
      <b/>
      <sz val="10"/>
      <color theme="0"/>
      <name val="Arial"/>
      <family val="2"/>
      <scheme val="minor"/>
    </font>
    <font>
      <sz val="10"/>
      <color rgb="FFF6B26B"/>
      <name val="Arial"/>
      <family val="2"/>
      <scheme val="minor"/>
    </font>
    <font>
      <sz val="10"/>
      <color rgb="FFFFFFFF"/>
      <name val="Arial"/>
      <family val="2"/>
    </font>
    <font>
      <u/>
      <sz val="10"/>
      <color rgb="FF1155CC"/>
      <name val="Arial"/>
      <family val="2"/>
    </font>
    <font>
      <b/>
      <sz val="10"/>
      <color rgb="FFF8F9FA"/>
      <name val="Arial"/>
      <family val="2"/>
      <scheme val="minor"/>
    </font>
    <font>
      <i/>
      <sz val="10"/>
      <color theme="1"/>
      <name val="Arial"/>
      <family val="2"/>
      <scheme val="minor"/>
    </font>
    <font>
      <u/>
      <sz val="10"/>
      <color rgb="FF0000FF"/>
      <name val="Arial"/>
      <family val="2"/>
    </font>
    <font>
      <u/>
      <sz val="10"/>
      <color rgb="FF0000FF"/>
      <name val="Arial"/>
      <family val="2"/>
    </font>
    <font>
      <b/>
      <sz val="10"/>
      <color theme="1"/>
      <name val="Arial"/>
      <family val="2"/>
    </font>
    <font>
      <sz val="10"/>
      <color rgb="FF000000"/>
      <name val="Roboto"/>
    </font>
    <font>
      <u/>
      <sz val="10"/>
      <color rgb="FF0000FF"/>
      <name val="Arial"/>
      <family val="2"/>
    </font>
    <font>
      <u/>
      <sz val="10"/>
      <color rgb="FF0000FF"/>
      <name val="Arial"/>
      <family val="2"/>
    </font>
    <font>
      <u/>
      <sz val="10"/>
      <color rgb="FF0000FF"/>
      <name val="Arial"/>
      <family val="2"/>
    </font>
    <font>
      <u/>
      <sz val="10"/>
      <color rgb="FF0000FF"/>
      <name val="Arial"/>
      <family val="2"/>
    </font>
    <font>
      <b/>
      <sz val="10"/>
      <color rgb="FFFFFFFF"/>
      <name val="Arial"/>
      <family val="2"/>
    </font>
    <font>
      <b/>
      <u/>
      <sz val="10"/>
      <color rgb="FFFFFFFF"/>
      <name val="Arial"/>
      <family val="2"/>
    </font>
    <font>
      <b/>
      <sz val="12"/>
      <color rgb="FF000000"/>
      <name val="Arial"/>
      <family val="2"/>
      <scheme val="minor"/>
    </font>
    <font>
      <sz val="11"/>
      <color rgb="FF000000"/>
      <name val="Arial"/>
      <family val="2"/>
      <scheme val="minor"/>
    </font>
    <font>
      <b/>
      <sz val="11"/>
      <color rgb="FF000000"/>
      <name val="Arial"/>
      <family val="2"/>
      <scheme val="minor"/>
    </font>
  </fonts>
  <fills count="26">
    <fill>
      <patternFill patternType="none"/>
    </fill>
    <fill>
      <patternFill patternType="gray125"/>
    </fill>
    <fill>
      <patternFill patternType="solid">
        <fgColor rgb="FF1C4587"/>
        <bgColor rgb="FF1C4587"/>
      </patternFill>
    </fill>
    <fill>
      <patternFill patternType="solid">
        <fgColor rgb="FFFFFFFF"/>
        <bgColor rgb="FFFFFFFF"/>
      </patternFill>
    </fill>
    <fill>
      <patternFill patternType="solid">
        <fgColor rgb="FFA4C2F4"/>
        <bgColor rgb="FFA4C2F4"/>
      </patternFill>
    </fill>
    <fill>
      <patternFill patternType="solid">
        <fgColor rgb="FF999999"/>
        <bgColor rgb="FF999999"/>
      </patternFill>
    </fill>
    <fill>
      <patternFill patternType="solid">
        <fgColor rgb="FF274E13"/>
        <bgColor rgb="FF274E13"/>
      </patternFill>
    </fill>
    <fill>
      <patternFill patternType="solid">
        <fgColor rgb="FFB6D7A8"/>
        <bgColor rgb="FFB6D7A8"/>
      </patternFill>
    </fill>
    <fill>
      <patternFill patternType="solid">
        <fgColor rgb="FF7F6000"/>
        <bgColor rgb="FF7F6000"/>
      </patternFill>
    </fill>
    <fill>
      <patternFill patternType="solid">
        <fgColor rgb="FFF9CB9C"/>
        <bgColor rgb="FFF9CB9C"/>
      </patternFill>
    </fill>
    <fill>
      <patternFill patternType="solid">
        <fgColor rgb="FF5B0F00"/>
        <bgColor rgb="FF5B0F00"/>
      </patternFill>
    </fill>
    <fill>
      <patternFill patternType="solid">
        <fgColor rgb="FFE6B8AF"/>
        <bgColor rgb="FFE6B8AF"/>
      </patternFill>
    </fill>
    <fill>
      <patternFill patternType="solid">
        <fgColor rgb="FFF4CCCC"/>
        <bgColor rgb="FFF4CCCC"/>
      </patternFill>
    </fill>
    <fill>
      <patternFill patternType="solid">
        <fgColor rgb="FF000000"/>
        <bgColor rgb="FF000000"/>
      </patternFill>
    </fill>
    <fill>
      <patternFill patternType="solid">
        <fgColor rgb="FF073763"/>
        <bgColor rgb="FF073763"/>
      </patternFill>
    </fill>
    <fill>
      <patternFill patternType="solid">
        <fgColor rgb="FF9FC5E8"/>
        <bgColor rgb="FF9FC5E8"/>
      </patternFill>
    </fill>
    <fill>
      <patternFill patternType="solid">
        <fgColor rgb="FFCFE2F3"/>
        <bgColor rgb="FFCFE2F3"/>
      </patternFill>
    </fill>
    <fill>
      <patternFill patternType="solid">
        <fgColor rgb="FFD9EAD3"/>
        <bgColor rgb="FFD9EAD3"/>
      </patternFill>
    </fill>
    <fill>
      <patternFill patternType="solid">
        <fgColor rgb="FFFFE599"/>
        <bgColor rgb="FFFFE599"/>
      </patternFill>
    </fill>
    <fill>
      <patternFill patternType="solid">
        <fgColor rgb="FFFFF2CC"/>
        <bgColor rgb="FFFFF2CC"/>
      </patternFill>
    </fill>
    <fill>
      <patternFill patternType="solid">
        <fgColor rgb="FFDD7E6B"/>
        <bgColor rgb="FFDD7E6B"/>
      </patternFill>
    </fill>
    <fill>
      <patternFill patternType="solid">
        <fgColor rgb="FFD9D9D9"/>
        <bgColor rgb="FFD9D9D9"/>
      </patternFill>
    </fill>
    <fill>
      <patternFill patternType="solid">
        <fgColor rgb="FFCCCCCC"/>
        <bgColor rgb="FFCCCCCC"/>
      </patternFill>
    </fill>
    <fill>
      <patternFill patternType="solid">
        <fgColor theme="0"/>
        <bgColor theme="0"/>
      </patternFill>
    </fill>
    <fill>
      <patternFill patternType="solid">
        <fgColor theme="2" tint="-0.34998626667073579"/>
        <bgColor indexed="64"/>
      </patternFill>
    </fill>
    <fill>
      <patternFill patternType="solid">
        <fgColor theme="8" tint="0.79998168889431442"/>
        <bgColor indexed="64"/>
      </patternFill>
    </fill>
  </fills>
  <borders count="18">
    <border>
      <left/>
      <right/>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top/>
      <bottom style="thin">
        <color rgb="FF000000"/>
      </bottom>
      <diagonal/>
    </border>
  </borders>
  <cellStyleXfs count="1">
    <xf numFmtId="0" fontId="0" fillId="0" borderId="0"/>
  </cellStyleXfs>
  <cellXfs count="372">
    <xf numFmtId="0" fontId="0" fillId="0" borderId="0" xfId="0"/>
    <xf numFmtId="0" fontId="6" fillId="3" borderId="0" xfId="0" applyFont="1" applyFill="1" applyAlignment="1">
      <alignment horizontal="center"/>
    </xf>
    <xf numFmtId="0" fontId="6" fillId="0" borderId="0" xfId="0" applyFont="1"/>
    <xf numFmtId="0" fontId="1" fillId="8" borderId="0" xfId="0" applyFont="1" applyFill="1" applyAlignment="1">
      <alignment horizontal="center"/>
    </xf>
    <xf numFmtId="0" fontId="1" fillId="10" borderId="0" xfId="0" applyFont="1" applyFill="1" applyAlignment="1">
      <alignment horizontal="center"/>
    </xf>
    <xf numFmtId="0" fontId="10" fillId="0" borderId="0" xfId="0" applyFont="1"/>
    <xf numFmtId="0" fontId="6" fillId="16" borderId="8" xfId="0" applyFont="1" applyFill="1" applyBorder="1" applyAlignment="1">
      <alignment horizontal="center"/>
    </xf>
    <xf numFmtId="0" fontId="6" fillId="17" borderId="8" xfId="0" applyFont="1" applyFill="1" applyBorder="1" applyAlignment="1">
      <alignment horizontal="center"/>
    </xf>
    <xf numFmtId="0" fontId="6" fillId="19" borderId="8" xfId="0" applyFont="1" applyFill="1" applyBorder="1" applyAlignment="1">
      <alignment horizontal="center"/>
    </xf>
    <xf numFmtId="0" fontId="6" fillId="11" borderId="8" xfId="0" applyFont="1" applyFill="1" applyBorder="1" applyAlignment="1">
      <alignment horizontal="center"/>
    </xf>
    <xf numFmtId="0" fontId="11" fillId="0" borderId="0" xfId="0" applyFont="1"/>
    <xf numFmtId="0" fontId="16" fillId="14" borderId="0" xfId="0" applyFont="1" applyFill="1" applyAlignment="1">
      <alignment horizontal="center"/>
    </xf>
    <xf numFmtId="0" fontId="12" fillId="6" borderId="0" xfId="0" applyFont="1" applyFill="1" applyAlignment="1">
      <alignment horizontal="center"/>
    </xf>
    <xf numFmtId="0" fontId="6" fillId="15" borderId="7" xfId="0" applyFont="1" applyFill="1" applyBorder="1" applyAlignment="1">
      <alignment horizontal="center"/>
    </xf>
    <xf numFmtId="0" fontId="6" fillId="7" borderId="7" xfId="0" applyFont="1" applyFill="1" applyBorder="1" applyAlignment="1">
      <alignment horizontal="center"/>
    </xf>
    <xf numFmtId="0" fontId="6" fillId="18" borderId="7" xfId="0" applyFont="1" applyFill="1" applyBorder="1" applyAlignment="1">
      <alignment horizontal="center"/>
    </xf>
    <xf numFmtId="0" fontId="6" fillId="20" borderId="0" xfId="0" applyFont="1" applyFill="1" applyAlignment="1">
      <alignment horizontal="center"/>
    </xf>
    <xf numFmtId="0" fontId="6" fillId="16" borderId="11" xfId="0" applyFont="1" applyFill="1" applyBorder="1" applyAlignment="1">
      <alignment horizontal="center"/>
    </xf>
    <xf numFmtId="166" fontId="6" fillId="0" borderId="0" xfId="0" applyNumberFormat="1" applyFont="1"/>
    <xf numFmtId="165" fontId="6" fillId="0" borderId="0" xfId="0" applyNumberFormat="1" applyFont="1"/>
    <xf numFmtId="9" fontId="6" fillId="0" borderId="0" xfId="0" applyNumberFormat="1" applyFont="1"/>
    <xf numFmtId="0" fontId="18" fillId="0" borderId="0" xfId="0" applyFont="1"/>
    <xf numFmtId="0" fontId="7" fillId="3" borderId="0" xfId="0" applyFont="1" applyFill="1" applyAlignment="1">
      <alignment horizontal="left"/>
    </xf>
    <xf numFmtId="0" fontId="21" fillId="3" borderId="0" xfId="0" applyFont="1" applyFill="1"/>
    <xf numFmtId="0" fontId="22" fillId="3" borderId="0" xfId="0" applyFont="1" applyFill="1" applyAlignment="1">
      <alignment horizontal="left"/>
    </xf>
    <xf numFmtId="0" fontId="23" fillId="0" borderId="0" xfId="0" applyFont="1"/>
    <xf numFmtId="0" fontId="24" fillId="0" borderId="0" xfId="0" applyFont="1"/>
    <xf numFmtId="0" fontId="9" fillId="0" borderId="0" xfId="0" applyFont="1"/>
    <xf numFmtId="0" fontId="25" fillId="0" borderId="0" xfId="0" applyFont="1"/>
    <xf numFmtId="0" fontId="0" fillId="0" borderId="0" xfId="0" applyProtection="1">
      <protection locked="0"/>
    </xf>
    <xf numFmtId="0" fontId="4" fillId="3" borderId="0" xfId="0" applyFont="1" applyFill="1" applyAlignment="1" applyProtection="1">
      <alignment horizontal="center"/>
      <protection locked="0"/>
    </xf>
    <xf numFmtId="0" fontId="4" fillId="3" borderId="1" xfId="0" applyFont="1" applyFill="1" applyBorder="1" applyAlignment="1" applyProtection="1">
      <alignment horizontal="center"/>
      <protection locked="0"/>
    </xf>
    <xf numFmtId="0" fontId="6" fillId="3" borderId="0" xfId="0" applyFont="1" applyFill="1" applyAlignment="1" applyProtection="1">
      <alignment horizontal="center"/>
      <protection locked="0"/>
    </xf>
    <xf numFmtId="0" fontId="6" fillId="3" borderId="1" xfId="0" applyFont="1" applyFill="1" applyBorder="1" applyAlignment="1" applyProtection="1">
      <alignment horizontal="center"/>
      <protection locked="0"/>
    </xf>
    <xf numFmtId="0" fontId="6" fillId="4" borderId="0" xfId="0" applyFont="1" applyFill="1" applyAlignment="1" applyProtection="1">
      <alignment horizontal="center"/>
      <protection locked="0"/>
    </xf>
    <xf numFmtId="0" fontId="6" fillId="4" borderId="1" xfId="0" applyFont="1" applyFill="1" applyBorder="1" applyAlignment="1" applyProtection="1">
      <alignment horizontal="center"/>
      <protection locked="0"/>
    </xf>
    <xf numFmtId="164" fontId="6" fillId="4" borderId="0" xfId="0" applyNumberFormat="1" applyFont="1" applyFill="1" applyAlignment="1" applyProtection="1">
      <alignment horizontal="center"/>
      <protection locked="0"/>
    </xf>
    <xf numFmtId="164" fontId="6" fillId="4" borderId="1" xfId="0" applyNumberFormat="1" applyFont="1" applyFill="1" applyBorder="1" applyAlignment="1" applyProtection="1">
      <alignment horizontal="center"/>
      <protection locked="0"/>
    </xf>
    <xf numFmtId="1" fontId="6" fillId="4" borderId="0" xfId="0" applyNumberFormat="1" applyFont="1" applyFill="1" applyAlignment="1" applyProtection="1">
      <alignment horizontal="center"/>
      <protection locked="0"/>
    </xf>
    <xf numFmtId="1" fontId="6" fillId="4" borderId="1" xfId="0" applyNumberFormat="1" applyFont="1" applyFill="1" applyBorder="1" applyAlignment="1" applyProtection="1">
      <alignment horizontal="center"/>
      <protection locked="0"/>
    </xf>
    <xf numFmtId="0" fontId="8" fillId="4" borderId="0" xfId="0" applyFont="1" applyFill="1" applyAlignment="1" applyProtection="1">
      <alignment horizontal="center"/>
      <protection locked="0"/>
    </xf>
    <xf numFmtId="0" fontId="9" fillId="4" borderId="0" xfId="0" applyFont="1" applyFill="1" applyAlignment="1" applyProtection="1">
      <alignment horizontal="center"/>
      <protection locked="0"/>
    </xf>
    <xf numFmtId="0" fontId="8" fillId="4" borderId="1" xfId="0" applyFont="1" applyFill="1" applyBorder="1" applyAlignment="1" applyProtection="1">
      <alignment horizontal="center"/>
      <protection locked="0"/>
    </xf>
    <xf numFmtId="165" fontId="6" fillId="4" borderId="0" xfId="0" applyNumberFormat="1" applyFont="1" applyFill="1" applyAlignment="1" applyProtection="1">
      <alignment horizontal="center"/>
      <protection locked="0"/>
    </xf>
    <xf numFmtId="166" fontId="6" fillId="4" borderId="0" xfId="0" applyNumberFormat="1" applyFont="1" applyFill="1" applyAlignment="1" applyProtection="1">
      <alignment horizontal="center"/>
      <protection locked="0"/>
    </xf>
    <xf numFmtId="4" fontId="6" fillId="4" borderId="0" xfId="0" applyNumberFormat="1" applyFont="1" applyFill="1" applyAlignment="1" applyProtection="1">
      <alignment horizontal="center"/>
      <protection locked="0"/>
    </xf>
    <xf numFmtId="166" fontId="6" fillId="4" borderId="1" xfId="0" applyNumberFormat="1" applyFont="1" applyFill="1" applyBorder="1" applyAlignment="1" applyProtection="1">
      <alignment horizontal="center"/>
      <protection locked="0"/>
    </xf>
    <xf numFmtId="3" fontId="6" fillId="4" borderId="0" xfId="0" applyNumberFormat="1" applyFont="1" applyFill="1" applyAlignment="1" applyProtection="1">
      <alignment horizontal="center"/>
      <protection locked="0"/>
    </xf>
    <xf numFmtId="3" fontId="6" fillId="4" borderId="1" xfId="0" applyNumberFormat="1" applyFont="1" applyFill="1" applyBorder="1" applyAlignment="1" applyProtection="1">
      <alignment horizontal="center"/>
      <protection locked="0"/>
    </xf>
    <xf numFmtId="4" fontId="6" fillId="4" borderId="1" xfId="0" applyNumberFormat="1" applyFont="1" applyFill="1" applyBorder="1" applyAlignment="1" applyProtection="1">
      <alignment horizontal="center"/>
      <protection locked="0"/>
    </xf>
    <xf numFmtId="0" fontId="6" fillId="0" borderId="0" xfId="0" applyFont="1" applyAlignment="1" applyProtection="1">
      <alignment horizontal="center"/>
      <protection locked="0"/>
    </xf>
    <xf numFmtId="0" fontId="6" fillId="0" borderId="0" xfId="0" applyFont="1" applyProtection="1">
      <protection locked="0"/>
    </xf>
    <xf numFmtId="1" fontId="6" fillId="0" borderId="0" xfId="0" applyNumberFormat="1" applyFont="1" applyAlignment="1" applyProtection="1">
      <alignment horizontal="center"/>
      <protection locked="0"/>
    </xf>
    <xf numFmtId="0" fontId="2" fillId="6" borderId="0" xfId="0" applyFont="1" applyFill="1" applyAlignment="1" applyProtection="1">
      <alignment horizontal="left"/>
      <protection locked="0"/>
    </xf>
    <xf numFmtId="0" fontId="6" fillId="0" borderId="1" xfId="0" applyFont="1" applyBorder="1" applyProtection="1">
      <protection locked="0"/>
    </xf>
    <xf numFmtId="0" fontId="6" fillId="7" borderId="0" xfId="0" applyFont="1" applyFill="1" applyAlignment="1" applyProtection="1">
      <alignment horizontal="center"/>
      <protection locked="0"/>
    </xf>
    <xf numFmtId="0" fontId="6" fillId="7" borderId="1" xfId="0" applyFont="1" applyFill="1" applyBorder="1" applyAlignment="1" applyProtection="1">
      <alignment horizontal="center"/>
      <protection locked="0"/>
    </xf>
    <xf numFmtId="1" fontId="6" fillId="7" borderId="0" xfId="0" applyNumberFormat="1" applyFont="1" applyFill="1" applyAlignment="1" applyProtection="1">
      <alignment horizontal="center"/>
      <protection locked="0"/>
    </xf>
    <xf numFmtId="1" fontId="6" fillId="7" borderId="1" xfId="0" applyNumberFormat="1" applyFont="1" applyFill="1" applyBorder="1" applyAlignment="1" applyProtection="1">
      <alignment horizontal="center"/>
      <protection locked="0"/>
    </xf>
    <xf numFmtId="164" fontId="6" fillId="7" borderId="0" xfId="0" applyNumberFormat="1" applyFont="1" applyFill="1" applyAlignment="1" applyProtection="1">
      <alignment horizontal="center"/>
      <protection locked="0"/>
    </xf>
    <xf numFmtId="164" fontId="6" fillId="7" borderId="1" xfId="0" applyNumberFormat="1" applyFont="1" applyFill="1" applyBorder="1" applyAlignment="1" applyProtection="1">
      <alignment horizontal="center"/>
      <protection locked="0"/>
    </xf>
    <xf numFmtId="165" fontId="6" fillId="7" borderId="0" xfId="0" applyNumberFormat="1" applyFont="1" applyFill="1" applyAlignment="1" applyProtection="1">
      <alignment horizontal="center"/>
      <protection locked="0"/>
    </xf>
    <xf numFmtId="165" fontId="8" fillId="7" borderId="0" xfId="0" applyNumberFormat="1" applyFont="1" applyFill="1" applyAlignment="1" applyProtection="1">
      <alignment horizontal="center"/>
      <protection locked="0"/>
    </xf>
    <xf numFmtId="165" fontId="8" fillId="7" borderId="1" xfId="0" applyNumberFormat="1" applyFont="1" applyFill="1" applyBorder="1" applyAlignment="1" applyProtection="1">
      <alignment horizontal="center"/>
      <protection locked="0"/>
    </xf>
    <xf numFmtId="166" fontId="6" fillId="7" borderId="0" xfId="0" applyNumberFormat="1" applyFont="1" applyFill="1" applyAlignment="1" applyProtection="1">
      <alignment horizontal="center"/>
      <protection locked="0"/>
    </xf>
    <xf numFmtId="2" fontId="6" fillId="7" borderId="0" xfId="0" applyNumberFormat="1" applyFont="1" applyFill="1" applyAlignment="1" applyProtection="1">
      <alignment horizontal="center"/>
      <protection locked="0"/>
    </xf>
    <xf numFmtId="2" fontId="6" fillId="0" borderId="0" xfId="0" applyNumberFormat="1" applyFont="1" applyProtection="1">
      <protection locked="0"/>
    </xf>
    <xf numFmtId="166" fontId="6" fillId="7" borderId="1" xfId="0" applyNumberFormat="1" applyFont="1" applyFill="1" applyBorder="1" applyAlignment="1" applyProtection="1">
      <alignment horizontal="center"/>
      <protection locked="0"/>
    </xf>
    <xf numFmtId="1" fontId="9" fillId="7" borderId="0" xfId="0" applyNumberFormat="1" applyFont="1" applyFill="1" applyAlignment="1" applyProtection="1">
      <alignment horizontal="center"/>
      <protection locked="0"/>
    </xf>
    <xf numFmtId="1" fontId="9" fillId="7" borderId="1" xfId="0" applyNumberFormat="1" applyFont="1" applyFill="1" applyBorder="1" applyAlignment="1" applyProtection="1">
      <alignment horizontal="center"/>
      <protection locked="0"/>
    </xf>
    <xf numFmtId="2" fontId="9" fillId="7" borderId="0" xfId="0" applyNumberFormat="1" applyFont="1" applyFill="1" applyAlignment="1" applyProtection="1">
      <alignment horizontal="center"/>
      <protection locked="0"/>
    </xf>
    <xf numFmtId="2" fontId="9" fillId="7" borderId="1" xfId="0" applyNumberFormat="1" applyFont="1" applyFill="1" applyBorder="1" applyAlignment="1" applyProtection="1">
      <alignment horizontal="center"/>
      <protection locked="0"/>
    </xf>
    <xf numFmtId="2" fontId="6" fillId="7" borderId="1" xfId="0" applyNumberFormat="1" applyFont="1" applyFill="1" applyBorder="1" applyAlignment="1" applyProtection="1">
      <alignment horizontal="center"/>
      <protection locked="0"/>
    </xf>
    <xf numFmtId="0" fontId="6" fillId="9" borderId="0" xfId="0" applyFont="1" applyFill="1" applyAlignment="1" applyProtection="1">
      <alignment horizontal="center"/>
      <protection locked="0"/>
    </xf>
    <xf numFmtId="0" fontId="6" fillId="9" borderId="1" xfId="0" applyFont="1" applyFill="1" applyBorder="1" applyAlignment="1" applyProtection="1">
      <alignment horizontal="center"/>
      <protection locked="0"/>
    </xf>
    <xf numFmtId="1" fontId="6" fillId="9" borderId="0" xfId="0" applyNumberFormat="1" applyFont="1" applyFill="1" applyAlignment="1" applyProtection="1">
      <alignment horizontal="center"/>
      <protection locked="0"/>
    </xf>
    <xf numFmtId="1" fontId="6" fillId="9" borderId="1" xfId="0" applyNumberFormat="1" applyFont="1" applyFill="1" applyBorder="1" applyAlignment="1" applyProtection="1">
      <alignment horizontal="center"/>
      <protection locked="0"/>
    </xf>
    <xf numFmtId="164" fontId="6" fillId="9" borderId="0" xfId="0" applyNumberFormat="1" applyFont="1" applyFill="1" applyAlignment="1" applyProtection="1">
      <alignment horizontal="center"/>
      <protection locked="0"/>
    </xf>
    <xf numFmtId="164" fontId="6" fillId="9" borderId="1" xfId="0" applyNumberFormat="1" applyFont="1" applyFill="1" applyBorder="1" applyAlignment="1" applyProtection="1">
      <alignment horizontal="center"/>
      <protection locked="0"/>
    </xf>
    <xf numFmtId="165" fontId="8" fillId="9" borderId="0" xfId="0" applyNumberFormat="1" applyFont="1" applyFill="1" applyAlignment="1" applyProtection="1">
      <alignment horizontal="center"/>
      <protection locked="0"/>
    </xf>
    <xf numFmtId="0" fontId="8" fillId="9" borderId="0" xfId="0" applyFont="1" applyFill="1" applyAlignment="1" applyProtection="1">
      <alignment horizontal="center"/>
      <protection locked="0"/>
    </xf>
    <xf numFmtId="0" fontId="8" fillId="9" borderId="1" xfId="0" applyFont="1" applyFill="1" applyBorder="1" applyAlignment="1" applyProtection="1">
      <alignment horizontal="center"/>
      <protection locked="0"/>
    </xf>
    <xf numFmtId="165" fontId="6" fillId="9" borderId="0" xfId="0" applyNumberFormat="1" applyFont="1" applyFill="1" applyAlignment="1" applyProtection="1">
      <alignment horizontal="center"/>
      <protection locked="0"/>
    </xf>
    <xf numFmtId="166" fontId="6" fillId="9" borderId="0" xfId="0" applyNumberFormat="1" applyFont="1" applyFill="1" applyAlignment="1" applyProtection="1">
      <alignment horizontal="center"/>
      <protection locked="0"/>
    </xf>
    <xf numFmtId="4" fontId="6" fillId="9" borderId="0" xfId="0" applyNumberFormat="1" applyFont="1" applyFill="1" applyAlignment="1" applyProtection="1">
      <alignment horizontal="center"/>
      <protection locked="0"/>
    </xf>
    <xf numFmtId="4" fontId="6" fillId="0" borderId="0" xfId="0" applyNumberFormat="1" applyFont="1" applyProtection="1">
      <protection locked="0"/>
    </xf>
    <xf numFmtId="166" fontId="6" fillId="9" borderId="1" xfId="0" applyNumberFormat="1" applyFont="1" applyFill="1" applyBorder="1" applyAlignment="1" applyProtection="1">
      <alignment horizontal="center"/>
      <protection locked="0"/>
    </xf>
    <xf numFmtId="3" fontId="6" fillId="9" borderId="0" xfId="0" applyNumberFormat="1" applyFont="1" applyFill="1" applyAlignment="1" applyProtection="1">
      <alignment horizontal="center"/>
      <protection locked="0"/>
    </xf>
    <xf numFmtId="3" fontId="6" fillId="9" borderId="1" xfId="0" applyNumberFormat="1" applyFont="1" applyFill="1" applyBorder="1" applyAlignment="1" applyProtection="1">
      <alignment horizontal="center"/>
      <protection locked="0"/>
    </xf>
    <xf numFmtId="4" fontId="6" fillId="9" borderId="1" xfId="0" applyNumberFormat="1" applyFont="1" applyFill="1" applyBorder="1" applyAlignment="1" applyProtection="1">
      <alignment horizontal="center"/>
      <protection locked="0"/>
    </xf>
    <xf numFmtId="4" fontId="6" fillId="0" borderId="0" xfId="0" applyNumberFormat="1" applyFont="1" applyAlignment="1" applyProtection="1">
      <alignment horizontal="center"/>
      <protection locked="0"/>
    </xf>
    <xf numFmtId="0" fontId="6" fillId="11" borderId="0" xfId="0" applyFont="1" applyFill="1" applyAlignment="1" applyProtection="1">
      <alignment horizontal="center"/>
      <protection locked="0"/>
    </xf>
    <xf numFmtId="0" fontId="6" fillId="11" borderId="1" xfId="0" applyFont="1" applyFill="1" applyBorder="1" applyAlignment="1" applyProtection="1">
      <alignment horizontal="center"/>
      <protection locked="0"/>
    </xf>
    <xf numFmtId="1" fontId="6" fillId="11" borderId="0" xfId="0" applyNumberFormat="1" applyFont="1" applyFill="1" applyAlignment="1" applyProtection="1">
      <alignment horizontal="center"/>
      <protection locked="0"/>
    </xf>
    <xf numFmtId="1" fontId="6" fillId="11" borderId="1" xfId="0" applyNumberFormat="1" applyFont="1" applyFill="1" applyBorder="1" applyAlignment="1" applyProtection="1">
      <alignment horizontal="center"/>
      <protection locked="0"/>
    </xf>
    <xf numFmtId="164" fontId="6" fillId="11" borderId="0" xfId="0" applyNumberFormat="1" applyFont="1" applyFill="1" applyAlignment="1" applyProtection="1">
      <alignment horizontal="center"/>
      <protection locked="0"/>
    </xf>
    <xf numFmtId="164" fontId="6" fillId="11" borderId="1" xfId="0" applyNumberFormat="1" applyFont="1" applyFill="1" applyBorder="1" applyAlignment="1" applyProtection="1">
      <alignment horizontal="center"/>
      <protection locked="0"/>
    </xf>
    <xf numFmtId="165" fontId="8" fillId="11" borderId="0" xfId="0" applyNumberFormat="1" applyFont="1" applyFill="1" applyAlignment="1" applyProtection="1">
      <alignment horizontal="center"/>
      <protection locked="0"/>
    </xf>
    <xf numFmtId="0" fontId="8" fillId="11" borderId="0" xfId="0" applyFont="1" applyFill="1" applyAlignment="1" applyProtection="1">
      <alignment horizontal="center"/>
      <protection locked="0"/>
    </xf>
    <xf numFmtId="0" fontId="8" fillId="11" borderId="1" xfId="0" applyFont="1" applyFill="1" applyBorder="1" applyAlignment="1" applyProtection="1">
      <alignment horizontal="center"/>
      <protection locked="0"/>
    </xf>
    <xf numFmtId="165" fontId="6" fillId="11" borderId="0" xfId="0" applyNumberFormat="1" applyFont="1" applyFill="1" applyAlignment="1" applyProtection="1">
      <alignment horizontal="center"/>
      <protection locked="0"/>
    </xf>
    <xf numFmtId="166" fontId="6" fillId="11" borderId="0" xfId="0" applyNumberFormat="1" applyFont="1" applyFill="1" applyAlignment="1" applyProtection="1">
      <alignment horizontal="center"/>
      <protection locked="0"/>
    </xf>
    <xf numFmtId="166" fontId="6" fillId="11" borderId="1" xfId="0" applyNumberFormat="1" applyFont="1" applyFill="1" applyBorder="1" applyAlignment="1" applyProtection="1">
      <alignment horizontal="center"/>
      <protection locked="0"/>
    </xf>
    <xf numFmtId="0" fontId="10" fillId="0" borderId="0" xfId="0" applyFont="1" applyProtection="1">
      <protection locked="0"/>
    </xf>
    <xf numFmtId="9" fontId="6" fillId="12" borderId="0" xfId="0" applyNumberFormat="1" applyFont="1" applyFill="1" applyAlignment="1" applyProtection="1">
      <alignment horizontal="center"/>
      <protection locked="0"/>
    </xf>
    <xf numFmtId="9" fontId="6" fillId="0" borderId="0" xfId="0" applyNumberFormat="1" applyFont="1" applyAlignment="1" applyProtection="1">
      <alignment horizontal="center"/>
      <protection locked="0"/>
    </xf>
    <xf numFmtId="0" fontId="0" fillId="0" borderId="0" xfId="0"/>
    <xf numFmtId="0" fontId="1" fillId="2" borderId="0" xfId="0" applyFont="1" applyFill="1" applyAlignment="1" applyProtection="1">
      <alignment horizontal="center"/>
      <protection locked="0"/>
    </xf>
    <xf numFmtId="0" fontId="0" fillId="0" borderId="0" xfId="0" applyProtection="1">
      <protection locked="0"/>
    </xf>
    <xf numFmtId="0" fontId="2" fillId="2" borderId="0" xfId="0" applyFont="1" applyFill="1" applyAlignment="1" applyProtection="1">
      <alignment horizontal="center"/>
      <protection locked="0"/>
    </xf>
    <xf numFmtId="0" fontId="3" fillId="0" borderId="1" xfId="0" applyFont="1" applyBorder="1" applyProtection="1">
      <protection locked="0"/>
    </xf>
    <xf numFmtId="0" fontId="2" fillId="2" borderId="0" xfId="0" applyFont="1" applyFill="1" applyAlignment="1" applyProtection="1">
      <alignment horizontal="left"/>
      <protection locked="0"/>
    </xf>
    <xf numFmtId="0" fontId="1" fillId="6" borderId="0" xfId="0" applyFont="1" applyFill="1" applyAlignment="1" applyProtection="1">
      <alignment horizontal="center"/>
      <protection locked="0"/>
    </xf>
    <xf numFmtId="0" fontId="2" fillId="6" borderId="0" xfId="0" applyFont="1" applyFill="1" applyAlignment="1" applyProtection="1">
      <alignment horizontal="center"/>
      <protection locked="0"/>
    </xf>
    <xf numFmtId="0" fontId="2" fillId="8" borderId="0" xfId="0" applyFont="1" applyFill="1" applyAlignment="1" applyProtection="1">
      <alignment horizontal="left"/>
      <protection locked="0"/>
    </xf>
    <xf numFmtId="0" fontId="1" fillId="8" borderId="0" xfId="0" applyFont="1" applyFill="1" applyAlignment="1" applyProtection="1">
      <alignment horizontal="center"/>
      <protection locked="0"/>
    </xf>
    <xf numFmtId="0" fontId="2" fillId="8" borderId="0" xfId="0" applyFont="1" applyFill="1" applyAlignment="1" applyProtection="1">
      <alignment horizontal="center"/>
      <protection locked="0"/>
    </xf>
    <xf numFmtId="0" fontId="2" fillId="10" borderId="0" xfId="0" applyFont="1" applyFill="1" applyAlignment="1" applyProtection="1">
      <alignment horizontal="left"/>
      <protection locked="0"/>
    </xf>
    <xf numFmtId="0" fontId="1" fillId="10" borderId="0" xfId="0" applyFont="1" applyFill="1" applyAlignment="1" applyProtection="1">
      <alignment horizontal="center"/>
      <protection locked="0"/>
    </xf>
    <xf numFmtId="0" fontId="2" fillId="10" borderId="0" xfId="0" applyFont="1" applyFill="1" applyAlignment="1" applyProtection="1">
      <alignment horizontal="center"/>
      <protection locked="0"/>
    </xf>
    <xf numFmtId="0" fontId="6" fillId="15" borderId="4" xfId="0" applyFont="1" applyFill="1" applyBorder="1" applyAlignment="1">
      <alignment horizontal="center"/>
    </xf>
    <xf numFmtId="0" fontId="3" fillId="0" borderId="5" xfId="0" applyFont="1" applyBorder="1"/>
    <xf numFmtId="0" fontId="3" fillId="0" borderId="6" xfId="0" applyFont="1" applyBorder="1"/>
    <xf numFmtId="0" fontId="6" fillId="7" borderId="4" xfId="0" applyFont="1" applyFill="1" applyBorder="1" applyAlignment="1">
      <alignment horizontal="center"/>
    </xf>
    <xf numFmtId="0" fontId="6" fillId="20" borderId="4" xfId="0" applyFont="1" applyFill="1" applyBorder="1" applyAlignment="1">
      <alignment horizontal="center"/>
    </xf>
    <xf numFmtId="0" fontId="1" fillId="8" borderId="0" xfId="0" applyFont="1" applyFill="1" applyAlignment="1">
      <alignment horizontal="center"/>
    </xf>
    <xf numFmtId="0" fontId="6" fillId="18" borderId="4" xfId="0" applyFont="1" applyFill="1" applyBorder="1" applyAlignment="1">
      <alignment horizontal="center"/>
    </xf>
    <xf numFmtId="0" fontId="1" fillId="10" borderId="0" xfId="0" applyFont="1" applyFill="1" applyAlignment="1">
      <alignment horizontal="center"/>
    </xf>
    <xf numFmtId="0" fontId="16" fillId="14" borderId="5" xfId="0" applyFont="1" applyFill="1" applyBorder="1" applyAlignment="1">
      <alignment horizontal="center"/>
    </xf>
    <xf numFmtId="0" fontId="12" fillId="6" borderId="0" xfId="0" applyFont="1" applyFill="1" applyAlignment="1">
      <alignment horizontal="center"/>
    </xf>
    <xf numFmtId="0" fontId="6" fillId="15" borderId="5" xfId="0" applyFont="1" applyFill="1" applyBorder="1" applyAlignment="1">
      <alignment horizontal="center"/>
    </xf>
    <xf numFmtId="0" fontId="2" fillId="13" borderId="0" xfId="0" applyFont="1" applyFill="1"/>
    <xf numFmtId="0" fontId="1" fillId="2" borderId="0" xfId="0" applyFont="1" applyFill="1" applyAlignment="1" applyProtection="1">
      <alignment horizontal="center"/>
    </xf>
    <xf numFmtId="0" fontId="0" fillId="0" borderId="0" xfId="0" applyProtection="1"/>
    <xf numFmtId="0" fontId="0" fillId="0" borderId="0" xfId="0" applyProtection="1"/>
    <xf numFmtId="0" fontId="10" fillId="0" borderId="0" xfId="0" applyFont="1" applyAlignment="1" applyProtection="1">
      <alignment horizontal="center"/>
    </xf>
    <xf numFmtId="0" fontId="6" fillId="0" borderId="1" xfId="0" applyFont="1" applyBorder="1" applyProtection="1"/>
    <xf numFmtId="0" fontId="6" fillId="0" borderId="0" xfId="0" applyFont="1" applyProtection="1"/>
    <xf numFmtId="0" fontId="6" fillId="0" borderId="0" xfId="0" applyFont="1" applyAlignment="1" applyProtection="1">
      <alignment horizontal="center"/>
    </xf>
    <xf numFmtId="10" fontId="6" fillId="0" borderId="0" xfId="0" applyNumberFormat="1" applyFont="1" applyAlignment="1" applyProtection="1">
      <alignment horizontal="center"/>
    </xf>
    <xf numFmtId="10" fontId="6" fillId="0" borderId="1" xfId="0" applyNumberFormat="1" applyFont="1" applyBorder="1" applyAlignment="1" applyProtection="1">
      <alignment horizontal="center"/>
    </xf>
    <xf numFmtId="1" fontId="6" fillId="0" borderId="0" xfId="0" applyNumberFormat="1" applyFont="1" applyAlignment="1" applyProtection="1">
      <alignment horizontal="center"/>
    </xf>
    <xf numFmtId="1" fontId="6" fillId="0" borderId="1" xfId="0" applyNumberFormat="1" applyFont="1" applyBorder="1" applyAlignment="1" applyProtection="1">
      <alignment horizontal="center"/>
    </xf>
    <xf numFmtId="165" fontId="6" fillId="0" borderId="0" xfId="0" applyNumberFormat="1" applyFont="1" applyAlignment="1" applyProtection="1">
      <alignment horizontal="center"/>
    </xf>
    <xf numFmtId="165" fontId="6" fillId="0" borderId="1" xfId="0" applyNumberFormat="1" applyFont="1" applyBorder="1" applyAlignment="1" applyProtection="1">
      <alignment horizontal="center"/>
    </xf>
    <xf numFmtId="1" fontId="6" fillId="5" borderId="0" xfId="0" applyNumberFormat="1" applyFont="1" applyFill="1" applyAlignment="1" applyProtection="1">
      <alignment horizontal="center"/>
    </xf>
    <xf numFmtId="0" fontId="6" fillId="0" borderId="2" xfId="0" applyFont="1" applyBorder="1" applyProtection="1"/>
    <xf numFmtId="0" fontId="6" fillId="0" borderId="2" xfId="0" applyFont="1" applyBorder="1" applyAlignment="1" applyProtection="1">
      <alignment horizontal="center"/>
    </xf>
    <xf numFmtId="167" fontId="6" fillId="0" borderId="2" xfId="0" applyNumberFormat="1" applyFont="1" applyBorder="1" applyAlignment="1" applyProtection="1">
      <alignment horizontal="center"/>
    </xf>
    <xf numFmtId="167" fontId="6" fillId="0" borderId="3" xfId="0" applyNumberFormat="1" applyFont="1" applyBorder="1" applyAlignment="1" applyProtection="1">
      <alignment horizontal="center"/>
    </xf>
    <xf numFmtId="0" fontId="11" fillId="11" borderId="0" xfId="0" applyFont="1" applyFill="1" applyProtection="1"/>
    <xf numFmtId="0" fontId="11" fillId="11" borderId="0" xfId="0" applyFont="1" applyFill="1" applyAlignment="1" applyProtection="1">
      <alignment horizontal="center"/>
    </xf>
    <xf numFmtId="3" fontId="11" fillId="11" borderId="0" xfId="0" applyNumberFormat="1" applyFont="1" applyFill="1" applyProtection="1"/>
    <xf numFmtId="3" fontId="11" fillId="11" borderId="0" xfId="0" applyNumberFormat="1" applyFont="1" applyFill="1" applyAlignment="1" applyProtection="1">
      <alignment horizontal="center"/>
    </xf>
    <xf numFmtId="4" fontId="11" fillId="11" borderId="0" xfId="0" applyNumberFormat="1" applyFont="1" applyFill="1" applyProtection="1"/>
    <xf numFmtId="4" fontId="11" fillId="11" borderId="0" xfId="0" applyNumberFormat="1" applyFont="1" applyFill="1" applyAlignment="1" applyProtection="1">
      <alignment horizontal="center"/>
    </xf>
    <xf numFmtId="0" fontId="10" fillId="3" borderId="0" xfId="0" applyFont="1" applyFill="1" applyAlignment="1" applyProtection="1">
      <alignment horizontal="center"/>
    </xf>
    <xf numFmtId="1" fontId="6" fillId="5" borderId="1" xfId="0" applyNumberFormat="1" applyFont="1" applyFill="1" applyBorder="1" applyAlignment="1" applyProtection="1">
      <alignment horizontal="center"/>
    </xf>
    <xf numFmtId="0" fontId="6" fillId="11" borderId="0" xfId="0" applyFont="1" applyFill="1" applyProtection="1"/>
    <xf numFmtId="0" fontId="6" fillId="11" borderId="0" xfId="0" applyFont="1" applyFill="1" applyAlignment="1" applyProtection="1">
      <alignment horizontal="center"/>
    </xf>
    <xf numFmtId="4" fontId="6" fillId="0" borderId="0" xfId="0" applyNumberFormat="1" applyFont="1" applyProtection="1"/>
    <xf numFmtId="4" fontId="6" fillId="0" borderId="1" xfId="0" applyNumberFormat="1" applyFont="1" applyBorder="1" applyProtection="1"/>
    <xf numFmtId="4" fontId="6" fillId="11" borderId="0" xfId="0" applyNumberFormat="1" applyFont="1" applyFill="1" applyProtection="1"/>
    <xf numFmtId="0" fontId="5" fillId="3" borderId="0" xfId="0" applyFont="1" applyFill="1" applyAlignment="1" applyProtection="1">
      <alignment horizontal="center"/>
    </xf>
    <xf numFmtId="0" fontId="4" fillId="0" borderId="0" xfId="0" applyFont="1" applyAlignment="1" applyProtection="1">
      <alignment horizontal="center"/>
    </xf>
    <xf numFmtId="166" fontId="6" fillId="0" borderId="0" xfId="0" applyNumberFormat="1" applyFont="1" applyAlignment="1" applyProtection="1">
      <alignment horizontal="center"/>
    </xf>
    <xf numFmtId="166" fontId="6" fillId="0" borderId="1" xfId="0" applyNumberFormat="1" applyFont="1" applyBorder="1" applyAlignment="1" applyProtection="1">
      <alignment horizontal="center"/>
    </xf>
    <xf numFmtId="4" fontId="6" fillId="0" borderId="0" xfId="0" applyNumberFormat="1" applyFont="1" applyAlignment="1" applyProtection="1">
      <alignment horizontal="center"/>
    </xf>
    <xf numFmtId="10" fontId="6" fillId="5" borderId="0" xfId="0" applyNumberFormat="1" applyFont="1" applyFill="1" applyAlignment="1" applyProtection="1">
      <alignment horizontal="center"/>
    </xf>
    <xf numFmtId="4" fontId="6" fillId="0" borderId="2" xfId="0" applyNumberFormat="1" applyFont="1" applyBorder="1" applyAlignment="1" applyProtection="1">
      <alignment horizontal="center"/>
    </xf>
    <xf numFmtId="0" fontId="1" fillId="10" borderId="0" xfId="0" applyFont="1" applyFill="1" applyAlignment="1" applyProtection="1">
      <alignment horizontal="center"/>
    </xf>
    <xf numFmtId="0" fontId="2" fillId="10" borderId="0" xfId="0" applyFont="1" applyFill="1" applyAlignment="1" applyProtection="1">
      <alignment horizontal="center"/>
    </xf>
    <xf numFmtId="0" fontId="3" fillId="0" borderId="1" xfId="0" applyFont="1" applyBorder="1" applyProtection="1"/>
    <xf numFmtId="0" fontId="2" fillId="10" borderId="0" xfId="0" applyFont="1" applyFill="1" applyAlignment="1" applyProtection="1">
      <alignment horizontal="left"/>
    </xf>
    <xf numFmtId="0" fontId="2" fillId="10" borderId="0" xfId="0" applyFont="1" applyFill="1" applyAlignment="1" applyProtection="1">
      <alignment horizontal="center"/>
    </xf>
    <xf numFmtId="3" fontId="6" fillId="0" borderId="0" xfId="0" applyNumberFormat="1" applyFont="1" applyProtection="1"/>
    <xf numFmtId="0" fontId="6" fillId="9" borderId="0" xfId="0" applyFont="1" applyFill="1" applyProtection="1"/>
    <xf numFmtId="0" fontId="6" fillId="9" borderId="0" xfId="0" applyFont="1" applyFill="1" applyAlignment="1" applyProtection="1">
      <alignment horizontal="center"/>
    </xf>
    <xf numFmtId="3" fontId="6" fillId="9" borderId="0" xfId="0" applyNumberFormat="1" applyFont="1" applyFill="1" applyProtection="1"/>
    <xf numFmtId="3" fontId="6" fillId="9" borderId="0" xfId="0" applyNumberFormat="1" applyFont="1" applyFill="1" applyAlignment="1" applyProtection="1">
      <alignment horizontal="center"/>
    </xf>
    <xf numFmtId="4" fontId="6" fillId="9" borderId="0" xfId="0" applyNumberFormat="1" applyFont="1" applyFill="1" applyProtection="1"/>
    <xf numFmtId="4" fontId="6" fillId="9" borderId="0" xfId="0" applyNumberFormat="1" applyFont="1" applyFill="1" applyAlignment="1" applyProtection="1">
      <alignment horizontal="center"/>
    </xf>
    <xf numFmtId="0" fontId="2" fillId="8" borderId="0" xfId="0" applyFont="1" applyFill="1" applyAlignment="1" applyProtection="1">
      <alignment horizontal="left"/>
    </xf>
    <xf numFmtId="2" fontId="6" fillId="0" borderId="0" xfId="0" applyNumberFormat="1" applyFont="1" applyProtection="1"/>
    <xf numFmtId="2" fontId="6" fillId="5" borderId="0" xfId="0" applyNumberFormat="1" applyFont="1" applyFill="1" applyAlignment="1" applyProtection="1">
      <alignment horizontal="center"/>
    </xf>
    <xf numFmtId="0" fontId="6" fillId="7" borderId="0" xfId="0" applyFont="1" applyFill="1" applyProtection="1"/>
    <xf numFmtId="0" fontId="6" fillId="7" borderId="0" xfId="0" applyFont="1" applyFill="1" applyAlignment="1" applyProtection="1">
      <alignment horizontal="center"/>
    </xf>
    <xf numFmtId="2" fontId="6" fillId="7" borderId="0" xfId="0" applyNumberFormat="1" applyFont="1" applyFill="1" applyProtection="1"/>
    <xf numFmtId="2" fontId="6" fillId="7" borderId="0" xfId="0" applyNumberFormat="1" applyFont="1" applyFill="1" applyAlignment="1" applyProtection="1">
      <alignment horizontal="center"/>
    </xf>
    <xf numFmtId="0" fontId="8" fillId="0" borderId="0" xfId="0" applyFont="1" applyAlignment="1" applyProtection="1">
      <alignment horizontal="center"/>
    </xf>
    <xf numFmtId="0" fontId="8" fillId="0" borderId="1" xfId="0" applyFont="1" applyBorder="1" applyAlignment="1" applyProtection="1">
      <alignment horizontal="center"/>
    </xf>
    <xf numFmtId="0" fontId="11" fillId="7" borderId="0" xfId="0" applyFont="1" applyFill="1" applyProtection="1"/>
    <xf numFmtId="0" fontId="6" fillId="3" borderId="0" xfId="0" applyFont="1" applyFill="1" applyAlignment="1" applyProtection="1">
      <alignment horizontal="center"/>
    </xf>
    <xf numFmtId="0" fontId="6" fillId="3" borderId="1" xfId="0" applyFont="1" applyFill="1" applyBorder="1" applyAlignment="1" applyProtection="1">
      <alignment horizontal="center"/>
    </xf>
    <xf numFmtId="0" fontId="2" fillId="6" borderId="0" xfId="0" applyFont="1" applyFill="1" applyAlignment="1" applyProtection="1">
      <alignment horizontal="center"/>
    </xf>
    <xf numFmtId="0" fontId="6" fillId="3" borderId="0" xfId="0" applyFont="1" applyFill="1" applyProtection="1"/>
    <xf numFmtId="1" fontId="9" fillId="0" borderId="0" xfId="0" applyNumberFormat="1" applyFont="1" applyAlignment="1" applyProtection="1">
      <alignment horizontal="center"/>
    </xf>
    <xf numFmtId="1" fontId="9" fillId="0" borderId="1" xfId="0" applyNumberFormat="1" applyFont="1" applyBorder="1" applyAlignment="1" applyProtection="1">
      <alignment horizontal="center"/>
    </xf>
    <xf numFmtId="2" fontId="6" fillId="0" borderId="2" xfId="0" applyNumberFormat="1" applyFont="1" applyBorder="1" applyAlignment="1" applyProtection="1">
      <alignment horizontal="center"/>
    </xf>
    <xf numFmtId="0" fontId="1" fillId="6" borderId="0" xfId="0" applyFont="1" applyFill="1" applyAlignment="1" applyProtection="1">
      <alignment horizontal="center"/>
    </xf>
    <xf numFmtId="0" fontId="2" fillId="6" borderId="0" xfId="0" applyFont="1" applyFill="1" applyAlignment="1" applyProtection="1">
      <alignment horizontal="center"/>
    </xf>
    <xf numFmtId="0" fontId="2" fillId="6" borderId="0" xfId="0" applyFont="1" applyFill="1" applyAlignment="1" applyProtection="1">
      <alignment horizontal="left"/>
    </xf>
    <xf numFmtId="3" fontId="6" fillId="5" borderId="0" xfId="0" applyNumberFormat="1" applyFont="1" applyFill="1" applyAlignment="1" applyProtection="1">
      <alignment horizontal="center"/>
    </xf>
    <xf numFmtId="4" fontId="6" fillId="5" borderId="0" xfId="0" applyNumberFormat="1" applyFont="1" applyFill="1" applyAlignment="1" applyProtection="1">
      <alignment horizontal="center"/>
    </xf>
    <xf numFmtId="0" fontId="6" fillId="4" borderId="0" xfId="0" applyFont="1" applyFill="1" applyAlignment="1" applyProtection="1">
      <alignment horizontal="left"/>
    </xf>
    <xf numFmtId="0" fontId="6" fillId="4" borderId="0" xfId="0" applyFont="1" applyFill="1" applyAlignment="1" applyProtection="1">
      <alignment horizontal="center"/>
    </xf>
    <xf numFmtId="0" fontId="6" fillId="4" borderId="0" xfId="0" applyFont="1" applyFill="1" applyProtection="1"/>
    <xf numFmtId="1" fontId="6" fillId="3" borderId="0" xfId="0" applyNumberFormat="1" applyFont="1" applyFill="1" applyAlignment="1" applyProtection="1">
      <alignment horizontal="center"/>
    </xf>
    <xf numFmtId="166" fontId="6" fillId="3" borderId="0" xfId="0" applyNumberFormat="1" applyFont="1" applyFill="1" applyAlignment="1" applyProtection="1">
      <alignment horizontal="center"/>
    </xf>
    <xf numFmtId="166" fontId="6" fillId="3" borderId="1" xfId="0" applyNumberFormat="1" applyFont="1" applyFill="1" applyBorder="1" applyAlignment="1" applyProtection="1">
      <alignment horizontal="center"/>
    </xf>
    <xf numFmtId="1" fontId="6" fillId="3" borderId="1" xfId="0" applyNumberFormat="1" applyFont="1" applyFill="1" applyBorder="1" applyAlignment="1" applyProtection="1">
      <alignment horizontal="center"/>
    </xf>
    <xf numFmtId="0" fontId="7" fillId="4" borderId="0" xfId="0" applyFont="1" applyFill="1" applyProtection="1"/>
    <xf numFmtId="0" fontId="4" fillId="3" borderId="0" xfId="0" applyFont="1" applyFill="1" applyProtection="1"/>
    <xf numFmtId="0" fontId="4" fillId="0" borderId="0" xfId="0" applyFont="1" applyProtection="1"/>
    <xf numFmtId="0" fontId="2" fillId="2" borderId="0" xfId="0" applyFont="1" applyFill="1" applyAlignment="1" applyProtection="1">
      <alignment horizontal="center"/>
    </xf>
    <xf numFmtId="0" fontId="2" fillId="2" borderId="0" xfId="0" applyFont="1" applyFill="1" applyAlignment="1" applyProtection="1">
      <alignment horizontal="left"/>
    </xf>
    <xf numFmtId="0" fontId="1" fillId="8" borderId="0" xfId="0" applyFont="1" applyFill="1" applyAlignment="1" applyProtection="1">
      <alignment horizontal="center"/>
    </xf>
    <xf numFmtId="0" fontId="2" fillId="8" borderId="0" xfId="0" applyFont="1" applyFill="1" applyAlignment="1" applyProtection="1">
      <alignment horizontal="center"/>
    </xf>
    <xf numFmtId="0" fontId="2" fillId="8" borderId="0" xfId="0" applyFont="1" applyFill="1" applyAlignment="1" applyProtection="1">
      <alignment horizontal="left"/>
    </xf>
    <xf numFmtId="0" fontId="11" fillId="9" borderId="0" xfId="0" applyFont="1" applyFill="1" applyProtection="1"/>
    <xf numFmtId="0" fontId="8" fillId="0" borderId="0" xfId="0" applyFont="1" applyProtection="1">
      <protection locked="0"/>
    </xf>
    <xf numFmtId="0" fontId="12" fillId="0" borderId="0" xfId="0" applyFont="1" applyAlignment="1" applyProtection="1">
      <alignment horizontal="center"/>
      <protection locked="0"/>
    </xf>
    <xf numFmtId="2" fontId="9" fillId="0" borderId="9" xfId="0" applyNumberFormat="1" applyFont="1" applyBorder="1" applyAlignment="1" applyProtection="1">
      <alignment horizontal="center"/>
      <protection locked="0"/>
    </xf>
    <xf numFmtId="2" fontId="6" fillId="3" borderId="10" xfId="0" applyNumberFormat="1" applyFont="1" applyFill="1" applyBorder="1" applyAlignment="1" applyProtection="1">
      <alignment horizontal="center"/>
      <protection locked="0"/>
    </xf>
    <xf numFmtId="2" fontId="8" fillId="0" borderId="10" xfId="0" applyNumberFormat="1" applyFont="1" applyBorder="1" applyAlignment="1" applyProtection="1">
      <alignment horizontal="center"/>
      <protection locked="0"/>
    </xf>
    <xf numFmtId="2" fontId="6" fillId="0" borderId="10" xfId="0" applyNumberFormat="1" applyFont="1" applyBorder="1" applyAlignment="1" applyProtection="1">
      <alignment horizontal="center"/>
      <protection locked="0"/>
    </xf>
    <xf numFmtId="2" fontId="6" fillId="0" borderId="9" xfId="0" applyNumberFormat="1" applyFont="1" applyBorder="1" applyAlignment="1" applyProtection="1">
      <alignment horizontal="center"/>
      <protection locked="0"/>
    </xf>
    <xf numFmtId="2" fontId="6" fillId="0" borderId="11" xfId="0" applyNumberFormat="1" applyFont="1" applyBorder="1" applyAlignment="1" applyProtection="1">
      <alignment horizontal="center"/>
      <protection locked="0"/>
    </xf>
    <xf numFmtId="2" fontId="8" fillId="0" borderId="12" xfId="0" applyNumberFormat="1" applyFont="1" applyBorder="1" applyAlignment="1" applyProtection="1">
      <alignment horizontal="center"/>
      <protection locked="0"/>
    </xf>
    <xf numFmtId="2" fontId="8" fillId="0" borderId="0" xfId="0" applyNumberFormat="1" applyFont="1" applyAlignment="1" applyProtection="1">
      <alignment horizontal="center"/>
      <protection locked="0"/>
    </xf>
    <xf numFmtId="2" fontId="6" fillId="0" borderId="0" xfId="0" applyNumberFormat="1" applyFont="1" applyAlignment="1" applyProtection="1">
      <alignment horizontal="center"/>
      <protection locked="0"/>
    </xf>
    <xf numFmtId="2" fontId="9" fillId="0" borderId="0" xfId="0" applyNumberFormat="1" applyFont="1" applyAlignment="1" applyProtection="1">
      <alignment horizontal="center"/>
      <protection locked="0"/>
    </xf>
    <xf numFmtId="2" fontId="6" fillId="0" borderId="13" xfId="0" applyNumberFormat="1" applyFont="1" applyBorder="1" applyAlignment="1" applyProtection="1">
      <alignment horizontal="center"/>
      <protection locked="0"/>
    </xf>
    <xf numFmtId="2" fontId="6" fillId="0" borderId="4" xfId="0" applyNumberFormat="1" applyFont="1" applyBorder="1" applyAlignment="1" applyProtection="1">
      <alignment horizontal="center"/>
      <protection locked="0"/>
    </xf>
    <xf numFmtId="2" fontId="6" fillId="0" borderId="5" xfId="0" applyNumberFormat="1" applyFont="1" applyBorder="1" applyAlignment="1" applyProtection="1">
      <alignment horizontal="center"/>
      <protection locked="0"/>
    </xf>
    <xf numFmtId="164" fontId="6" fillId="0" borderId="4" xfId="0" applyNumberFormat="1" applyFont="1" applyBorder="1" applyAlignment="1" applyProtection="1">
      <alignment horizontal="center"/>
      <protection locked="0"/>
    </xf>
    <xf numFmtId="164" fontId="6" fillId="0" borderId="5" xfId="0" applyNumberFormat="1" applyFont="1" applyBorder="1" applyAlignment="1" applyProtection="1">
      <alignment horizontal="center"/>
      <protection locked="0"/>
    </xf>
    <xf numFmtId="2" fontId="6" fillId="0" borderId="6" xfId="0" applyNumberFormat="1" applyFont="1" applyBorder="1" applyAlignment="1" applyProtection="1">
      <alignment horizontal="center"/>
      <protection locked="0"/>
    </xf>
    <xf numFmtId="2" fontId="8" fillId="0" borderId="11" xfId="0" applyNumberFormat="1" applyFont="1" applyBorder="1" applyAlignment="1" applyProtection="1">
      <alignment horizontal="center"/>
      <protection locked="0"/>
    </xf>
    <xf numFmtId="2" fontId="9" fillId="0" borderId="10" xfId="0" applyNumberFormat="1" applyFont="1" applyBorder="1" applyAlignment="1" applyProtection="1">
      <alignment horizontal="center"/>
      <protection locked="0"/>
    </xf>
    <xf numFmtId="2" fontId="13" fillId="0" borderId="12" xfId="0" applyNumberFormat="1" applyFont="1" applyBorder="1" applyAlignment="1" applyProtection="1">
      <alignment horizontal="center"/>
      <protection locked="0"/>
    </xf>
    <xf numFmtId="2" fontId="9" fillId="0" borderId="11" xfId="0" applyNumberFormat="1" applyFont="1" applyBorder="1" applyAlignment="1" applyProtection="1">
      <alignment horizontal="center"/>
      <protection locked="0"/>
    </xf>
    <xf numFmtId="4" fontId="6" fillId="0" borderId="10" xfId="0" applyNumberFormat="1" applyFont="1" applyBorder="1" applyAlignment="1" applyProtection="1">
      <alignment horizontal="center"/>
      <protection locked="0"/>
    </xf>
    <xf numFmtId="4" fontId="9" fillId="0" borderId="9" xfId="0" applyNumberFormat="1" applyFont="1" applyBorder="1" applyAlignment="1" applyProtection="1">
      <alignment horizontal="center"/>
      <protection locked="0"/>
    </xf>
    <xf numFmtId="4" fontId="8" fillId="0" borderId="10" xfId="0" applyNumberFormat="1" applyFont="1" applyBorder="1" applyAlignment="1" applyProtection="1">
      <alignment horizontal="center"/>
      <protection locked="0"/>
    </xf>
    <xf numFmtId="4" fontId="6" fillId="0" borderId="13" xfId="0" applyNumberFormat="1" applyFont="1" applyBorder="1" applyAlignment="1" applyProtection="1">
      <alignment horizontal="center"/>
      <protection locked="0"/>
    </xf>
    <xf numFmtId="4" fontId="9" fillId="0" borderId="0" xfId="0" applyNumberFormat="1" applyFont="1" applyAlignment="1" applyProtection="1">
      <alignment horizontal="center"/>
      <protection locked="0"/>
    </xf>
    <xf numFmtId="4" fontId="6" fillId="0" borderId="14" xfId="0" applyNumberFormat="1" applyFont="1" applyBorder="1" applyAlignment="1" applyProtection="1">
      <alignment horizontal="center"/>
      <protection locked="0"/>
    </xf>
    <xf numFmtId="2" fontId="9" fillId="0" borderId="4" xfId="0" applyNumberFormat="1" applyFont="1" applyBorder="1" applyAlignment="1" applyProtection="1">
      <alignment horizontal="center"/>
      <protection locked="0"/>
    </xf>
    <xf numFmtId="2" fontId="9" fillId="0" borderId="5" xfId="0" applyNumberFormat="1" applyFont="1" applyBorder="1" applyAlignment="1" applyProtection="1">
      <alignment horizontal="center"/>
      <protection locked="0"/>
    </xf>
    <xf numFmtId="2" fontId="9" fillId="0" borderId="14" xfId="0" applyNumberFormat="1" applyFont="1" applyBorder="1" applyAlignment="1" applyProtection="1">
      <alignment horizontal="center"/>
      <protection locked="0"/>
    </xf>
    <xf numFmtId="0" fontId="14" fillId="13" borderId="0" xfId="0" applyFont="1" applyFill="1" applyAlignment="1" applyProtection="1">
      <alignment horizontal="center"/>
      <protection locked="0"/>
    </xf>
    <xf numFmtId="0" fontId="3" fillId="0" borderId="13" xfId="0" applyFont="1" applyBorder="1" applyProtection="1">
      <protection locked="0"/>
    </xf>
    <xf numFmtId="0" fontId="11" fillId="0" borderId="0" xfId="0" applyFont="1" applyProtection="1">
      <protection locked="0"/>
    </xf>
    <xf numFmtId="0" fontId="11" fillId="0" borderId="0" xfId="0" applyFont="1" applyAlignment="1" applyProtection="1">
      <alignment horizontal="center"/>
      <protection locked="0"/>
    </xf>
    <xf numFmtId="0" fontId="15" fillId="0" borderId="0" xfId="0" applyFont="1" applyProtection="1">
      <protection locked="0"/>
    </xf>
    <xf numFmtId="0" fontId="11" fillId="0" borderId="13" xfId="0" applyFont="1" applyBorder="1" applyProtection="1">
      <protection locked="0"/>
    </xf>
    <xf numFmtId="0" fontId="11" fillId="0" borderId="13" xfId="0" applyFont="1" applyBorder="1" applyAlignment="1" applyProtection="1">
      <alignment horizontal="center"/>
      <protection locked="0"/>
    </xf>
    <xf numFmtId="0" fontId="11" fillId="3" borderId="14" xfId="0" applyFont="1" applyFill="1" applyBorder="1" applyProtection="1">
      <protection locked="0"/>
    </xf>
    <xf numFmtId="0" fontId="11" fillId="3" borderId="14" xfId="0" applyFont="1" applyFill="1" applyBorder="1" applyAlignment="1" applyProtection="1">
      <alignment horizontal="center"/>
      <protection locked="0"/>
    </xf>
    <xf numFmtId="0" fontId="11" fillId="0" borderId="14" xfId="0" applyFont="1" applyBorder="1" applyProtection="1">
      <protection locked="0"/>
    </xf>
    <xf numFmtId="0" fontId="11" fillId="0" borderId="14" xfId="0" applyFont="1" applyBorder="1" applyAlignment="1" applyProtection="1">
      <alignment horizontal="center"/>
      <protection locked="0"/>
    </xf>
    <xf numFmtId="0" fontId="11" fillId="0" borderId="15" xfId="0" applyFont="1" applyBorder="1" applyAlignment="1" applyProtection="1">
      <alignment horizontal="center"/>
      <protection locked="0"/>
    </xf>
    <xf numFmtId="0" fontId="6" fillId="0" borderId="7" xfId="0" applyFont="1" applyBorder="1" applyProtection="1"/>
    <xf numFmtId="0" fontId="6" fillId="0" borderId="4" xfId="0" applyFont="1" applyBorder="1" applyAlignment="1" applyProtection="1">
      <alignment horizontal="center"/>
    </xf>
    <xf numFmtId="0" fontId="6" fillId="20" borderId="4" xfId="0" applyFont="1" applyFill="1" applyBorder="1" applyAlignment="1" applyProtection="1">
      <alignment horizontal="center"/>
    </xf>
    <xf numFmtId="0" fontId="3" fillId="0" borderId="5" xfId="0" applyFont="1" applyBorder="1" applyProtection="1"/>
    <xf numFmtId="0" fontId="10" fillId="0" borderId="7" xfId="0" applyFont="1" applyBorder="1" applyAlignment="1" applyProtection="1">
      <alignment horizontal="center"/>
    </xf>
    <xf numFmtId="0" fontId="6" fillId="11" borderId="8" xfId="0" applyFont="1" applyFill="1" applyBorder="1" applyAlignment="1" applyProtection="1">
      <alignment horizontal="center"/>
    </xf>
    <xf numFmtId="0" fontId="6" fillId="18" borderId="4" xfId="0" applyFont="1" applyFill="1" applyBorder="1" applyAlignment="1" applyProtection="1">
      <alignment horizontal="center"/>
    </xf>
    <xf numFmtId="0" fontId="6" fillId="19" borderId="8" xfId="0" applyFont="1" applyFill="1" applyBorder="1" applyAlignment="1" applyProtection="1">
      <alignment horizontal="center"/>
    </xf>
    <xf numFmtId="2" fontId="6" fillId="0" borderId="14" xfId="0" applyNumberFormat="1" applyFont="1" applyBorder="1" applyAlignment="1" applyProtection="1">
      <alignment horizontal="center"/>
    </xf>
    <xf numFmtId="0" fontId="6" fillId="7" borderId="4" xfId="0" applyFont="1" applyFill="1" applyBorder="1" applyAlignment="1" applyProtection="1">
      <alignment horizontal="center"/>
    </xf>
    <xf numFmtId="0" fontId="3" fillId="0" borderId="6" xfId="0" applyFont="1" applyBorder="1" applyProtection="1"/>
    <xf numFmtId="0" fontId="6" fillId="17" borderId="8" xfId="0" applyFont="1" applyFill="1" applyBorder="1" applyAlignment="1" applyProtection="1">
      <alignment horizontal="center"/>
    </xf>
    <xf numFmtId="0" fontId="12" fillId="13" borderId="0" xfId="0" applyFont="1" applyFill="1" applyAlignment="1" applyProtection="1">
      <alignment horizontal="center"/>
    </xf>
    <xf numFmtId="0" fontId="2" fillId="13" borderId="0" xfId="0" applyFont="1" applyFill="1" applyAlignment="1" applyProtection="1">
      <alignment horizontal="left"/>
    </xf>
    <xf numFmtId="0" fontId="12" fillId="3" borderId="0" xfId="0" applyFont="1" applyFill="1" applyAlignment="1" applyProtection="1">
      <alignment horizontal="center"/>
    </xf>
    <xf numFmtId="0" fontId="12" fillId="14" borderId="0" xfId="0" applyFont="1" applyFill="1" applyAlignment="1" applyProtection="1">
      <alignment horizontal="center"/>
    </xf>
    <xf numFmtId="0" fontId="6" fillId="15" borderId="4" xfId="0" applyFont="1" applyFill="1" applyBorder="1" applyAlignment="1" applyProtection="1">
      <alignment horizontal="center"/>
    </xf>
    <xf numFmtId="0" fontId="6" fillId="16" borderId="8" xfId="0" applyFont="1" applyFill="1" applyBorder="1" applyAlignment="1" applyProtection="1">
      <alignment horizontal="center"/>
    </xf>
    <xf numFmtId="0" fontId="6" fillId="0" borderId="14" xfId="0" applyFont="1" applyBorder="1" applyProtection="1">
      <protection locked="0"/>
    </xf>
    <xf numFmtId="0" fontId="29" fillId="25" borderId="0" xfId="0" applyFont="1" applyFill="1" applyAlignment="1" applyProtection="1">
      <alignment vertical="center" wrapText="1"/>
    </xf>
    <xf numFmtId="0" fontId="29" fillId="25" borderId="0" xfId="0" applyFont="1" applyFill="1" applyAlignment="1" applyProtection="1">
      <alignment vertical="center"/>
    </xf>
    <xf numFmtId="0" fontId="29" fillId="25" borderId="0" xfId="0" applyFont="1" applyFill="1" applyAlignment="1" applyProtection="1"/>
    <xf numFmtId="0" fontId="28" fillId="24" borderId="0" xfId="0" applyFont="1" applyFill="1" applyAlignment="1" applyProtection="1">
      <alignment vertical="center" wrapText="1"/>
    </xf>
    <xf numFmtId="0" fontId="6" fillId="0" borderId="16" xfId="0" applyFont="1" applyBorder="1" applyProtection="1"/>
    <xf numFmtId="0" fontId="16" fillId="14" borderId="5" xfId="0" applyFont="1" applyFill="1" applyBorder="1" applyAlignment="1" applyProtection="1">
      <alignment horizontal="center"/>
    </xf>
    <xf numFmtId="0" fontId="16" fillId="14" borderId="0" xfId="0" applyFont="1" applyFill="1" applyAlignment="1" applyProtection="1">
      <alignment horizontal="center"/>
    </xf>
    <xf numFmtId="0" fontId="12" fillId="6" borderId="0" xfId="0" applyFont="1" applyFill="1" applyAlignment="1" applyProtection="1">
      <alignment horizontal="center"/>
    </xf>
    <xf numFmtId="0" fontId="12" fillId="6" borderId="0" xfId="0" applyFont="1" applyFill="1" applyAlignment="1" applyProtection="1">
      <alignment horizontal="center"/>
    </xf>
    <xf numFmtId="0" fontId="1" fillId="8" borderId="0" xfId="0" applyFont="1" applyFill="1" applyAlignment="1" applyProtection="1">
      <alignment horizontal="center"/>
    </xf>
    <xf numFmtId="0" fontId="1" fillId="10" borderId="0" xfId="0" applyFont="1" applyFill="1" applyAlignment="1" applyProtection="1">
      <alignment horizontal="center"/>
    </xf>
    <xf numFmtId="0" fontId="6" fillId="15" borderId="5" xfId="0" applyFont="1" applyFill="1" applyBorder="1" applyAlignment="1" applyProtection="1">
      <alignment horizontal="center"/>
    </xf>
    <xf numFmtId="0" fontId="6" fillId="15" borderId="7" xfId="0" applyFont="1" applyFill="1" applyBorder="1" applyAlignment="1" applyProtection="1">
      <alignment horizontal="center"/>
    </xf>
    <xf numFmtId="0" fontId="6" fillId="7" borderId="7" xfId="0" applyFont="1" applyFill="1" applyBorder="1" applyAlignment="1" applyProtection="1">
      <alignment horizontal="center"/>
    </xf>
    <xf numFmtId="0" fontId="6" fillId="18" borderId="7" xfId="0" applyFont="1" applyFill="1" applyBorder="1" applyAlignment="1" applyProtection="1">
      <alignment horizontal="center"/>
    </xf>
    <xf numFmtId="0" fontId="6" fillId="20" borderId="0" xfId="0" applyFont="1" applyFill="1" applyAlignment="1" applyProtection="1">
      <alignment horizontal="center"/>
    </xf>
    <xf numFmtId="0" fontId="6" fillId="16" borderId="11" xfId="0" applyFont="1" applyFill="1" applyBorder="1" applyAlignment="1" applyProtection="1">
      <alignment horizontal="center"/>
    </xf>
    <xf numFmtId="0" fontId="10" fillId="0" borderId="0" xfId="0" applyFont="1" applyProtection="1"/>
    <xf numFmtId="0" fontId="17" fillId="0" borderId="0" xfId="0" applyFont="1" applyAlignment="1" applyProtection="1">
      <alignment horizontal="right"/>
    </xf>
    <xf numFmtId="166" fontId="6" fillId="0" borderId="0" xfId="0" applyNumberFormat="1" applyFont="1" applyAlignment="1" applyProtection="1">
      <alignment horizontal="right"/>
    </xf>
    <xf numFmtId="166" fontId="6" fillId="3" borderId="0" xfId="0" applyNumberFormat="1" applyFont="1" applyFill="1" applyAlignment="1" applyProtection="1">
      <alignment horizontal="right"/>
    </xf>
    <xf numFmtId="166" fontId="6" fillId="0" borderId="0" xfId="0" applyNumberFormat="1" applyFont="1" applyProtection="1"/>
    <xf numFmtId="0" fontId="6" fillId="0" borderId="0" xfId="0" applyFont="1" applyAlignment="1" applyProtection="1">
      <alignment horizontal="right"/>
    </xf>
    <xf numFmtId="0" fontId="6" fillId="0" borderId="14" xfId="0" applyFont="1" applyBorder="1" applyProtection="1"/>
    <xf numFmtId="166" fontId="6" fillId="0" borderId="14" xfId="0" applyNumberFormat="1" applyFont="1" applyBorder="1" applyProtection="1"/>
    <xf numFmtId="0" fontId="6" fillId="0" borderId="14" xfId="0" applyFont="1" applyBorder="1" applyAlignment="1" applyProtection="1">
      <alignment horizontal="left"/>
    </xf>
    <xf numFmtId="0" fontId="10" fillId="0" borderId="4" xfId="0" applyFont="1" applyBorder="1" applyProtection="1"/>
    <xf numFmtId="166" fontId="6" fillId="0" borderId="5" xfId="0" applyNumberFormat="1" applyFont="1" applyBorder="1" applyProtection="1"/>
    <xf numFmtId="0" fontId="6" fillId="0" borderId="0" xfId="0" applyFont="1" applyAlignment="1" applyProtection="1">
      <alignment horizontal="left"/>
    </xf>
    <xf numFmtId="0" fontId="6" fillId="0" borderId="5" xfId="0" applyFont="1" applyBorder="1" applyProtection="1"/>
    <xf numFmtId="0" fontId="10" fillId="0" borderId="9" xfId="0" applyFont="1" applyBorder="1" applyProtection="1"/>
    <xf numFmtId="0" fontId="6" fillId="0" borderId="10" xfId="0" applyFont="1" applyBorder="1" applyProtection="1"/>
    <xf numFmtId="166" fontId="6" fillId="0" borderId="10" xfId="0" applyNumberFormat="1" applyFont="1" applyBorder="1" applyProtection="1"/>
    <xf numFmtId="0" fontId="17" fillId="0" borderId="17" xfId="0" applyFont="1" applyBorder="1" applyAlignment="1" applyProtection="1">
      <alignment horizontal="right"/>
    </xf>
    <xf numFmtId="2" fontId="6" fillId="0" borderId="10" xfId="0" applyNumberFormat="1" applyFont="1" applyBorder="1" applyProtection="1"/>
    <xf numFmtId="0" fontId="17" fillId="0" borderId="14" xfId="0" applyFont="1" applyBorder="1" applyAlignment="1" applyProtection="1">
      <alignment horizontal="right"/>
    </xf>
    <xf numFmtId="2" fontId="6" fillId="0" borderId="14" xfId="0" applyNumberFormat="1" applyFont="1" applyBorder="1" applyProtection="1"/>
    <xf numFmtId="0" fontId="6" fillId="0" borderId="13" xfId="0" applyFont="1" applyBorder="1" applyProtection="1">
      <protection locked="0"/>
    </xf>
    <xf numFmtId="0" fontId="6" fillId="0" borderId="0" xfId="0" applyFont="1" applyProtection="1">
      <protection locked="0"/>
    </xf>
    <xf numFmtId="0" fontId="18" fillId="0" borderId="0" xfId="0" applyFont="1" applyProtection="1">
      <protection locked="0"/>
    </xf>
    <xf numFmtId="0" fontId="3" fillId="0" borderId="14" xfId="0" applyFont="1" applyBorder="1" applyProtection="1">
      <protection locked="0"/>
    </xf>
    <xf numFmtId="0" fontId="6" fillId="0" borderId="15" xfId="0" applyFont="1" applyBorder="1" applyProtection="1">
      <protection locked="0"/>
    </xf>
    <xf numFmtId="168" fontId="6" fillId="3" borderId="0" xfId="0" applyNumberFormat="1" applyFont="1" applyFill="1" applyAlignment="1" applyProtection="1">
      <alignment horizontal="center"/>
      <protection locked="0"/>
    </xf>
    <xf numFmtId="168" fontId="11" fillId="3" borderId="0" xfId="0" applyNumberFormat="1" applyFont="1" applyFill="1" applyAlignment="1" applyProtection="1">
      <alignment horizontal="center"/>
      <protection locked="0"/>
    </xf>
    <xf numFmtId="165" fontId="6" fillId="3" borderId="0" xfId="0" applyNumberFormat="1" applyFont="1" applyFill="1" applyAlignment="1" applyProtection="1">
      <alignment horizontal="center"/>
      <protection locked="0"/>
    </xf>
    <xf numFmtId="0" fontId="6" fillId="0" borderId="13" xfId="0" applyFont="1" applyBorder="1" applyProtection="1"/>
    <xf numFmtId="0" fontId="10" fillId="3" borderId="14" xfId="0" applyFont="1" applyFill="1" applyBorder="1" applyProtection="1"/>
    <xf numFmtId="166" fontId="10" fillId="3" borderId="14" xfId="0" applyNumberFormat="1" applyFont="1" applyFill="1" applyBorder="1" applyAlignment="1" applyProtection="1">
      <alignment horizontal="center"/>
    </xf>
    <xf numFmtId="0" fontId="6" fillId="3" borderId="14" xfId="0" applyFont="1" applyFill="1" applyBorder="1" applyAlignment="1" applyProtection="1">
      <alignment horizontal="center"/>
    </xf>
    <xf numFmtId="0" fontId="6" fillId="0" borderId="15" xfId="0" applyFont="1" applyBorder="1" applyProtection="1"/>
    <xf numFmtId="0" fontId="6" fillId="21" borderId="0" xfId="0" applyFont="1" applyFill="1" applyProtection="1"/>
    <xf numFmtId="0" fontId="6" fillId="21" borderId="13" xfId="0" applyFont="1" applyFill="1" applyBorder="1" applyProtection="1"/>
    <xf numFmtId="0" fontId="6" fillId="21" borderId="0" xfId="0" applyFont="1" applyFill="1" applyAlignment="1" applyProtection="1">
      <alignment horizontal="center"/>
    </xf>
    <xf numFmtId="0" fontId="6" fillId="3" borderId="14" xfId="0" applyFont="1" applyFill="1" applyBorder="1" applyProtection="1"/>
    <xf numFmtId="1" fontId="10" fillId="3" borderId="14" xfId="0" applyNumberFormat="1" applyFont="1" applyFill="1" applyBorder="1" applyAlignment="1" applyProtection="1">
      <alignment horizontal="center"/>
    </xf>
    <xf numFmtId="0" fontId="2" fillId="13" borderId="0" xfId="0" applyFont="1" applyFill="1" applyAlignment="1" applyProtection="1">
      <alignment horizontal="center"/>
    </xf>
    <xf numFmtId="0" fontId="3" fillId="0" borderId="13" xfId="0" applyFont="1" applyBorder="1" applyProtection="1"/>
    <xf numFmtId="0" fontId="10" fillId="0" borderId="14" xfId="0" applyFont="1" applyBorder="1" applyAlignment="1" applyProtection="1">
      <alignment horizontal="center"/>
    </xf>
    <xf numFmtId="0" fontId="6" fillId="3" borderId="13" xfId="0" applyFont="1" applyFill="1" applyBorder="1" applyAlignment="1" applyProtection="1">
      <alignment horizontal="center"/>
    </xf>
    <xf numFmtId="165" fontId="6" fillId="3" borderId="0" xfId="0" applyNumberFormat="1" applyFont="1" applyFill="1" applyAlignment="1" applyProtection="1">
      <alignment horizontal="center"/>
    </xf>
    <xf numFmtId="0" fontId="10" fillId="3" borderId="0" xfId="0" applyFont="1" applyFill="1" applyProtection="1"/>
    <xf numFmtId="166" fontId="10" fillId="3" borderId="0" xfId="0" applyNumberFormat="1" applyFont="1" applyFill="1" applyAlignment="1" applyProtection="1">
      <alignment horizontal="center"/>
    </xf>
    <xf numFmtId="0" fontId="6" fillId="3" borderId="15" xfId="0" applyFont="1" applyFill="1" applyBorder="1" applyAlignment="1" applyProtection="1">
      <alignment horizontal="center"/>
    </xf>
    <xf numFmtId="49" fontId="6" fillId="22" borderId="0" xfId="0" applyNumberFormat="1" applyFont="1" applyFill="1" applyAlignment="1" applyProtection="1">
      <alignment horizontal="center"/>
    </xf>
    <xf numFmtId="0" fontId="6" fillId="22" borderId="0" xfId="0" applyFont="1" applyFill="1" applyProtection="1"/>
    <xf numFmtId="49" fontId="6" fillId="3" borderId="0" xfId="0" applyNumberFormat="1" applyFont="1" applyFill="1" applyAlignment="1" applyProtection="1">
      <alignment horizontal="center"/>
    </xf>
    <xf numFmtId="165" fontId="6" fillId="22" borderId="0" xfId="0" applyNumberFormat="1" applyFont="1" applyFill="1" applyAlignment="1" applyProtection="1">
      <alignment horizontal="center"/>
    </xf>
    <xf numFmtId="0" fontId="2" fillId="3" borderId="0" xfId="0" applyFont="1" applyFill="1" applyAlignment="1" applyProtection="1">
      <alignment horizontal="center"/>
    </xf>
    <xf numFmtId="0" fontId="19" fillId="3" borderId="0" xfId="0" applyFont="1" applyFill="1" applyAlignment="1" applyProtection="1">
      <alignment horizontal="left" vertical="center" wrapText="1"/>
      <protection locked="0"/>
    </xf>
    <xf numFmtId="0" fontId="6" fillId="3" borderId="12" xfId="0" applyFont="1" applyFill="1" applyBorder="1" applyProtection="1"/>
    <xf numFmtId="1" fontId="10" fillId="0" borderId="0" xfId="0" applyNumberFormat="1" applyFont="1" applyAlignment="1" applyProtection="1">
      <alignment horizontal="center"/>
    </xf>
    <xf numFmtId="164" fontId="6" fillId="0" borderId="14" xfId="0" applyNumberFormat="1" applyFont="1" applyBorder="1" applyAlignment="1" applyProtection="1">
      <alignment horizontal="center"/>
    </xf>
    <xf numFmtId="0" fontId="6" fillId="0" borderId="14" xfId="0" applyFont="1" applyBorder="1" applyAlignment="1" applyProtection="1">
      <alignment horizontal="center"/>
    </xf>
    <xf numFmtId="0" fontId="2" fillId="3" borderId="12" xfId="0" applyFont="1" applyFill="1" applyBorder="1" applyAlignment="1" applyProtection="1">
      <alignment horizontal="center"/>
    </xf>
    <xf numFmtId="0" fontId="6" fillId="22" borderId="0" xfId="0" applyFont="1" applyFill="1" applyAlignment="1" applyProtection="1">
      <alignment horizontal="center"/>
    </xf>
    <xf numFmtId="165" fontId="10" fillId="3" borderId="14" xfId="0" applyNumberFormat="1" applyFont="1" applyFill="1" applyBorder="1" applyAlignment="1" applyProtection="1">
      <alignment horizontal="center"/>
    </xf>
    <xf numFmtId="0" fontId="6" fillId="23" borderId="0" xfId="0" applyFont="1" applyFill="1" applyAlignment="1" applyProtection="1">
      <alignment horizontal="center"/>
      <protection locked="0"/>
    </xf>
    <xf numFmtId="164" fontId="6" fillId="0" borderId="0" xfId="0" applyNumberFormat="1" applyFont="1" applyAlignment="1" applyProtection="1">
      <alignment horizontal="center"/>
    </xf>
    <xf numFmtId="0" fontId="14" fillId="13" borderId="0" xfId="0" applyFont="1" applyFill="1" applyAlignment="1" applyProtection="1">
      <alignment horizontal="center" wrapText="1"/>
    </xf>
    <xf numFmtId="0" fontId="0" fillId="0" borderId="0" xfId="0" applyAlignment="1" applyProtection="1">
      <alignment wrapText="1"/>
    </xf>
    <xf numFmtId="0" fontId="3" fillId="0" borderId="13" xfId="0" applyFont="1" applyBorder="1" applyAlignment="1" applyProtection="1">
      <alignment wrapText="1"/>
    </xf>
    <xf numFmtId="166" fontId="10" fillId="0" borderId="14" xfId="0" applyNumberFormat="1" applyFont="1" applyBorder="1" applyAlignment="1" applyProtection="1">
      <alignment horizontal="center"/>
    </xf>
    <xf numFmtId="0" fontId="2" fillId="13" borderId="0" xfId="0" applyFont="1" applyFill="1" applyAlignment="1" applyProtection="1">
      <alignment horizontal="center" wrapText="1"/>
    </xf>
    <xf numFmtId="0" fontId="11" fillId="3" borderId="0" xfId="0" applyFont="1" applyFill="1" applyProtection="1"/>
    <xf numFmtId="0" fontId="20" fillId="3" borderId="14" xfId="0" applyFont="1" applyFill="1" applyBorder="1" applyProtection="1"/>
    <xf numFmtId="0" fontId="6" fillId="23" borderId="14" xfId="0" applyFont="1" applyFill="1" applyBorder="1" applyAlignment="1" applyProtection="1">
      <alignment horizontal="center"/>
    </xf>
    <xf numFmtId="1" fontId="6" fillId="0" borderId="14" xfId="0" applyNumberFormat="1" applyFont="1" applyBorder="1" applyAlignment="1" applyProtection="1">
      <alignment horizontal="center"/>
    </xf>
    <xf numFmtId="1" fontId="10" fillId="0" borderId="14" xfId="0" applyNumberFormat="1" applyFont="1" applyBorder="1" applyAlignment="1" applyProtection="1">
      <alignment horizontal="center"/>
    </xf>
    <xf numFmtId="166" fontId="20" fillId="3" borderId="0" xfId="0" applyNumberFormat="1" applyFont="1" applyFill="1" applyAlignment="1" applyProtection="1">
      <alignment horizontal="center"/>
    </xf>
    <xf numFmtId="0" fontId="6" fillId="3" borderId="13" xfId="0" applyFont="1" applyFill="1" applyBorder="1" applyProtection="1"/>
  </cellXfs>
  <cellStyles count="1">
    <cellStyle name="Normal" xfId="0" builtinId="0"/>
  </cellStyles>
  <dxfs count="9">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FFE599"/>
          <bgColor rgb="FFFFE599"/>
        </patternFill>
      </fill>
    </dxf>
    <dxf>
      <fill>
        <patternFill patternType="solid">
          <fgColor rgb="FFB7E1CD"/>
          <bgColor rgb="FFB7E1CD"/>
        </patternFill>
      </fill>
    </dxf>
    <dxf>
      <font>
        <color rgb="FF000000"/>
      </font>
      <fill>
        <patternFill patternType="solid">
          <fgColor rgb="FFFFE599"/>
          <bgColor rgb="FFFFE599"/>
        </patternFill>
      </fill>
    </dxf>
    <dxf>
      <font>
        <color rgb="FF000000"/>
      </font>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howmany.wiki/wv/How-many--ml--of--peanut+butter--in--1--kg" TargetMode="External"/><Relationship Id="rId2" Type="http://schemas.openxmlformats.org/officeDocument/2006/relationships/hyperlink" Target="https://www.quora.com/How-many-kg-of-peanuts-give-1-kg-of-peanut-butter" TargetMode="External"/><Relationship Id="rId1" Type="http://schemas.openxmlformats.org/officeDocument/2006/relationships/hyperlink" Target="https://zimpricecheck.com/market-intelligence/shops-hike-the-prices-of-sugar-and-peanut-butter/"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upcommons.upc.edu/bitstream/handle/2117/371758/master-thesis-matias-k-stner-msc-energy-engineering.pdf?sequence=1"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futurepump.com/solar-water-pump-datasheet-sf2/"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s://futurepump.com/solar-water-pump-datasheet-sf2/"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shinkoafrika.net/solar-and-hybrid-pumpsets-packages/"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google.com/url?q=https://www.camco.cn/product/solar-dc-submersible-pumps/&amp;sa=D&amp;source=editors&amp;ust=1654592958544539&amp;usg=AOvVaw1mEdNgW78dWD9NxWyT7eYe" TargetMode="External"/><Relationship Id="rId18" Type="http://schemas.openxmlformats.org/officeDocument/2006/relationships/hyperlink" Target="http://www.kurimamachinery.com/maize-shellers/" TargetMode="External"/><Relationship Id="rId26" Type="http://schemas.openxmlformats.org/officeDocument/2006/relationships/hyperlink" Target="https://www.google.com/url?q=https://www.camco.cn/product/peanut-butter-machine/&amp;sa=D&amp;source=editors&amp;ust=1654592958545294&amp;usg=AOvVaw1EB4_LRDJy5nY0Xrk61ru7" TargetMode="External"/><Relationship Id="rId39" Type="http://schemas.openxmlformats.org/officeDocument/2006/relationships/hyperlink" Target="https://www.tanroy.com/products/multi_crop_thrasher_electric/345" TargetMode="External"/><Relationship Id="rId21" Type="http://schemas.openxmlformats.org/officeDocument/2006/relationships/hyperlink" Target="https://farmpays.com/product/maize-sheller-agricultural-equipment/" TargetMode="External"/><Relationship Id="rId34" Type="http://schemas.openxmlformats.org/officeDocument/2006/relationships/hyperlink" Target="https://www.google.com/url?q=https://www.facebook.com/273118020189834/posts/groundnut-shelling-machine-at-affordable-price-we-make-make-all-types-1manual-2-/754438438724454/&amp;sa=D&amp;source=editors&amp;ust=1654592958545575&amp;usg=AOvVaw3OJi1hDFwZtsRFxhhHRwWV" TargetMode="External"/><Relationship Id="rId42" Type="http://schemas.openxmlformats.org/officeDocument/2006/relationships/hyperlink" Target="https://www.tanroy.com/products/groundnut_sheller_1tonnehr/La5b9rd2jM1W433829" TargetMode="External"/><Relationship Id="rId47" Type="http://schemas.openxmlformats.org/officeDocument/2006/relationships/hyperlink" Target="http://amefan.org/" TargetMode="External"/><Relationship Id="rId50" Type="http://schemas.openxmlformats.org/officeDocument/2006/relationships/hyperlink" Target="http://www.bestroyalagro.com/index.php?pname=products" TargetMode="External"/><Relationship Id="rId55" Type="http://schemas.openxmlformats.org/officeDocument/2006/relationships/hyperlink" Target="https://jiji.ng/lagos-abule-egba/farm-machinery-equipment/flash-dryer-6-tons-day-q2bYfSGuvwEFmi51tRmakOPt.html" TargetMode="External"/><Relationship Id="rId7" Type="http://schemas.openxmlformats.org/officeDocument/2006/relationships/hyperlink" Target="https://jiji.ng/farm-machinery-equipment" TargetMode="External"/><Relationship Id="rId2" Type="http://schemas.openxmlformats.org/officeDocument/2006/relationships/hyperlink" Target="https://agsol.com/products-original/" TargetMode="External"/><Relationship Id="rId16" Type="http://schemas.openxmlformats.org/officeDocument/2006/relationships/hyperlink" Target="https://www.google.com/url?q=https://www.camco.cn/product/maize-deluller/&amp;sa=D&amp;source=editors&amp;ust=1654592958544734&amp;usg=AOvVaw1a4-OxMES6o5aCgLBFXEDQ" TargetMode="External"/><Relationship Id="rId29" Type="http://schemas.openxmlformats.org/officeDocument/2006/relationships/hyperlink" Target="https://www.tanroy.com/products" TargetMode="External"/><Relationship Id="rId11" Type="http://schemas.openxmlformats.org/officeDocument/2006/relationships/hyperlink" Target="https://www.agriuniverse.co.zw/machinery-tools-and-equipment/grinding-mills-shelling-machines-peanut-butter-making-machines-etc/maize-thresher-with-electric-motor.html" TargetMode="External"/><Relationship Id="rId24" Type="http://schemas.openxmlformats.org/officeDocument/2006/relationships/hyperlink" Target="https://www.google.com/url?q=https://www.camco.cn/product/oil-expeller/&amp;sa=D&amp;source=editors&amp;ust=1654592958545193&amp;usg=AOvVaw0mwzoF7SQLdPFq5zkriAl7" TargetMode="External"/><Relationship Id="rId32" Type="http://schemas.openxmlformats.org/officeDocument/2006/relationships/hyperlink" Target="https://www.tanroy.com/products/grinding_mill_engine_driven/341" TargetMode="External"/><Relationship Id="rId37" Type="http://schemas.openxmlformats.org/officeDocument/2006/relationships/hyperlink" Target="https://www.tanroy.com/products/dehuller_electric/343" TargetMode="External"/><Relationship Id="rId40" Type="http://schemas.openxmlformats.org/officeDocument/2006/relationships/hyperlink" Target="https://nigerianprice.com/machines/" TargetMode="External"/><Relationship Id="rId45" Type="http://schemas.openxmlformats.org/officeDocument/2006/relationships/hyperlink" Target="https://www.tanroy.com/products/cassava_grater_chipper_electric/339" TargetMode="External"/><Relationship Id="rId53" Type="http://schemas.openxmlformats.org/officeDocument/2006/relationships/hyperlink" Target="https://btiagro.com.ng/" TargetMode="External"/><Relationship Id="rId58" Type="http://schemas.openxmlformats.org/officeDocument/2006/relationships/hyperlink" Target="https://nigeriantech.com.ng/maize-grinding-machine-prices-in-nigeria/" TargetMode="External"/><Relationship Id="rId5" Type="http://schemas.openxmlformats.org/officeDocument/2006/relationships/hyperlink" Target="https://agsol.com/wp-content/uploads/2020/07/Agsol-Catalogue.pdf" TargetMode="External"/><Relationship Id="rId19" Type="http://schemas.openxmlformats.org/officeDocument/2006/relationships/hyperlink" Target="https://www.google.com/url?q=https://www.camco.cn/product/stone-seperator/&amp;sa=D&amp;source=editors&amp;ust=1654592958544915&amp;usg=AOvVaw18MI2CspD5mPphCFXtDnMU" TargetMode="External"/><Relationship Id="rId4" Type="http://schemas.openxmlformats.org/officeDocument/2006/relationships/hyperlink" Target="http://tonnetagro.com/service.php?slug=maize-sheller100kg" TargetMode="External"/><Relationship Id="rId9" Type="http://schemas.openxmlformats.org/officeDocument/2006/relationships/hyperlink" Target="https://www.facebook.com/ExotischEnterprise/" TargetMode="External"/><Relationship Id="rId14" Type="http://schemas.openxmlformats.org/officeDocument/2006/relationships/hyperlink" Target="https://www.google.com/url?q=https://www.camco.cn/product/maize-sheller/&amp;sa=D&amp;source=editors&amp;ust=1654592958544634&amp;usg=AOvVaw0H-4ZGdqS3DYHznxR-_rDY" TargetMode="External"/><Relationship Id="rId22" Type="http://schemas.openxmlformats.org/officeDocument/2006/relationships/hyperlink" Target="https://www.google.com/url?q=https://www.camco.cn/product/rice-grading-sieve/&amp;sa=D&amp;source=editors&amp;ust=1654592958545098&amp;usg=AOvVaw0P4m5jxeBWeN8HQOW-8ls_" TargetMode="External"/><Relationship Id="rId27" Type="http://schemas.openxmlformats.org/officeDocument/2006/relationships/hyperlink" Target="https://solarcreed.com/collections/solar-water-pump" TargetMode="External"/><Relationship Id="rId30" Type="http://schemas.openxmlformats.org/officeDocument/2006/relationships/hyperlink" Target="https://www.google.com/url?q=https://www.camco.cn/product/disc-mill/&amp;sa=D&amp;source=editors&amp;ust=1654592958545473&amp;usg=AOvVaw1WjeXyaDb8Ef2pLoPsTUbm" TargetMode="External"/><Relationship Id="rId35" Type="http://schemas.openxmlformats.org/officeDocument/2006/relationships/hyperlink" Target="https://www.tanroy.com/products/mobile_gravity_mill/8aLp6ONLyAZw433834" TargetMode="External"/><Relationship Id="rId43" Type="http://schemas.openxmlformats.org/officeDocument/2006/relationships/hyperlink" Target="https://bennietech.com/product" TargetMode="External"/><Relationship Id="rId48" Type="http://schemas.openxmlformats.org/officeDocument/2006/relationships/hyperlink" Target="http://www.krishannigeria.com/grain-grinding-mills.php" TargetMode="External"/><Relationship Id="rId56" Type="http://schemas.openxmlformats.org/officeDocument/2006/relationships/hyperlink" Target="https://solarstores.org/" TargetMode="External"/><Relationship Id="rId8" Type="http://schemas.openxmlformats.org/officeDocument/2006/relationships/hyperlink" Target="https://www.vmulticlassifieds.co.zw/category-t/shelling-machines,256.html" TargetMode="External"/><Relationship Id="rId51" Type="http://schemas.openxmlformats.org/officeDocument/2006/relationships/hyperlink" Target="https://jiji.ng/shop/chinige-technology?listing_id=QLZf8HaV09SqBruI&amp;filter_category=289" TargetMode="External"/><Relationship Id="rId3" Type="http://schemas.openxmlformats.org/officeDocument/2006/relationships/hyperlink" Target="https://www.google.com/url?q=https://agrinatura-eu.eu/news/zambias-first-locally-produced-multi-crop-threshers/&amp;sa=D&amp;source=editors&amp;ust=1654592958544229&amp;usg=AOvVaw3R7O5nbk0rcEpD7a4xat7Q" TargetMode="External"/><Relationship Id="rId12" Type="http://schemas.openxmlformats.org/officeDocument/2006/relationships/hyperlink" Target="https://jiji.ng/farm-machinery-equipment?filter_attr_1623_type=Milling%20Machines" TargetMode="External"/><Relationship Id="rId17" Type="http://schemas.openxmlformats.org/officeDocument/2006/relationships/hyperlink" Target="https://www.google.com/url?q=https://www.camco.cn/product/combine-rice-mill/&amp;sa=D&amp;source=editors&amp;ust=1654592958544827&amp;usg=AOvVaw3FQkJIUe4qpmzYjzfvZO9W" TargetMode="External"/><Relationship Id="rId25" Type="http://schemas.openxmlformats.org/officeDocument/2006/relationships/hyperlink" Target="http://www.kurimamachinery.com/product/electric-motor-water-pump/" TargetMode="External"/><Relationship Id="rId33" Type="http://schemas.openxmlformats.org/officeDocument/2006/relationships/hyperlink" Target="https://www.grainpro.com/grainpro-bubble-dryer" TargetMode="External"/><Relationship Id="rId38" Type="http://schemas.openxmlformats.org/officeDocument/2006/relationships/hyperlink" Target="https://nigerianprice.com/rice-destoning-machine-prices-in-nigeria/" TargetMode="External"/><Relationship Id="rId46" Type="http://schemas.openxmlformats.org/officeDocument/2006/relationships/hyperlink" Target="https://agrikhub.com/big/" TargetMode="External"/><Relationship Id="rId59" Type="http://schemas.openxmlformats.org/officeDocument/2006/relationships/vmlDrawing" Target="../drawings/vmlDrawing8.vml"/><Relationship Id="rId20" Type="http://schemas.openxmlformats.org/officeDocument/2006/relationships/hyperlink" Target="http://www.kurimamachinery.com/product/hammermill/" TargetMode="External"/><Relationship Id="rId41" Type="http://schemas.openxmlformats.org/officeDocument/2006/relationships/hyperlink" Target="https://www.tanroy.com/products/pot_peanut_butter_machine/kdLABQLP2pyg433831" TargetMode="External"/><Relationship Id="rId54" Type="http://schemas.openxmlformats.org/officeDocument/2006/relationships/hyperlink" Target="https://businessday.ng/real-sector/article/nobex-pioneers-standard-in-africas-cassava-processing-value-chain/" TargetMode="External"/><Relationship Id="rId1" Type="http://schemas.openxmlformats.org/officeDocument/2006/relationships/hyperlink" Target="https://sonasindianmachines.com/product/22-hp-hammer-mill/" TargetMode="External"/><Relationship Id="rId6" Type="http://schemas.openxmlformats.org/officeDocument/2006/relationships/hyperlink" Target="https://www.usaid.gov/sites/default/files/documents/Power-Africa-PUE-2020-Catalog-Rwanda.pdf" TargetMode="External"/><Relationship Id="rId15" Type="http://schemas.openxmlformats.org/officeDocument/2006/relationships/hyperlink" Target="https://www.afrimash.com/shop/agricultural-equipment-section/agricultural-equipment/maize-shelling-machine-350-kg-hr/" TargetMode="External"/><Relationship Id="rId23" Type="http://schemas.openxmlformats.org/officeDocument/2006/relationships/hyperlink" Target="http://www.kurimamachinery.com/product/multi-crop-thresher/" TargetMode="External"/><Relationship Id="rId28" Type="http://schemas.openxmlformats.org/officeDocument/2006/relationships/hyperlink" Target="https://www.google.com/url?q=https://www.camco.cn/product/hammer-mill/&amp;sa=D&amp;source=editors&amp;ust=1654592958545389&amp;usg=AOvVaw3Z3CuHsq3kel5pPpHl6B6A" TargetMode="External"/><Relationship Id="rId36" Type="http://schemas.openxmlformats.org/officeDocument/2006/relationships/hyperlink" Target="https://nigerianprice.com/maize-grinding-machine-prices-in-nigeria/" TargetMode="External"/><Relationship Id="rId49" Type="http://schemas.openxmlformats.org/officeDocument/2006/relationships/hyperlink" Target="https://jiji.ng/sellerpage-4318975" TargetMode="External"/><Relationship Id="rId57" Type="http://schemas.openxmlformats.org/officeDocument/2006/relationships/hyperlink" Target="https://www.gosolarmart.com/es/solar-water-pumps" TargetMode="External"/><Relationship Id="rId10" Type="http://schemas.openxmlformats.org/officeDocument/2006/relationships/hyperlink" Target="https://www.google.com/url?q=https://www.camco.cn/product/solar-panel/&amp;sa=D&amp;source=editors&amp;ust=1654592958544447&amp;usg=AOvVaw3j1CyhuD44xTsB7oa42ijL" TargetMode="External"/><Relationship Id="rId31" Type="http://schemas.openxmlformats.org/officeDocument/2006/relationships/hyperlink" Target="https://www.tanroy.com/products/maize_sheller_electric/340" TargetMode="External"/><Relationship Id="rId44" Type="http://schemas.openxmlformats.org/officeDocument/2006/relationships/hyperlink" Target="https://www.tanroy.com/products/electric_roaster/9n1AVB1ayABX433835" TargetMode="External"/><Relationship Id="rId52" Type="http://schemas.openxmlformats.org/officeDocument/2006/relationships/hyperlink" Target="https://jiji.ng/shop/biotreasuresagro?page=2&amp;listing_id=xMK-sUQF8sD2F160" TargetMode="External"/><Relationship Id="rId60"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21"/>
  <sheetViews>
    <sheetView zoomScale="110" zoomScaleNormal="110" workbookViewId="0">
      <pane xSplit="2" topLeftCell="C1" activePane="topRight" state="frozen"/>
      <selection pane="topRight" activeCell="P16" sqref="P16"/>
    </sheetView>
  </sheetViews>
  <sheetFormatPr baseColWidth="10" defaultColWidth="12.6640625" defaultRowHeight="15.75" customHeight="1" x14ac:dyDescent="0.15"/>
  <cols>
    <col min="1" max="1" width="55" style="134" customWidth="1"/>
    <col min="2" max="16384" width="12.6640625" style="134"/>
  </cols>
  <sheetData>
    <row r="1" spans="1:26" ht="15.75" customHeight="1" x14ac:dyDescent="0.15">
      <c r="A1" s="132" t="s">
        <v>56</v>
      </c>
      <c r="B1" s="133"/>
      <c r="C1" s="214" t="s">
        <v>0</v>
      </c>
      <c r="D1" s="133"/>
      <c r="E1" s="133"/>
      <c r="F1" s="172"/>
      <c r="G1" s="214" t="s">
        <v>1</v>
      </c>
      <c r="H1" s="133"/>
      <c r="I1" s="133"/>
      <c r="J1" s="133"/>
      <c r="K1" s="172"/>
      <c r="L1" s="214" t="s">
        <v>2</v>
      </c>
      <c r="M1" s="133"/>
      <c r="N1" s="133"/>
      <c r="O1" s="172"/>
      <c r="P1" s="215" t="s">
        <v>3</v>
      </c>
      <c r="Q1" s="133"/>
      <c r="R1" s="133"/>
      <c r="S1" s="133"/>
    </row>
    <row r="2" spans="1:26" ht="15.75" customHeight="1" x14ac:dyDescent="0.15">
      <c r="A2" s="107" t="s">
        <v>4</v>
      </c>
      <c r="B2" s="108"/>
      <c r="C2" s="109" t="s">
        <v>5</v>
      </c>
      <c r="D2" s="108"/>
      <c r="E2" s="108"/>
      <c r="F2" s="110"/>
      <c r="G2" s="109" t="s">
        <v>6</v>
      </c>
      <c r="H2" s="108"/>
      <c r="I2" s="108"/>
      <c r="J2" s="108"/>
      <c r="K2" s="110"/>
      <c r="L2" s="109" t="s">
        <v>7</v>
      </c>
      <c r="M2" s="108"/>
      <c r="N2" s="108"/>
      <c r="O2" s="110"/>
      <c r="P2" s="111" t="s">
        <v>8</v>
      </c>
      <c r="Q2" s="108"/>
      <c r="R2" s="108"/>
      <c r="S2" s="108"/>
    </row>
    <row r="3" spans="1:26" ht="15.75" customHeight="1" x14ac:dyDescent="0.15">
      <c r="A3" s="164" t="s">
        <v>364</v>
      </c>
      <c r="B3" s="164" t="s">
        <v>9</v>
      </c>
      <c r="C3" s="30" t="s">
        <v>10</v>
      </c>
      <c r="D3" s="30" t="s">
        <v>11</v>
      </c>
      <c r="E3" s="30" t="s">
        <v>12</v>
      </c>
      <c r="F3" s="31" t="s">
        <v>13</v>
      </c>
      <c r="G3" s="30" t="s">
        <v>10</v>
      </c>
      <c r="H3" s="30" t="s">
        <v>14</v>
      </c>
      <c r="I3" s="30" t="s">
        <v>15</v>
      </c>
      <c r="J3" s="30" t="s">
        <v>13</v>
      </c>
      <c r="K3" s="31" t="s">
        <v>16</v>
      </c>
      <c r="L3" s="30" t="s">
        <v>10</v>
      </c>
      <c r="M3" s="30" t="s">
        <v>17</v>
      </c>
      <c r="N3" s="30" t="s">
        <v>11</v>
      </c>
      <c r="O3" s="31" t="s">
        <v>13</v>
      </c>
      <c r="P3" s="30" t="s">
        <v>10</v>
      </c>
      <c r="Q3" s="212"/>
      <c r="R3" s="212"/>
      <c r="S3" s="212"/>
      <c r="T3" s="213"/>
      <c r="U3" s="213"/>
      <c r="V3" s="213"/>
      <c r="W3" s="213"/>
      <c r="X3" s="213"/>
      <c r="Y3" s="213"/>
      <c r="Z3" s="213"/>
    </row>
    <row r="4" spans="1:26" ht="15.75" customHeight="1" x14ac:dyDescent="0.15">
      <c r="A4" s="163" t="s">
        <v>18</v>
      </c>
      <c r="B4" s="192"/>
      <c r="C4" s="192"/>
      <c r="D4" s="192"/>
      <c r="E4" s="192"/>
      <c r="F4" s="193"/>
      <c r="G4" s="192"/>
      <c r="H4" s="192"/>
      <c r="I4" s="192"/>
      <c r="J4" s="192"/>
      <c r="K4" s="193"/>
      <c r="L4" s="192"/>
      <c r="M4" s="192"/>
      <c r="N4" s="192"/>
      <c r="O4" s="193"/>
      <c r="P4" s="192"/>
      <c r="Q4" s="195"/>
      <c r="R4" s="195"/>
      <c r="S4" s="195"/>
      <c r="T4" s="195"/>
      <c r="U4" s="195"/>
      <c r="V4" s="195"/>
      <c r="W4" s="195"/>
      <c r="X4" s="195"/>
      <c r="Y4" s="195"/>
      <c r="Z4" s="195"/>
    </row>
    <row r="5" spans="1:26" ht="15.75" customHeight="1" x14ac:dyDescent="0.15">
      <c r="A5" s="211" t="s">
        <v>19</v>
      </c>
      <c r="B5" s="205" t="s">
        <v>20</v>
      </c>
      <c r="C5" s="34">
        <v>6</v>
      </c>
      <c r="D5" s="34">
        <v>6</v>
      </c>
      <c r="E5" s="34">
        <v>5</v>
      </c>
      <c r="F5" s="35">
        <v>5</v>
      </c>
      <c r="G5" s="34">
        <v>6</v>
      </c>
      <c r="H5" s="34">
        <v>5</v>
      </c>
      <c r="I5" s="34">
        <v>5</v>
      </c>
      <c r="J5" s="34">
        <v>5</v>
      </c>
      <c r="K5" s="35">
        <v>5</v>
      </c>
      <c r="L5" s="34">
        <v>6</v>
      </c>
      <c r="M5" s="34">
        <v>5</v>
      </c>
      <c r="N5" s="34">
        <v>6</v>
      </c>
      <c r="O5" s="35">
        <v>5</v>
      </c>
      <c r="P5" s="34">
        <v>6</v>
      </c>
    </row>
    <row r="6" spans="1:26" ht="15.75" customHeight="1" x14ac:dyDescent="0.15">
      <c r="A6" s="206" t="s">
        <v>21</v>
      </c>
      <c r="B6" s="205" t="s">
        <v>22</v>
      </c>
      <c r="C6" s="34">
        <v>6</v>
      </c>
      <c r="D6" s="34">
        <v>2</v>
      </c>
      <c r="E6" s="34">
        <v>2</v>
      </c>
      <c r="F6" s="35">
        <v>6</v>
      </c>
      <c r="G6" s="34">
        <v>12</v>
      </c>
      <c r="H6" s="34">
        <v>12</v>
      </c>
      <c r="I6" s="34">
        <v>12</v>
      </c>
      <c r="J6" s="34">
        <v>12</v>
      </c>
      <c r="K6" s="35">
        <v>12</v>
      </c>
      <c r="L6" s="34">
        <v>5</v>
      </c>
      <c r="M6" s="34">
        <v>2</v>
      </c>
      <c r="N6" s="34">
        <v>2</v>
      </c>
      <c r="O6" s="35">
        <v>4</v>
      </c>
      <c r="P6" s="34">
        <v>5</v>
      </c>
    </row>
    <row r="7" spans="1:26" ht="15.75" customHeight="1" x14ac:dyDescent="0.15">
      <c r="A7" s="206" t="s">
        <v>23</v>
      </c>
      <c r="B7" s="205" t="s">
        <v>24</v>
      </c>
      <c r="C7" s="36">
        <f t="shared" ref="C7:P7" si="0">35.6/415</f>
        <v>8.5783132530120487E-2</v>
      </c>
      <c r="D7" s="36">
        <f t="shared" si="0"/>
        <v>8.5783132530120487E-2</v>
      </c>
      <c r="E7" s="36">
        <f t="shared" si="0"/>
        <v>8.5783132530120487E-2</v>
      </c>
      <c r="F7" s="37">
        <f t="shared" si="0"/>
        <v>8.5783132530120487E-2</v>
      </c>
      <c r="G7" s="36">
        <f t="shared" si="0"/>
        <v>8.5783132530120487E-2</v>
      </c>
      <c r="H7" s="36">
        <f t="shared" si="0"/>
        <v>8.5783132530120487E-2</v>
      </c>
      <c r="I7" s="36">
        <f t="shared" si="0"/>
        <v>8.5783132530120487E-2</v>
      </c>
      <c r="J7" s="36">
        <f t="shared" si="0"/>
        <v>8.5783132530120487E-2</v>
      </c>
      <c r="K7" s="37">
        <f t="shared" si="0"/>
        <v>8.5783132530120487E-2</v>
      </c>
      <c r="L7" s="36">
        <f t="shared" si="0"/>
        <v>8.5783132530120487E-2</v>
      </c>
      <c r="M7" s="36">
        <f t="shared" si="0"/>
        <v>8.5783132530120487E-2</v>
      </c>
      <c r="N7" s="36">
        <f t="shared" si="0"/>
        <v>8.5783132530120487E-2</v>
      </c>
      <c r="O7" s="37">
        <f t="shared" si="0"/>
        <v>8.5783132530120487E-2</v>
      </c>
      <c r="P7" s="36">
        <f t="shared" si="0"/>
        <v>8.5783132530120487E-2</v>
      </c>
    </row>
    <row r="8" spans="1:26" ht="15.75" customHeight="1" x14ac:dyDescent="0.15">
      <c r="A8" s="206" t="s">
        <v>25</v>
      </c>
      <c r="B8" s="205" t="s">
        <v>24</v>
      </c>
      <c r="C8" s="36">
        <v>0.57799999999999996</v>
      </c>
      <c r="D8" s="36">
        <v>0.57799999999999996</v>
      </c>
      <c r="E8" s="36">
        <v>0.57799999999999996</v>
      </c>
      <c r="F8" s="37">
        <v>0.57799999999999996</v>
      </c>
      <c r="G8" s="36">
        <v>0.57799999999999996</v>
      </c>
      <c r="H8" s="36">
        <v>0.57799999999999996</v>
      </c>
      <c r="I8" s="36">
        <v>0.57799999999999996</v>
      </c>
      <c r="J8" s="36">
        <v>0.57799999999999996</v>
      </c>
      <c r="K8" s="37">
        <v>0.57799999999999996</v>
      </c>
      <c r="L8" s="36">
        <v>0.57799999999999996</v>
      </c>
      <c r="M8" s="36">
        <v>0.57799999999999996</v>
      </c>
      <c r="N8" s="36">
        <v>0.57799999999999996</v>
      </c>
      <c r="O8" s="37">
        <v>0.57799999999999996</v>
      </c>
      <c r="P8" s="36">
        <v>0.57799999999999996</v>
      </c>
    </row>
    <row r="9" spans="1:26" ht="15.75" customHeight="1" x14ac:dyDescent="0.15">
      <c r="A9" s="206" t="s">
        <v>26</v>
      </c>
      <c r="B9" s="205" t="s">
        <v>27</v>
      </c>
      <c r="C9" s="36">
        <f t="shared" ref="C9:P9" si="1">850/415</f>
        <v>2.0481927710843375</v>
      </c>
      <c r="D9" s="36">
        <f t="shared" si="1"/>
        <v>2.0481927710843375</v>
      </c>
      <c r="E9" s="36">
        <f t="shared" si="1"/>
        <v>2.0481927710843375</v>
      </c>
      <c r="F9" s="37">
        <f t="shared" si="1"/>
        <v>2.0481927710843375</v>
      </c>
      <c r="G9" s="36">
        <f t="shared" si="1"/>
        <v>2.0481927710843375</v>
      </c>
      <c r="H9" s="36">
        <f t="shared" si="1"/>
        <v>2.0481927710843375</v>
      </c>
      <c r="I9" s="36">
        <f t="shared" si="1"/>
        <v>2.0481927710843375</v>
      </c>
      <c r="J9" s="36">
        <f t="shared" si="1"/>
        <v>2.0481927710843375</v>
      </c>
      <c r="K9" s="37">
        <f t="shared" si="1"/>
        <v>2.0481927710843375</v>
      </c>
      <c r="L9" s="36">
        <f t="shared" si="1"/>
        <v>2.0481927710843375</v>
      </c>
      <c r="M9" s="36">
        <f t="shared" si="1"/>
        <v>2.0481927710843375</v>
      </c>
      <c r="N9" s="36">
        <f t="shared" si="1"/>
        <v>2.0481927710843375</v>
      </c>
      <c r="O9" s="37">
        <f t="shared" si="1"/>
        <v>2.0481927710843375</v>
      </c>
      <c r="P9" s="36">
        <f t="shared" si="1"/>
        <v>2.0481927710843375</v>
      </c>
    </row>
    <row r="10" spans="1:26" ht="15.75" customHeight="1" x14ac:dyDescent="0.15">
      <c r="A10" s="206" t="s">
        <v>28</v>
      </c>
      <c r="B10" s="205" t="s">
        <v>29</v>
      </c>
      <c r="C10" s="38">
        <v>50</v>
      </c>
      <c r="D10" s="38">
        <v>50</v>
      </c>
      <c r="E10" s="38">
        <v>50</v>
      </c>
      <c r="F10" s="39">
        <v>50</v>
      </c>
      <c r="G10" s="38">
        <v>50</v>
      </c>
      <c r="H10" s="38">
        <v>50</v>
      </c>
      <c r="I10" s="38">
        <v>50</v>
      </c>
      <c r="J10" s="38">
        <v>50</v>
      </c>
      <c r="K10" s="39">
        <v>50</v>
      </c>
      <c r="L10" s="38">
        <v>50</v>
      </c>
      <c r="M10" s="38">
        <v>50</v>
      </c>
      <c r="N10" s="38">
        <v>50</v>
      </c>
      <c r="O10" s="39">
        <v>50</v>
      </c>
      <c r="P10" s="38">
        <v>50</v>
      </c>
    </row>
    <row r="11" spans="1:26" ht="15.75" customHeight="1" x14ac:dyDescent="0.15">
      <c r="A11" s="206" t="s">
        <v>30</v>
      </c>
      <c r="B11" s="205" t="s">
        <v>31</v>
      </c>
      <c r="C11" s="36">
        <v>5.8999999999999997E-2</v>
      </c>
      <c r="D11" s="36">
        <v>5.8999999999999997E-2</v>
      </c>
      <c r="E11" s="36">
        <v>5.8999999999999997E-2</v>
      </c>
      <c r="F11" s="37">
        <v>5.8999999999999997E-2</v>
      </c>
      <c r="G11" s="36">
        <v>5.8999999999999997E-2</v>
      </c>
      <c r="H11" s="36">
        <v>5.8999999999999997E-2</v>
      </c>
      <c r="I11" s="36">
        <v>5.8999999999999997E-2</v>
      </c>
      <c r="J11" s="36">
        <v>5.8999999999999997E-2</v>
      </c>
      <c r="K11" s="37">
        <v>5.8999999999999997E-2</v>
      </c>
      <c r="L11" s="36">
        <v>5.8999999999999997E-2</v>
      </c>
      <c r="M11" s="36">
        <v>5.8999999999999997E-2</v>
      </c>
      <c r="N11" s="36">
        <v>5.8999999999999997E-2</v>
      </c>
      <c r="O11" s="37">
        <v>5.8999999999999997E-2</v>
      </c>
      <c r="P11" s="36">
        <v>5.8999999999999997E-2</v>
      </c>
    </row>
    <row r="12" spans="1:26" ht="15.75" customHeight="1" x14ac:dyDescent="0.15">
      <c r="A12" s="206" t="s">
        <v>32</v>
      </c>
      <c r="B12" s="205" t="s">
        <v>33</v>
      </c>
      <c r="C12" s="34">
        <v>33</v>
      </c>
      <c r="D12" s="40">
        <f>F12*0.3</f>
        <v>15</v>
      </c>
      <c r="E12" s="40">
        <v>50</v>
      </c>
      <c r="F12" s="35">
        <v>50</v>
      </c>
      <c r="G12" s="34">
        <v>33</v>
      </c>
      <c r="H12" s="40">
        <f>I12</f>
        <v>94</v>
      </c>
      <c r="I12" s="41">
        <v>94</v>
      </c>
      <c r="J12" s="40">
        <f t="shared" ref="J12:K12" si="2">I12</f>
        <v>94</v>
      </c>
      <c r="K12" s="42">
        <f t="shared" si="2"/>
        <v>94</v>
      </c>
      <c r="L12" s="34">
        <v>33</v>
      </c>
      <c r="M12" s="40">
        <f>O12*0.3</f>
        <v>24</v>
      </c>
      <c r="N12" s="40">
        <f>O12*0.1</f>
        <v>8</v>
      </c>
      <c r="O12" s="35">
        <v>80</v>
      </c>
      <c r="P12" s="34">
        <v>33</v>
      </c>
    </row>
    <row r="13" spans="1:26" ht="15.75" customHeight="1" x14ac:dyDescent="0.15">
      <c r="A13" s="206" t="s">
        <v>34</v>
      </c>
      <c r="B13" s="43">
        <f>65000/415</f>
        <v>156.62650602409639</v>
      </c>
      <c r="C13" s="208"/>
      <c r="D13" s="207"/>
      <c r="E13" s="207"/>
      <c r="F13" s="210"/>
      <c r="G13" s="208"/>
      <c r="H13" s="207"/>
      <c r="I13" s="207"/>
      <c r="J13" s="207"/>
      <c r="K13" s="210"/>
      <c r="L13" s="208"/>
      <c r="M13" s="207"/>
      <c r="N13" s="207"/>
      <c r="O13" s="210"/>
      <c r="P13" s="208"/>
      <c r="Q13" s="195"/>
      <c r="R13" s="195"/>
      <c r="S13" s="195"/>
      <c r="T13" s="195"/>
      <c r="U13" s="195"/>
      <c r="V13" s="195"/>
      <c r="W13" s="195"/>
      <c r="X13" s="195"/>
      <c r="Y13" s="195"/>
      <c r="Z13" s="195"/>
    </row>
    <row r="14" spans="1:26" ht="15.75" customHeight="1" x14ac:dyDescent="0.15">
      <c r="A14" s="156" t="s">
        <v>35</v>
      </c>
      <c r="B14" s="192"/>
      <c r="C14" s="208"/>
      <c r="D14" s="207"/>
      <c r="E14" s="207"/>
      <c r="F14" s="210"/>
      <c r="G14" s="208"/>
      <c r="H14" s="207"/>
      <c r="I14" s="207"/>
      <c r="J14" s="207"/>
      <c r="K14" s="210"/>
      <c r="L14" s="208"/>
      <c r="M14" s="207"/>
      <c r="N14" s="207"/>
      <c r="O14" s="210"/>
      <c r="P14" s="208"/>
      <c r="Q14" s="195"/>
      <c r="R14" s="195"/>
      <c r="S14" s="195"/>
      <c r="T14" s="195"/>
      <c r="U14" s="195"/>
      <c r="V14" s="195"/>
      <c r="W14" s="195"/>
      <c r="X14" s="195"/>
      <c r="Y14" s="195"/>
      <c r="Z14" s="195"/>
    </row>
    <row r="15" spans="1:26" ht="15.75" customHeight="1" x14ac:dyDescent="0.15">
      <c r="A15" s="204" t="s">
        <v>36</v>
      </c>
      <c r="B15" s="205" t="s">
        <v>37</v>
      </c>
      <c r="C15" s="44">
        <v>2361</v>
      </c>
      <c r="D15" s="145"/>
      <c r="E15" s="145"/>
      <c r="F15" s="157"/>
      <c r="G15" s="44">
        <v>2361</v>
      </c>
      <c r="H15" s="145"/>
      <c r="I15" s="145"/>
      <c r="J15" s="145"/>
      <c r="K15" s="157"/>
      <c r="L15" s="44">
        <v>2361</v>
      </c>
      <c r="M15" s="145"/>
      <c r="N15" s="145"/>
      <c r="O15" s="157"/>
      <c r="P15" s="44">
        <v>2361</v>
      </c>
      <c r="Q15" s="195"/>
      <c r="R15" s="195"/>
      <c r="S15" s="195"/>
      <c r="T15" s="195"/>
      <c r="U15" s="195"/>
      <c r="V15" s="195"/>
      <c r="W15" s="195"/>
      <c r="X15" s="195"/>
      <c r="Y15" s="195"/>
      <c r="Z15" s="195"/>
    </row>
    <row r="16" spans="1:26" ht="15.75" customHeight="1" x14ac:dyDescent="0.15">
      <c r="A16" s="204" t="s">
        <v>38</v>
      </c>
      <c r="B16" s="205" t="s">
        <v>39</v>
      </c>
      <c r="C16" s="45">
        <v>0.36</v>
      </c>
      <c r="D16" s="145"/>
      <c r="E16" s="145"/>
      <c r="F16" s="157"/>
      <c r="G16" s="45">
        <v>0.36</v>
      </c>
      <c r="H16" s="145"/>
      <c r="I16" s="145"/>
      <c r="J16" s="145"/>
      <c r="K16" s="157"/>
      <c r="L16" s="45">
        <v>0.36</v>
      </c>
      <c r="M16" s="145"/>
      <c r="N16" s="145"/>
      <c r="O16" s="157"/>
      <c r="P16" s="45">
        <v>0.36</v>
      </c>
      <c r="Q16" s="195"/>
      <c r="R16" s="195"/>
      <c r="S16" s="195"/>
      <c r="T16" s="195"/>
      <c r="U16" s="195"/>
      <c r="V16" s="195"/>
      <c r="W16" s="195"/>
      <c r="X16" s="195"/>
      <c r="Y16" s="195"/>
      <c r="Z16" s="195"/>
    </row>
    <row r="17" spans="1:26" ht="15.75" customHeight="1" x14ac:dyDescent="0.15">
      <c r="A17" s="156" t="s">
        <v>40</v>
      </c>
      <c r="B17" s="192"/>
      <c r="C17" s="207"/>
      <c r="D17" s="208"/>
      <c r="E17" s="208"/>
      <c r="F17" s="209"/>
      <c r="G17" s="207"/>
      <c r="H17" s="208"/>
      <c r="I17" s="208"/>
      <c r="J17" s="208"/>
      <c r="K17" s="209"/>
      <c r="L17" s="207"/>
      <c r="M17" s="208"/>
      <c r="N17" s="208"/>
      <c r="O17" s="209"/>
      <c r="P17" s="207"/>
      <c r="Q17" s="195"/>
      <c r="R17" s="195"/>
      <c r="S17" s="195"/>
      <c r="T17" s="195"/>
      <c r="U17" s="195"/>
      <c r="V17" s="195"/>
      <c r="W17" s="195"/>
      <c r="X17" s="195"/>
      <c r="Y17" s="195"/>
      <c r="Z17" s="195"/>
    </row>
    <row r="18" spans="1:26" ht="15.75" customHeight="1" x14ac:dyDescent="0.15">
      <c r="A18" s="204" t="s">
        <v>41</v>
      </c>
      <c r="B18" s="205" t="s">
        <v>37</v>
      </c>
      <c r="C18" s="145"/>
      <c r="D18" s="44">
        <v>1566</v>
      </c>
      <c r="E18" s="44">
        <v>2420</v>
      </c>
      <c r="F18" s="46">
        <v>3000</v>
      </c>
      <c r="G18" s="145"/>
      <c r="H18" s="44">
        <v>3250</v>
      </c>
      <c r="I18" s="44">
        <v>2000</v>
      </c>
      <c r="J18" s="44">
        <v>285</v>
      </c>
      <c r="K18" s="46">
        <v>2000</v>
      </c>
      <c r="L18" s="145"/>
      <c r="M18" s="44">
        <v>1473</v>
      </c>
      <c r="N18" s="44">
        <v>3614</v>
      </c>
      <c r="O18" s="46">
        <v>1807</v>
      </c>
      <c r="P18" s="145"/>
      <c r="Q18" s="195"/>
      <c r="R18" s="195"/>
      <c r="S18" s="195"/>
      <c r="T18" s="195"/>
      <c r="U18" s="195"/>
      <c r="V18" s="195"/>
      <c r="W18" s="195"/>
      <c r="X18" s="195"/>
      <c r="Y18" s="195"/>
      <c r="Z18" s="195"/>
    </row>
    <row r="19" spans="1:26" ht="15.75" customHeight="1" x14ac:dyDescent="0.15">
      <c r="A19" s="206" t="s">
        <v>42</v>
      </c>
      <c r="B19" s="205" t="s">
        <v>43</v>
      </c>
      <c r="C19" s="145"/>
      <c r="D19" s="47">
        <v>83</v>
      </c>
      <c r="E19" s="47">
        <v>400</v>
      </c>
      <c r="F19" s="48">
        <v>1000</v>
      </c>
      <c r="G19" s="202"/>
      <c r="H19" s="47">
        <v>800</v>
      </c>
      <c r="I19" s="47">
        <v>1000</v>
      </c>
      <c r="J19" s="47">
        <v>1300</v>
      </c>
      <c r="K19" s="48">
        <v>600</v>
      </c>
      <c r="L19" s="202"/>
      <c r="M19" s="47">
        <v>1000</v>
      </c>
      <c r="N19" s="47">
        <v>250</v>
      </c>
      <c r="O19" s="48">
        <v>1000</v>
      </c>
      <c r="P19" s="202"/>
      <c r="Q19" s="195"/>
      <c r="R19" s="195"/>
      <c r="S19" s="195"/>
      <c r="T19" s="195"/>
      <c r="U19" s="195"/>
      <c r="V19" s="195"/>
      <c r="W19" s="195"/>
      <c r="X19" s="195"/>
      <c r="Y19" s="195"/>
      <c r="Z19" s="195"/>
    </row>
    <row r="20" spans="1:26" ht="15.75" customHeight="1" x14ac:dyDescent="0.15">
      <c r="A20" s="206" t="s">
        <v>44</v>
      </c>
      <c r="B20" s="205" t="s">
        <v>39</v>
      </c>
      <c r="C20" s="145"/>
      <c r="D20" s="45">
        <v>0.2</v>
      </c>
      <c r="E20" s="45">
        <v>2.2000000000000002</v>
      </c>
      <c r="F20" s="49">
        <v>30</v>
      </c>
      <c r="G20" s="203"/>
      <c r="H20" s="45">
        <v>1.1000000000000001</v>
      </c>
      <c r="I20" s="45">
        <v>4.75</v>
      </c>
      <c r="J20" s="45">
        <v>11</v>
      </c>
      <c r="K20" s="49">
        <v>0.75</v>
      </c>
      <c r="L20" s="203"/>
      <c r="M20" s="45">
        <v>0.75</v>
      </c>
      <c r="N20" s="45">
        <v>0.2</v>
      </c>
      <c r="O20" s="49">
        <v>15</v>
      </c>
      <c r="P20" s="203"/>
      <c r="Q20" s="195"/>
      <c r="R20" s="195"/>
      <c r="S20" s="195"/>
      <c r="T20" s="195"/>
      <c r="U20" s="195"/>
      <c r="V20" s="195"/>
      <c r="W20" s="195"/>
      <c r="X20" s="195"/>
      <c r="Y20" s="195"/>
      <c r="Z20" s="195"/>
    </row>
    <row r="21" spans="1:26" ht="15.75" customHeight="1" x14ac:dyDescent="0.15">
      <c r="A21" s="135" t="s">
        <v>45</v>
      </c>
      <c r="B21" s="138"/>
      <c r="C21" s="139"/>
      <c r="D21" s="139"/>
      <c r="E21" s="139"/>
      <c r="F21" s="140"/>
      <c r="G21" s="139"/>
      <c r="H21" s="139"/>
      <c r="I21" s="139"/>
      <c r="J21" s="139"/>
      <c r="K21" s="140"/>
      <c r="L21" s="139"/>
      <c r="M21" s="139"/>
      <c r="N21" s="139"/>
      <c r="O21" s="140"/>
      <c r="P21" s="139"/>
      <c r="Q21" s="195"/>
      <c r="R21" s="195"/>
      <c r="S21" s="195"/>
      <c r="T21" s="195"/>
      <c r="U21" s="195"/>
      <c r="V21" s="195"/>
      <c r="W21" s="195"/>
      <c r="X21" s="195"/>
      <c r="Y21" s="195"/>
      <c r="Z21" s="195"/>
    </row>
    <row r="22" spans="1:26" ht="15.75" customHeight="1" x14ac:dyDescent="0.15">
      <c r="A22" s="137" t="s">
        <v>46</v>
      </c>
      <c r="B22" s="138" t="s">
        <v>47</v>
      </c>
      <c r="C22" s="139">
        <f>C5*$B$115*C6/8760</f>
        <v>0.12499315068493151</v>
      </c>
      <c r="D22" s="139">
        <f t="shared" ref="D22:F22" si="3">D5*$C$115*D6/8760</f>
        <v>1.7856164383561645E-2</v>
      </c>
      <c r="E22" s="139">
        <f t="shared" si="3"/>
        <v>1.4880136986301369E-2</v>
      </c>
      <c r="F22" s="140">
        <f t="shared" si="3"/>
        <v>4.4640410958904107E-2</v>
      </c>
      <c r="G22" s="139">
        <f>G5*$B$115*G6/8760</f>
        <v>0.24998630136986302</v>
      </c>
      <c r="H22" s="139">
        <f t="shared" ref="H22:K22" si="4">H5*$C$115*H6/8760</f>
        <v>8.9280821917808215E-2</v>
      </c>
      <c r="I22" s="139">
        <f t="shared" si="4"/>
        <v>8.9280821917808215E-2</v>
      </c>
      <c r="J22" s="139">
        <f t="shared" si="4"/>
        <v>8.9280821917808215E-2</v>
      </c>
      <c r="K22" s="140">
        <f t="shared" si="4"/>
        <v>8.9280821917808215E-2</v>
      </c>
      <c r="L22" s="139">
        <f>L5*$B$115*L6/8760</f>
        <v>0.10416095890410959</v>
      </c>
      <c r="M22" s="139">
        <f t="shared" ref="M22:O22" si="5">M5*$C$115*M6/8760</f>
        <v>1.4880136986301369E-2</v>
      </c>
      <c r="N22" s="139">
        <f t="shared" si="5"/>
        <v>1.7856164383561645E-2</v>
      </c>
      <c r="O22" s="140">
        <f t="shared" si="5"/>
        <v>2.9760273972602738E-2</v>
      </c>
      <c r="P22" s="139">
        <f>P5*$B$115*P6/8760</f>
        <v>0.10416095890410959</v>
      </c>
      <c r="Q22" s="195"/>
      <c r="R22" s="195"/>
      <c r="S22" s="195"/>
      <c r="T22" s="195"/>
      <c r="U22" s="195"/>
      <c r="V22" s="195"/>
      <c r="W22" s="195"/>
      <c r="X22" s="195"/>
      <c r="Y22" s="195"/>
      <c r="Z22" s="195"/>
    </row>
    <row r="23" spans="1:26" ht="15.75" customHeight="1" x14ac:dyDescent="0.15">
      <c r="A23" s="137" t="s">
        <v>48</v>
      </c>
      <c r="B23" s="138" t="s">
        <v>49</v>
      </c>
      <c r="C23" s="141">
        <f>'Main inputs'!C22*8760</f>
        <v>1094.94</v>
      </c>
      <c r="D23" s="141">
        <f>'Main inputs'!D22*8760</f>
        <v>156.42000000000002</v>
      </c>
      <c r="E23" s="141">
        <f>'Main inputs'!E22*8760</f>
        <v>130.35</v>
      </c>
      <c r="F23" s="142">
        <f>'Main inputs'!F22*8760</f>
        <v>391.04999999999995</v>
      </c>
      <c r="G23" s="141">
        <f>'Main inputs'!G22*8760</f>
        <v>2189.88</v>
      </c>
      <c r="H23" s="141">
        <f>'Main inputs'!H22*8760</f>
        <v>782.09999999999991</v>
      </c>
      <c r="I23" s="141">
        <f>'Main inputs'!I22*8760</f>
        <v>782.09999999999991</v>
      </c>
      <c r="J23" s="141">
        <f>'Main inputs'!J22*8760</f>
        <v>782.09999999999991</v>
      </c>
      <c r="K23" s="142">
        <f>'Main inputs'!K22*8760</f>
        <v>782.09999999999991</v>
      </c>
      <c r="L23" s="141">
        <f>'Main inputs'!L22*8760</f>
        <v>912.45</v>
      </c>
      <c r="M23" s="141">
        <f>'Main inputs'!M22*8760</f>
        <v>130.35</v>
      </c>
      <c r="N23" s="141">
        <f>'Main inputs'!N22*8760</f>
        <v>156.42000000000002</v>
      </c>
      <c r="O23" s="142">
        <f>'Main inputs'!O22*8760</f>
        <v>260.7</v>
      </c>
      <c r="P23" s="141">
        <f>'Main inputs'!P22*8760</f>
        <v>912.45</v>
      </c>
      <c r="Q23" s="195"/>
      <c r="R23" s="195"/>
      <c r="S23" s="195"/>
      <c r="T23" s="195"/>
      <c r="U23" s="195"/>
      <c r="V23" s="195"/>
      <c r="W23" s="195"/>
      <c r="X23" s="195"/>
      <c r="Y23" s="195"/>
      <c r="Z23" s="195"/>
    </row>
    <row r="24" spans="1:26" ht="15.75" customHeight="1" x14ac:dyDescent="0.15">
      <c r="A24" s="137" t="s">
        <v>50</v>
      </c>
      <c r="B24" s="138" t="s">
        <v>33</v>
      </c>
      <c r="C24" s="143">
        <f>$B$13*C6*$B$116</f>
        <v>469.87951807228916</v>
      </c>
      <c r="D24" s="143">
        <f t="shared" ref="D24:F24" si="6">$B$13*D6*$C$116</f>
        <v>313.25301204819277</v>
      </c>
      <c r="E24" s="143">
        <f t="shared" si="6"/>
        <v>313.25301204819277</v>
      </c>
      <c r="F24" s="144">
        <f t="shared" si="6"/>
        <v>939.75903614457832</v>
      </c>
      <c r="G24" s="143">
        <f>$B$13*G6*$B$116</f>
        <v>939.75903614457832</v>
      </c>
      <c r="H24" s="143">
        <f t="shared" ref="H24:K24" si="7">$B$13*H6*$C$116</f>
        <v>1879.5180722891566</v>
      </c>
      <c r="I24" s="143">
        <f t="shared" si="7"/>
        <v>1879.5180722891566</v>
      </c>
      <c r="J24" s="143">
        <f t="shared" si="7"/>
        <v>1879.5180722891566</v>
      </c>
      <c r="K24" s="144">
        <f t="shared" si="7"/>
        <v>1879.5180722891566</v>
      </c>
      <c r="L24" s="143">
        <f>$B$13*L6*$B$116</f>
        <v>391.56626506024099</v>
      </c>
      <c r="M24" s="143">
        <f t="shared" ref="M24:O24" si="8">$B$13*M6*$C$116</f>
        <v>313.25301204819277</v>
      </c>
      <c r="N24" s="143">
        <f t="shared" si="8"/>
        <v>313.25301204819277</v>
      </c>
      <c r="O24" s="144">
        <f t="shared" si="8"/>
        <v>626.50602409638554</v>
      </c>
      <c r="P24" s="143">
        <f>$B$13*P6*$B$116</f>
        <v>391.56626506024099</v>
      </c>
      <c r="Q24" s="195"/>
      <c r="R24" s="195"/>
      <c r="S24" s="195"/>
      <c r="T24" s="195"/>
      <c r="U24" s="195"/>
      <c r="V24" s="195"/>
      <c r="W24" s="195"/>
      <c r="X24" s="195"/>
      <c r="Y24" s="195"/>
      <c r="Z24" s="195"/>
    </row>
    <row r="25" spans="1:26" ht="15.75" customHeight="1" x14ac:dyDescent="0.15">
      <c r="A25" s="137" t="s">
        <v>51</v>
      </c>
      <c r="B25" s="138" t="s">
        <v>52</v>
      </c>
      <c r="C25" s="145"/>
      <c r="D25" s="141">
        <f>D19</f>
        <v>83</v>
      </c>
      <c r="E25" s="196">
        <f t="shared" ref="E25:F25" si="9">E19*0.5</f>
        <v>200</v>
      </c>
      <c r="F25" s="197">
        <f t="shared" si="9"/>
        <v>500</v>
      </c>
      <c r="G25" s="145"/>
      <c r="H25" s="196">
        <f t="shared" ref="H25:K25" si="10">H19*0.5</f>
        <v>400</v>
      </c>
      <c r="I25" s="196">
        <f t="shared" si="10"/>
        <v>500</v>
      </c>
      <c r="J25" s="196">
        <f t="shared" si="10"/>
        <v>650</v>
      </c>
      <c r="K25" s="197">
        <f t="shared" si="10"/>
        <v>300</v>
      </c>
      <c r="L25" s="145"/>
      <c r="M25" s="196">
        <f t="shared" ref="M25:O25" si="11">M19*0.5</f>
        <v>500</v>
      </c>
      <c r="N25" s="196">
        <f t="shared" si="11"/>
        <v>125</v>
      </c>
      <c r="O25" s="197">
        <f t="shared" si="11"/>
        <v>500</v>
      </c>
      <c r="P25" s="145"/>
    </row>
    <row r="26" spans="1:26" ht="15.75" customHeight="1" x14ac:dyDescent="0.15">
      <c r="A26" s="137" t="s">
        <v>53</v>
      </c>
      <c r="B26" s="138" t="s">
        <v>54</v>
      </c>
      <c r="C26" s="141">
        <f>C16*'Main inputs'!C23</f>
        <v>394.17840000000001</v>
      </c>
      <c r="D26" s="141">
        <f>D20*'Main inputs'!D23</f>
        <v>31.284000000000006</v>
      </c>
      <c r="E26" s="141">
        <f>E20*'Main inputs'!E23</f>
        <v>286.77000000000004</v>
      </c>
      <c r="F26" s="142">
        <f>F20*'Main inputs'!F23</f>
        <v>11731.499999999998</v>
      </c>
      <c r="G26" s="141">
        <f>G16*'Main inputs'!G23</f>
        <v>788.35680000000002</v>
      </c>
      <c r="H26" s="141">
        <f>H20*'Main inputs'!H23</f>
        <v>860.31</v>
      </c>
      <c r="I26" s="141">
        <f>I20*'Main inputs'!I23</f>
        <v>3714.9749999999995</v>
      </c>
      <c r="J26" s="141">
        <f>J20*'Main inputs'!J23</f>
        <v>8603.0999999999985</v>
      </c>
      <c r="K26" s="142">
        <f>K20*'Main inputs'!K23</f>
        <v>586.57499999999993</v>
      </c>
      <c r="L26" s="141">
        <f>L16*'Main inputs'!L23</f>
        <v>328.48200000000003</v>
      </c>
      <c r="M26" s="141">
        <f>M20*'Main inputs'!M23</f>
        <v>97.762499999999989</v>
      </c>
      <c r="N26" s="141">
        <f>N20*'Main inputs'!N23</f>
        <v>31.284000000000006</v>
      </c>
      <c r="O26" s="142">
        <f>O20*'Main inputs'!O23</f>
        <v>3910.5</v>
      </c>
      <c r="P26" s="141">
        <f>P16*'Main inputs'!P23</f>
        <v>328.48200000000003</v>
      </c>
    </row>
    <row r="27" spans="1:26" ht="15.75" customHeight="1" x14ac:dyDescent="0.15">
      <c r="A27" s="146" t="s">
        <v>55</v>
      </c>
      <c r="B27" s="147" t="s">
        <v>39</v>
      </c>
      <c r="C27" s="198">
        <f>C26/'Main inputs'!C23</f>
        <v>0.36</v>
      </c>
      <c r="D27" s="148">
        <f>D26/'Main inputs'!D23</f>
        <v>0.2</v>
      </c>
      <c r="E27" s="148">
        <f>E26/'Main inputs'!E23</f>
        <v>2.2000000000000002</v>
      </c>
      <c r="F27" s="149">
        <f>F26/'Main inputs'!F23</f>
        <v>30</v>
      </c>
      <c r="G27" s="148">
        <f>G26/'Main inputs'!G23</f>
        <v>0.36</v>
      </c>
      <c r="H27" s="148">
        <f>H26/'Main inputs'!H23</f>
        <v>1.1000000000000001</v>
      </c>
      <c r="I27" s="148">
        <f>I26/'Main inputs'!I23</f>
        <v>4.75</v>
      </c>
      <c r="J27" s="148">
        <f>J26/'Main inputs'!J23</f>
        <v>11</v>
      </c>
      <c r="K27" s="149">
        <f>K26/'Main inputs'!K23</f>
        <v>0.75</v>
      </c>
      <c r="L27" s="148">
        <f>L26/'Main inputs'!L23</f>
        <v>0.36</v>
      </c>
      <c r="M27" s="148">
        <f>M26/'Main inputs'!M23</f>
        <v>0.75</v>
      </c>
      <c r="N27" s="148">
        <f>N26/'Main inputs'!N23</f>
        <v>0.2</v>
      </c>
      <c r="O27" s="149">
        <f>O26/'Main inputs'!O23</f>
        <v>15</v>
      </c>
      <c r="P27" s="148">
        <f>P26/'Main inputs'!P23</f>
        <v>0.36</v>
      </c>
    </row>
    <row r="29" spans="1:26" ht="15.75" customHeight="1" x14ac:dyDescent="0.15">
      <c r="A29" s="199" t="s">
        <v>56</v>
      </c>
      <c r="B29" s="133"/>
      <c r="C29" s="200" t="s">
        <v>57</v>
      </c>
      <c r="D29" s="133"/>
      <c r="E29" s="133"/>
      <c r="F29" s="133"/>
      <c r="G29" s="172"/>
      <c r="H29" s="200" t="s">
        <v>58</v>
      </c>
      <c r="I29" s="172"/>
      <c r="J29" s="200" t="s">
        <v>59</v>
      </c>
      <c r="K29" s="133"/>
      <c r="L29" s="133"/>
      <c r="M29" s="172"/>
      <c r="N29" s="201" t="s">
        <v>60</v>
      </c>
      <c r="O29" s="133"/>
    </row>
    <row r="30" spans="1:26" ht="15.75" customHeight="1" x14ac:dyDescent="0.15">
      <c r="A30" s="112" t="s">
        <v>61</v>
      </c>
      <c r="B30" s="108"/>
      <c r="C30" s="113" t="s">
        <v>5</v>
      </c>
      <c r="D30" s="108"/>
      <c r="E30" s="108"/>
      <c r="F30" s="108"/>
      <c r="G30" s="110"/>
      <c r="H30" s="113" t="s">
        <v>6</v>
      </c>
      <c r="I30" s="110"/>
      <c r="J30" s="113" t="s">
        <v>62</v>
      </c>
      <c r="K30" s="108"/>
      <c r="L30" s="108"/>
      <c r="M30" s="110"/>
      <c r="N30" s="53" t="s">
        <v>8</v>
      </c>
      <c r="O30" s="194"/>
    </row>
    <row r="31" spans="1:26" ht="15.75" customHeight="1" x14ac:dyDescent="0.15">
      <c r="A31" s="164" t="s">
        <v>63</v>
      </c>
      <c r="B31" s="135"/>
      <c r="C31" s="32" t="s">
        <v>10</v>
      </c>
      <c r="D31" s="32" t="s">
        <v>11</v>
      </c>
      <c r="E31" s="32" t="s">
        <v>12</v>
      </c>
      <c r="F31" s="32" t="s">
        <v>64</v>
      </c>
      <c r="G31" s="33" t="s">
        <v>13</v>
      </c>
      <c r="H31" s="32" t="s">
        <v>10</v>
      </c>
      <c r="I31" s="33" t="s">
        <v>13</v>
      </c>
      <c r="J31" s="32" t="s">
        <v>10</v>
      </c>
      <c r="K31" s="32" t="s">
        <v>11</v>
      </c>
      <c r="L31" s="32" t="s">
        <v>17</v>
      </c>
      <c r="M31" s="54" t="s">
        <v>65</v>
      </c>
      <c r="N31" s="32" t="s">
        <v>10</v>
      </c>
    </row>
    <row r="32" spans="1:26" ht="15.75" customHeight="1" x14ac:dyDescent="0.15">
      <c r="A32" s="163" t="s">
        <v>18</v>
      </c>
      <c r="B32" s="135" t="s">
        <v>9</v>
      </c>
      <c r="C32" s="192"/>
      <c r="D32" s="192"/>
      <c r="E32" s="192"/>
      <c r="F32" s="192"/>
      <c r="G32" s="193"/>
      <c r="H32" s="192"/>
      <c r="I32" s="193"/>
      <c r="J32" s="192"/>
      <c r="K32" s="192"/>
      <c r="L32" s="192"/>
      <c r="M32" s="136"/>
      <c r="N32" s="192"/>
    </row>
    <row r="33" spans="1:26" ht="15.75" customHeight="1" x14ac:dyDescent="0.15">
      <c r="A33" s="191" t="s">
        <v>19</v>
      </c>
      <c r="B33" s="186" t="s">
        <v>20</v>
      </c>
      <c r="C33" s="55">
        <v>6</v>
      </c>
      <c r="D33" s="55">
        <v>6</v>
      </c>
      <c r="E33" s="55">
        <v>5</v>
      </c>
      <c r="F33" s="55">
        <v>5</v>
      </c>
      <c r="G33" s="56">
        <v>5</v>
      </c>
      <c r="H33" s="55">
        <v>6</v>
      </c>
      <c r="I33" s="56">
        <v>5</v>
      </c>
      <c r="J33" s="55">
        <v>6</v>
      </c>
      <c r="K33" s="55">
        <v>6</v>
      </c>
      <c r="L33" s="55">
        <v>5</v>
      </c>
      <c r="M33" s="56">
        <v>5</v>
      </c>
      <c r="N33" s="55">
        <v>6</v>
      </c>
    </row>
    <row r="34" spans="1:26" ht="15.75" customHeight="1" x14ac:dyDescent="0.15">
      <c r="A34" s="185" t="s">
        <v>21</v>
      </c>
      <c r="B34" s="186" t="s">
        <v>22</v>
      </c>
      <c r="C34" s="55">
        <v>4</v>
      </c>
      <c r="D34" s="55">
        <v>2</v>
      </c>
      <c r="E34" s="55">
        <v>2</v>
      </c>
      <c r="F34" s="55">
        <v>6</v>
      </c>
      <c r="G34" s="56">
        <v>6</v>
      </c>
      <c r="H34" s="55">
        <v>12</v>
      </c>
      <c r="I34" s="56">
        <v>12</v>
      </c>
      <c r="J34" s="55">
        <v>3</v>
      </c>
      <c r="K34" s="55">
        <v>2</v>
      </c>
      <c r="L34" s="55">
        <v>2</v>
      </c>
      <c r="M34" s="56">
        <v>2</v>
      </c>
      <c r="N34" s="55">
        <v>3</v>
      </c>
    </row>
    <row r="35" spans="1:26" ht="15.75" customHeight="1" x14ac:dyDescent="0.15">
      <c r="A35" s="185" t="s">
        <v>23</v>
      </c>
      <c r="B35" s="186" t="s">
        <v>24</v>
      </c>
      <c r="C35" s="55">
        <v>0.23</v>
      </c>
      <c r="D35" s="55">
        <v>0.23</v>
      </c>
      <c r="E35" s="55">
        <v>0.23</v>
      </c>
      <c r="F35" s="55">
        <v>0.23</v>
      </c>
      <c r="G35" s="56">
        <v>0.23</v>
      </c>
      <c r="H35" s="55">
        <v>0.23</v>
      </c>
      <c r="I35" s="56">
        <v>0.23</v>
      </c>
      <c r="J35" s="55">
        <v>0.23</v>
      </c>
      <c r="K35" s="55">
        <v>0.23</v>
      </c>
      <c r="L35" s="55">
        <v>0.23</v>
      </c>
      <c r="M35" s="56">
        <v>0.23</v>
      </c>
      <c r="N35" s="55">
        <v>0.23</v>
      </c>
    </row>
    <row r="36" spans="1:26" ht="15.75" customHeight="1" x14ac:dyDescent="0.15">
      <c r="A36" s="185" t="s">
        <v>25</v>
      </c>
      <c r="B36" s="186" t="s">
        <v>24</v>
      </c>
      <c r="C36" s="55">
        <v>0.52500000000000002</v>
      </c>
      <c r="D36" s="55">
        <v>0.52500000000000002</v>
      </c>
      <c r="E36" s="55">
        <v>0.52500000000000002</v>
      </c>
      <c r="F36" s="55">
        <v>0.52500000000000002</v>
      </c>
      <c r="G36" s="56">
        <v>0.52500000000000002</v>
      </c>
      <c r="H36" s="55">
        <v>0.52500000000000002</v>
      </c>
      <c r="I36" s="56">
        <v>0.52500000000000002</v>
      </c>
      <c r="J36" s="55">
        <v>0.52500000000000002</v>
      </c>
      <c r="K36" s="55">
        <v>0.52500000000000002</v>
      </c>
      <c r="L36" s="55">
        <v>0.52500000000000002</v>
      </c>
      <c r="M36" s="56">
        <v>0.52500000000000002</v>
      </c>
      <c r="N36" s="55">
        <v>0.52500000000000002</v>
      </c>
    </row>
    <row r="37" spans="1:26" ht="15.75" customHeight="1" x14ac:dyDescent="0.15">
      <c r="A37" s="185" t="s">
        <v>26</v>
      </c>
      <c r="B37" s="186" t="s">
        <v>27</v>
      </c>
      <c r="C37" s="55">
        <v>1.48</v>
      </c>
      <c r="D37" s="55">
        <v>1.48</v>
      </c>
      <c r="E37" s="55">
        <v>1.48</v>
      </c>
      <c r="F37" s="55">
        <v>1.48</v>
      </c>
      <c r="G37" s="56">
        <v>1.48</v>
      </c>
      <c r="H37" s="55">
        <v>1.48</v>
      </c>
      <c r="I37" s="56">
        <v>1.48</v>
      </c>
      <c r="J37" s="55">
        <v>1.48</v>
      </c>
      <c r="K37" s="55">
        <v>1.48</v>
      </c>
      <c r="L37" s="55">
        <v>1.48</v>
      </c>
      <c r="M37" s="56">
        <v>1.48</v>
      </c>
      <c r="N37" s="55">
        <v>1.48</v>
      </c>
    </row>
    <row r="38" spans="1:26" ht="15.75" customHeight="1" x14ac:dyDescent="0.15">
      <c r="A38" s="185" t="s">
        <v>28</v>
      </c>
      <c r="B38" s="186" t="s">
        <v>29</v>
      </c>
      <c r="C38" s="57">
        <v>50</v>
      </c>
      <c r="D38" s="57">
        <v>50</v>
      </c>
      <c r="E38" s="57">
        <v>50</v>
      </c>
      <c r="F38" s="57">
        <v>50</v>
      </c>
      <c r="G38" s="58">
        <v>50</v>
      </c>
      <c r="H38" s="57">
        <v>50</v>
      </c>
      <c r="I38" s="58">
        <v>50</v>
      </c>
      <c r="J38" s="57">
        <v>50</v>
      </c>
      <c r="K38" s="57">
        <v>50</v>
      </c>
      <c r="L38" s="57">
        <v>50</v>
      </c>
      <c r="M38" s="58">
        <v>50</v>
      </c>
      <c r="N38" s="57">
        <v>50</v>
      </c>
    </row>
    <row r="39" spans="1:26" ht="15.75" customHeight="1" x14ac:dyDescent="0.15">
      <c r="A39" s="185" t="s">
        <v>30</v>
      </c>
      <c r="B39" s="186" t="s">
        <v>31</v>
      </c>
      <c r="C39" s="59">
        <v>5.8999999999999997E-2</v>
      </c>
      <c r="D39" s="59">
        <v>5.8999999999999997E-2</v>
      </c>
      <c r="E39" s="59">
        <v>5.8999999999999997E-2</v>
      </c>
      <c r="F39" s="59">
        <v>5.8999999999999997E-2</v>
      </c>
      <c r="G39" s="60">
        <v>5.8999999999999997E-2</v>
      </c>
      <c r="H39" s="59">
        <v>5.8999999999999997E-2</v>
      </c>
      <c r="I39" s="60">
        <v>5.8999999999999997E-2</v>
      </c>
      <c r="J39" s="59">
        <v>5.8999999999999997E-2</v>
      </c>
      <c r="K39" s="59">
        <v>5.8999999999999997E-2</v>
      </c>
      <c r="L39" s="59">
        <v>5.8999999999999997E-2</v>
      </c>
      <c r="M39" s="60">
        <v>5.8999999999999997E-2</v>
      </c>
      <c r="N39" s="59">
        <v>5.8999999999999997E-2</v>
      </c>
    </row>
    <row r="40" spans="1:26" ht="15.75" customHeight="1" x14ac:dyDescent="0.15">
      <c r="A40" s="185" t="s">
        <v>32</v>
      </c>
      <c r="B40" s="186" t="s">
        <v>33</v>
      </c>
      <c r="C40" s="61">
        <v>33</v>
      </c>
      <c r="D40" s="62">
        <f>D12</f>
        <v>15</v>
      </c>
      <c r="E40" s="62">
        <f>E12*0.5</f>
        <v>25</v>
      </c>
      <c r="F40" s="62">
        <f>F12*0.9</f>
        <v>45</v>
      </c>
      <c r="G40" s="63">
        <f>F12*0.5</f>
        <v>25</v>
      </c>
      <c r="H40" s="61">
        <v>33</v>
      </c>
      <c r="I40" s="63">
        <f>J12</f>
        <v>94</v>
      </c>
      <c r="J40" s="61">
        <v>33</v>
      </c>
      <c r="K40" s="62">
        <f>N12</f>
        <v>8</v>
      </c>
      <c r="L40" s="62">
        <f>M12*1.4</f>
        <v>33.599999999999994</v>
      </c>
      <c r="M40" s="63">
        <f>M12*1.4</f>
        <v>33.599999999999994</v>
      </c>
      <c r="N40" s="61">
        <v>33</v>
      </c>
    </row>
    <row r="41" spans="1:26" ht="15.75" customHeight="1" x14ac:dyDescent="0.15">
      <c r="A41" s="185" t="s">
        <v>34</v>
      </c>
      <c r="B41" s="61">
        <f>202000/1017</f>
        <v>198.62340216322517</v>
      </c>
      <c r="C41" s="138"/>
      <c r="D41" s="189"/>
      <c r="E41" s="189"/>
      <c r="F41" s="189"/>
      <c r="G41" s="190"/>
      <c r="H41" s="138"/>
      <c r="I41" s="190"/>
      <c r="J41" s="138"/>
      <c r="K41" s="189"/>
      <c r="L41" s="189"/>
      <c r="M41" s="136"/>
      <c r="N41" s="138"/>
    </row>
    <row r="42" spans="1:26" ht="15.75" customHeight="1" x14ac:dyDescent="0.15">
      <c r="A42" s="156" t="s">
        <v>35</v>
      </c>
      <c r="B42" s="143"/>
      <c r="C42" s="138"/>
      <c r="D42" s="189"/>
      <c r="E42" s="189"/>
      <c r="F42" s="189"/>
      <c r="G42" s="190"/>
      <c r="H42" s="138"/>
      <c r="I42" s="190"/>
      <c r="J42" s="138"/>
      <c r="K42" s="189"/>
      <c r="L42" s="189"/>
      <c r="M42" s="136"/>
      <c r="N42" s="138"/>
    </row>
    <row r="43" spans="1:26" ht="15.75" customHeight="1" x14ac:dyDescent="0.15">
      <c r="A43" s="185" t="s">
        <v>36</v>
      </c>
      <c r="B43" s="186" t="s">
        <v>37</v>
      </c>
      <c r="C43" s="64">
        <v>738</v>
      </c>
      <c r="D43" s="145"/>
      <c r="E43" s="145"/>
      <c r="F43" s="145"/>
      <c r="G43" s="157"/>
      <c r="H43" s="64">
        <v>738</v>
      </c>
      <c r="I43" s="157"/>
      <c r="J43" s="64">
        <v>738</v>
      </c>
      <c r="K43" s="145"/>
      <c r="L43" s="145"/>
      <c r="M43" s="157"/>
      <c r="N43" s="64">
        <v>738</v>
      </c>
    </row>
    <row r="44" spans="1:26" ht="15.75" customHeight="1" x14ac:dyDescent="0.15">
      <c r="A44" s="187" t="s">
        <v>38</v>
      </c>
      <c r="B44" s="188" t="s">
        <v>39</v>
      </c>
      <c r="C44" s="65">
        <v>0.12</v>
      </c>
      <c r="D44" s="145"/>
      <c r="E44" s="145"/>
      <c r="F44" s="145"/>
      <c r="G44" s="157"/>
      <c r="H44" s="65">
        <v>0.12</v>
      </c>
      <c r="I44" s="157"/>
      <c r="J44" s="65">
        <v>0.12</v>
      </c>
      <c r="K44" s="145"/>
      <c r="L44" s="145"/>
      <c r="M44" s="157"/>
      <c r="N44" s="65">
        <v>0.12</v>
      </c>
      <c r="O44" s="183"/>
      <c r="P44" s="183"/>
      <c r="Q44" s="183"/>
      <c r="R44" s="183"/>
      <c r="S44" s="183"/>
      <c r="T44" s="183"/>
      <c r="U44" s="183"/>
      <c r="V44" s="183"/>
      <c r="W44" s="183"/>
      <c r="X44" s="183"/>
      <c r="Y44" s="183"/>
      <c r="Z44" s="183"/>
    </row>
    <row r="45" spans="1:26" ht="15.75" customHeight="1" x14ac:dyDescent="0.15">
      <c r="A45" s="156" t="s">
        <v>40</v>
      </c>
      <c r="G45" s="136"/>
      <c r="I45" s="136"/>
      <c r="M45" s="136"/>
    </row>
    <row r="46" spans="1:26" ht="15.75" customHeight="1" x14ac:dyDescent="0.15">
      <c r="A46" s="185" t="s">
        <v>41</v>
      </c>
      <c r="B46" s="186" t="s">
        <v>37</v>
      </c>
      <c r="C46" s="145"/>
      <c r="D46" s="64">
        <v>1660</v>
      </c>
      <c r="E46" s="64">
        <v>2500</v>
      </c>
      <c r="F46" s="64">
        <v>2662</v>
      </c>
      <c r="G46" s="67">
        <v>1597</v>
      </c>
      <c r="H46" s="145"/>
      <c r="I46" s="67">
        <v>885</v>
      </c>
      <c r="J46" s="145"/>
      <c r="K46" s="64">
        <v>1200</v>
      </c>
      <c r="L46" s="64">
        <v>2263</v>
      </c>
      <c r="M46" s="67">
        <v>879</v>
      </c>
      <c r="N46" s="145"/>
    </row>
    <row r="47" spans="1:26" ht="13" x14ac:dyDescent="0.15">
      <c r="A47" s="185" t="s">
        <v>42</v>
      </c>
      <c r="B47" s="186" t="s">
        <v>43</v>
      </c>
      <c r="C47" s="145"/>
      <c r="D47" s="57">
        <v>167</v>
      </c>
      <c r="E47" s="57">
        <v>2000</v>
      </c>
      <c r="F47" s="68">
        <v>500</v>
      </c>
      <c r="G47" s="69">
        <v>500</v>
      </c>
      <c r="H47" s="145"/>
      <c r="I47" s="58">
        <v>160</v>
      </c>
      <c r="J47" s="145"/>
      <c r="K47" s="57">
        <v>125</v>
      </c>
      <c r="L47" s="57">
        <v>500</v>
      </c>
      <c r="M47" s="58">
        <v>250</v>
      </c>
      <c r="N47" s="145"/>
    </row>
    <row r="48" spans="1:26" ht="13" x14ac:dyDescent="0.15">
      <c r="A48" s="187" t="s">
        <v>44</v>
      </c>
      <c r="B48" s="188" t="s">
        <v>39</v>
      </c>
      <c r="C48" s="184"/>
      <c r="D48" s="65">
        <v>1</v>
      </c>
      <c r="E48" s="65">
        <v>7.5</v>
      </c>
      <c r="F48" s="70">
        <v>5</v>
      </c>
      <c r="G48" s="71">
        <v>2</v>
      </c>
      <c r="H48" s="184"/>
      <c r="I48" s="72">
        <v>2.2000000000000002</v>
      </c>
      <c r="J48" s="145"/>
      <c r="K48" s="65">
        <v>0.2</v>
      </c>
      <c r="L48" s="65">
        <v>6</v>
      </c>
      <c r="M48" s="72">
        <v>2.4</v>
      </c>
      <c r="N48" s="145"/>
      <c r="O48" s="183"/>
      <c r="P48" s="183"/>
      <c r="Q48" s="183"/>
      <c r="R48" s="183"/>
      <c r="S48" s="183"/>
      <c r="T48" s="183"/>
      <c r="U48" s="183"/>
      <c r="V48" s="183"/>
      <c r="W48" s="183"/>
      <c r="X48" s="183"/>
      <c r="Y48" s="183"/>
      <c r="Z48" s="183"/>
    </row>
    <row r="49" spans="1:21" ht="13" x14ac:dyDescent="0.15">
      <c r="A49" s="135" t="s">
        <v>45</v>
      </c>
      <c r="G49" s="136"/>
      <c r="I49" s="136"/>
      <c r="M49" s="136"/>
    </row>
    <row r="50" spans="1:21" ht="13" x14ac:dyDescent="0.15">
      <c r="A50" s="137" t="s">
        <v>46</v>
      </c>
      <c r="B50" s="138" t="s">
        <v>47</v>
      </c>
      <c r="C50" s="139">
        <f>C33*$B$115*C34/8760</f>
        <v>8.332876712328767E-2</v>
      </c>
      <c r="D50" s="139">
        <f>D33*$C$115*D34/8760</f>
        <v>1.7856164383561645E-2</v>
      </c>
      <c r="E50" s="139">
        <f t="shared" ref="E50:G50" si="12">E33*$C$115*E34/8760</f>
        <v>1.4880136986301369E-2</v>
      </c>
      <c r="F50" s="139">
        <f t="shared" si="12"/>
        <v>4.4640410958904107E-2</v>
      </c>
      <c r="G50" s="140">
        <f t="shared" si="12"/>
        <v>4.4640410958904107E-2</v>
      </c>
      <c r="H50" s="139">
        <f>H33*$B$115*H34/8760</f>
        <v>0.24998630136986302</v>
      </c>
      <c r="I50" s="140">
        <f>I33*$C$115*I34/8760</f>
        <v>8.9280821917808215E-2</v>
      </c>
      <c r="J50" s="139">
        <f>J33*$B$115*J34/8760</f>
        <v>6.2496575342465756E-2</v>
      </c>
      <c r="K50" s="139">
        <f t="shared" ref="K50:M50" si="13">K33*$C$115*K34/8760</f>
        <v>1.7856164383561645E-2</v>
      </c>
      <c r="L50" s="139">
        <f t="shared" si="13"/>
        <v>1.4880136986301369E-2</v>
      </c>
      <c r="M50" s="140">
        <f t="shared" si="13"/>
        <v>1.4880136986301369E-2</v>
      </c>
      <c r="N50" s="139">
        <f>N33*$B$115*N34/8760</f>
        <v>6.2496575342465756E-2</v>
      </c>
    </row>
    <row r="51" spans="1:21" ht="13" x14ac:dyDescent="0.15">
      <c r="A51" s="137" t="s">
        <v>48</v>
      </c>
      <c r="B51" s="138" t="s">
        <v>49</v>
      </c>
      <c r="C51" s="141">
        <f>'Main inputs'!C50*8760</f>
        <v>729.96</v>
      </c>
      <c r="D51" s="141">
        <f>'Main inputs'!D50*8760</f>
        <v>156.42000000000002</v>
      </c>
      <c r="E51" s="141">
        <f>'Main inputs'!E50*8760</f>
        <v>130.35</v>
      </c>
      <c r="F51" s="141">
        <f>'Main inputs'!F50*8760</f>
        <v>391.04999999999995</v>
      </c>
      <c r="G51" s="142">
        <f>'Main inputs'!G50*8760</f>
        <v>391.04999999999995</v>
      </c>
      <c r="H51" s="141">
        <f>'Main inputs'!H50*8760</f>
        <v>2189.88</v>
      </c>
      <c r="I51" s="142">
        <f>'Main inputs'!I50*8760</f>
        <v>782.09999999999991</v>
      </c>
      <c r="J51" s="141">
        <f>'Main inputs'!J50*8760</f>
        <v>547.47</v>
      </c>
      <c r="K51" s="141">
        <f>'Main inputs'!K50*8760</f>
        <v>156.42000000000002</v>
      </c>
      <c r="L51" s="141">
        <f>'Main inputs'!L50*8760</f>
        <v>130.35</v>
      </c>
      <c r="M51" s="142">
        <f>'Main inputs'!M50*8760</f>
        <v>130.35</v>
      </c>
      <c r="N51" s="141">
        <f>'Main inputs'!N50*8760</f>
        <v>547.47</v>
      </c>
    </row>
    <row r="52" spans="1:21" ht="13" x14ac:dyDescent="0.15">
      <c r="A52" s="137" t="s">
        <v>50</v>
      </c>
      <c r="B52" s="138" t="s">
        <v>33</v>
      </c>
      <c r="C52" s="143">
        <f>$B$41*C34*$B$116</f>
        <v>397.24680432645033</v>
      </c>
      <c r="D52" s="143">
        <f t="shared" ref="D52:G52" si="14">$B$41*D34*$C$116</f>
        <v>397.24680432645033</v>
      </c>
      <c r="E52" s="143">
        <f t="shared" si="14"/>
        <v>397.24680432645033</v>
      </c>
      <c r="F52" s="143">
        <f t="shared" si="14"/>
        <v>1191.740412979351</v>
      </c>
      <c r="G52" s="144">
        <f t="shared" si="14"/>
        <v>1191.740412979351</v>
      </c>
      <c r="H52" s="143">
        <f>$B$41*H34*$B$116</f>
        <v>1191.740412979351</v>
      </c>
      <c r="I52" s="144">
        <f>$B$41*I34*$C$116</f>
        <v>2383.4808259587021</v>
      </c>
      <c r="J52" s="143">
        <f>$B$41*J34*$B$116</f>
        <v>297.93510324483776</v>
      </c>
      <c r="K52" s="143">
        <f t="shared" ref="K52:M52" si="15">$B$41*K34*$C$116</f>
        <v>397.24680432645033</v>
      </c>
      <c r="L52" s="143">
        <f t="shared" si="15"/>
        <v>397.24680432645033</v>
      </c>
      <c r="M52" s="144">
        <f t="shared" si="15"/>
        <v>397.24680432645033</v>
      </c>
      <c r="N52" s="143">
        <f>$B$41*N34*$B$116</f>
        <v>297.93510324483776</v>
      </c>
    </row>
    <row r="53" spans="1:21" ht="13" x14ac:dyDescent="0.15">
      <c r="A53" s="137" t="s">
        <v>51</v>
      </c>
      <c r="B53" s="138" t="s">
        <v>52</v>
      </c>
      <c r="C53" s="145"/>
      <c r="D53" s="141">
        <f t="shared" ref="D53:G53" si="16">D47*0.5</f>
        <v>83.5</v>
      </c>
      <c r="E53" s="141">
        <f t="shared" si="16"/>
        <v>1000</v>
      </c>
      <c r="F53" s="141">
        <f t="shared" si="16"/>
        <v>250</v>
      </c>
      <c r="G53" s="142">
        <f t="shared" si="16"/>
        <v>250</v>
      </c>
      <c r="H53" s="145"/>
      <c r="I53" s="142">
        <f>I47*0.5</f>
        <v>80</v>
      </c>
      <c r="J53" s="145"/>
      <c r="K53" s="141">
        <f t="shared" ref="K53:M53" si="17">K47*0.5</f>
        <v>62.5</v>
      </c>
      <c r="L53" s="141">
        <f t="shared" si="17"/>
        <v>250</v>
      </c>
      <c r="M53" s="142">
        <f t="shared" si="17"/>
        <v>125</v>
      </c>
      <c r="N53" s="145"/>
    </row>
    <row r="54" spans="1:21" ht="13" x14ac:dyDescent="0.15">
      <c r="A54" s="137" t="s">
        <v>53</v>
      </c>
      <c r="B54" s="138" t="s">
        <v>54</v>
      </c>
      <c r="C54" s="141">
        <f>C44*'Main inputs'!C51</f>
        <v>87.595200000000006</v>
      </c>
      <c r="D54" s="141">
        <f>D48*'Main inputs'!D51</f>
        <v>156.42000000000002</v>
      </c>
      <c r="E54" s="141">
        <f>E48*'Main inputs'!E51</f>
        <v>977.625</v>
      </c>
      <c r="F54" s="141">
        <f>F48*'Main inputs'!F51</f>
        <v>1955.2499999999998</v>
      </c>
      <c r="G54" s="142">
        <f>G48*'Main inputs'!G51</f>
        <v>782.09999999999991</v>
      </c>
      <c r="H54" s="141">
        <f>H44*'Main inputs'!H51</f>
        <v>262.78559999999999</v>
      </c>
      <c r="I54" s="142">
        <f>I48*'Main inputs'!I51</f>
        <v>1720.62</v>
      </c>
      <c r="J54" s="141">
        <f>J44*'Main inputs'!J51</f>
        <v>65.696399999999997</v>
      </c>
      <c r="K54" s="141">
        <f>K48*'Main inputs'!K51</f>
        <v>31.284000000000006</v>
      </c>
      <c r="L54" s="141">
        <f>L48*'Main inputs'!L51</f>
        <v>782.09999999999991</v>
      </c>
      <c r="M54" s="142">
        <f>M48*'Main inputs'!M51</f>
        <v>312.83999999999997</v>
      </c>
      <c r="N54" s="141">
        <f>N44*'Main inputs'!N51</f>
        <v>65.696399999999997</v>
      </c>
    </row>
    <row r="55" spans="1:21" ht="13" x14ac:dyDescent="0.15">
      <c r="A55" s="146" t="s">
        <v>55</v>
      </c>
      <c r="B55" s="147" t="s">
        <v>39</v>
      </c>
      <c r="C55" s="148">
        <f>C54/'Main inputs'!C51</f>
        <v>0.12</v>
      </c>
      <c r="D55" s="148">
        <f>D54/'Main inputs'!D51</f>
        <v>1</v>
      </c>
      <c r="E55" s="148">
        <f>E54/'Main inputs'!E51</f>
        <v>7.5</v>
      </c>
      <c r="F55" s="148">
        <f>F54/'Main inputs'!F51</f>
        <v>5</v>
      </c>
      <c r="G55" s="149">
        <f>G54/'Main inputs'!G51</f>
        <v>2</v>
      </c>
      <c r="H55" s="148">
        <f>H54/'Main inputs'!H51</f>
        <v>0.11999999999999998</v>
      </c>
      <c r="I55" s="149">
        <f>I54/'Main inputs'!I51</f>
        <v>2.2000000000000002</v>
      </c>
      <c r="J55" s="148">
        <f>J54/'Main inputs'!J51</f>
        <v>0.11999999999999998</v>
      </c>
      <c r="K55" s="148">
        <f>K54/'Main inputs'!K51</f>
        <v>0.2</v>
      </c>
      <c r="L55" s="148">
        <f>L54/'Main inputs'!L51</f>
        <v>6</v>
      </c>
      <c r="M55" s="149">
        <f>M54/'Main inputs'!M51</f>
        <v>2.4</v>
      </c>
      <c r="N55" s="148">
        <f>N54/'Main inputs'!N51</f>
        <v>0.11999999999999998</v>
      </c>
    </row>
    <row r="57" spans="1:21" ht="13" x14ac:dyDescent="0.15">
      <c r="A57" s="216" t="s">
        <v>66</v>
      </c>
      <c r="B57" s="133"/>
      <c r="C57" s="217" t="s">
        <v>57</v>
      </c>
      <c r="D57" s="133"/>
      <c r="E57" s="133"/>
      <c r="F57" s="172"/>
      <c r="G57" s="217" t="s">
        <v>58</v>
      </c>
      <c r="H57" s="133"/>
      <c r="I57" s="133"/>
      <c r="J57" s="133"/>
      <c r="K57" s="172"/>
      <c r="L57" s="217" t="s">
        <v>59</v>
      </c>
      <c r="M57" s="133"/>
      <c r="N57" s="133"/>
      <c r="O57" s="133"/>
      <c r="P57" s="172"/>
      <c r="Q57" s="218" t="s">
        <v>60</v>
      </c>
      <c r="R57" s="133"/>
      <c r="S57" s="182"/>
      <c r="T57" s="182"/>
      <c r="U57" s="182"/>
    </row>
    <row r="58" spans="1:21" ht="13" x14ac:dyDescent="0.15">
      <c r="A58" s="115" t="s">
        <v>67</v>
      </c>
      <c r="B58" s="108"/>
      <c r="C58" s="116" t="s">
        <v>5</v>
      </c>
      <c r="D58" s="108"/>
      <c r="E58" s="108"/>
      <c r="F58" s="110"/>
      <c r="G58" s="116" t="s">
        <v>6</v>
      </c>
      <c r="H58" s="108"/>
      <c r="I58" s="108"/>
      <c r="J58" s="108"/>
      <c r="K58" s="110"/>
      <c r="L58" s="116" t="s">
        <v>68</v>
      </c>
      <c r="M58" s="108"/>
      <c r="N58" s="108"/>
      <c r="O58" s="108"/>
      <c r="P58" s="110"/>
      <c r="Q58" s="114" t="s">
        <v>8</v>
      </c>
      <c r="R58" s="108"/>
      <c r="S58" s="108"/>
      <c r="T58" s="108"/>
      <c r="U58" s="108"/>
    </row>
    <row r="59" spans="1:21" ht="13" x14ac:dyDescent="0.15">
      <c r="A59" s="164" t="s">
        <v>69</v>
      </c>
      <c r="B59" s="135"/>
      <c r="C59" s="32" t="s">
        <v>10</v>
      </c>
      <c r="D59" s="32" t="s">
        <v>12</v>
      </c>
      <c r="E59" s="32" t="s">
        <v>64</v>
      </c>
      <c r="F59" s="33" t="s">
        <v>13</v>
      </c>
      <c r="G59" s="32" t="s">
        <v>10</v>
      </c>
      <c r="H59" s="32" t="s">
        <v>14</v>
      </c>
      <c r="I59" s="32" t="s">
        <v>15</v>
      </c>
      <c r="J59" s="32" t="s">
        <v>13</v>
      </c>
      <c r="K59" s="33" t="s">
        <v>16</v>
      </c>
      <c r="L59" s="32" t="s">
        <v>10</v>
      </c>
      <c r="M59" s="32" t="s">
        <v>12</v>
      </c>
      <c r="N59" s="32" t="s">
        <v>70</v>
      </c>
      <c r="O59" s="32" t="s">
        <v>71</v>
      </c>
      <c r="P59" s="33" t="s">
        <v>72</v>
      </c>
      <c r="Q59" s="32" t="s">
        <v>10</v>
      </c>
    </row>
    <row r="60" spans="1:21" ht="13" x14ac:dyDescent="0.15">
      <c r="A60" s="163" t="s">
        <v>18</v>
      </c>
      <c r="B60" s="135" t="s">
        <v>9</v>
      </c>
      <c r="F60" s="136"/>
      <c r="K60" s="136"/>
      <c r="P60" s="136"/>
    </row>
    <row r="61" spans="1:21" ht="13" x14ac:dyDescent="0.15">
      <c r="A61" s="219" t="s">
        <v>19</v>
      </c>
      <c r="B61" s="177" t="s">
        <v>20</v>
      </c>
      <c r="C61" s="73">
        <v>6</v>
      </c>
      <c r="D61" s="73">
        <v>5</v>
      </c>
      <c r="E61" s="73">
        <v>5</v>
      </c>
      <c r="F61" s="74">
        <v>5</v>
      </c>
      <c r="G61" s="73">
        <v>6</v>
      </c>
      <c r="H61" s="73">
        <v>5</v>
      </c>
      <c r="I61" s="73">
        <v>5</v>
      </c>
      <c r="J61" s="73">
        <v>5</v>
      </c>
      <c r="K61" s="74">
        <v>5</v>
      </c>
      <c r="L61" s="73">
        <v>6</v>
      </c>
      <c r="M61" s="73">
        <v>5</v>
      </c>
      <c r="N61" s="73">
        <v>5</v>
      </c>
      <c r="O61" s="73">
        <v>5</v>
      </c>
      <c r="P61" s="74">
        <v>5</v>
      </c>
      <c r="Q61" s="73">
        <v>6</v>
      </c>
    </row>
    <row r="62" spans="1:21" ht="13" x14ac:dyDescent="0.15">
      <c r="A62" s="176" t="s">
        <v>21</v>
      </c>
      <c r="B62" s="177" t="s">
        <v>22</v>
      </c>
      <c r="C62" s="73">
        <v>7</v>
      </c>
      <c r="D62" s="73">
        <v>1</v>
      </c>
      <c r="E62" s="73">
        <v>3</v>
      </c>
      <c r="F62" s="74">
        <v>3</v>
      </c>
      <c r="G62" s="73">
        <v>12</v>
      </c>
      <c r="H62" s="73">
        <v>12</v>
      </c>
      <c r="I62" s="73">
        <v>12</v>
      </c>
      <c r="J62" s="73">
        <v>12</v>
      </c>
      <c r="K62" s="74">
        <v>12</v>
      </c>
      <c r="L62" s="73">
        <v>6</v>
      </c>
      <c r="M62" s="73">
        <v>1</v>
      </c>
      <c r="N62" s="73">
        <v>8</v>
      </c>
      <c r="O62" s="73">
        <v>8</v>
      </c>
      <c r="P62" s="74">
        <v>8</v>
      </c>
      <c r="Q62" s="73">
        <v>6</v>
      </c>
    </row>
    <row r="63" spans="1:21" ht="13" x14ac:dyDescent="0.15">
      <c r="A63" s="176" t="s">
        <v>23</v>
      </c>
      <c r="B63" s="177" t="s">
        <v>24</v>
      </c>
      <c r="C63" s="73">
        <v>6.4000000000000001E-2</v>
      </c>
      <c r="D63" s="73">
        <v>6.4000000000000001E-2</v>
      </c>
      <c r="E63" s="73">
        <v>6.4000000000000001E-2</v>
      </c>
      <c r="F63" s="74">
        <v>6.4000000000000001E-2</v>
      </c>
      <c r="G63" s="73">
        <v>6.4000000000000001E-2</v>
      </c>
      <c r="H63" s="73">
        <v>6.4000000000000001E-2</v>
      </c>
      <c r="I63" s="73">
        <v>6.4000000000000001E-2</v>
      </c>
      <c r="J63" s="73">
        <v>6.4000000000000001E-2</v>
      </c>
      <c r="K63" s="74">
        <v>6.4000000000000001E-2</v>
      </c>
      <c r="L63" s="73">
        <v>6.4000000000000001E-2</v>
      </c>
      <c r="M63" s="73">
        <v>6.4000000000000001E-2</v>
      </c>
      <c r="N63" s="73">
        <v>6.4000000000000001E-2</v>
      </c>
      <c r="O63" s="73">
        <v>6.4000000000000001E-2</v>
      </c>
      <c r="P63" s="74">
        <v>6.4000000000000001E-2</v>
      </c>
      <c r="Q63" s="73">
        <v>6.4000000000000001E-2</v>
      </c>
    </row>
    <row r="64" spans="1:21" ht="13" x14ac:dyDescent="0.15">
      <c r="A64" s="176" t="s">
        <v>25</v>
      </c>
      <c r="B64" s="177" t="s">
        <v>24</v>
      </c>
      <c r="C64" s="73">
        <f t="shared" ref="C64:Q64" si="18">5.1/17</f>
        <v>0.3</v>
      </c>
      <c r="D64" s="73">
        <f t="shared" si="18"/>
        <v>0.3</v>
      </c>
      <c r="E64" s="73">
        <f t="shared" si="18"/>
        <v>0.3</v>
      </c>
      <c r="F64" s="74">
        <f t="shared" si="18"/>
        <v>0.3</v>
      </c>
      <c r="G64" s="73">
        <f t="shared" si="18"/>
        <v>0.3</v>
      </c>
      <c r="H64" s="73">
        <f t="shared" si="18"/>
        <v>0.3</v>
      </c>
      <c r="I64" s="73">
        <f t="shared" si="18"/>
        <v>0.3</v>
      </c>
      <c r="J64" s="73">
        <f t="shared" si="18"/>
        <v>0.3</v>
      </c>
      <c r="K64" s="74">
        <f t="shared" si="18"/>
        <v>0.3</v>
      </c>
      <c r="L64" s="73">
        <f t="shared" si="18"/>
        <v>0.3</v>
      </c>
      <c r="M64" s="73">
        <f t="shared" si="18"/>
        <v>0.3</v>
      </c>
      <c r="N64" s="73">
        <f t="shared" si="18"/>
        <v>0.3</v>
      </c>
      <c r="O64" s="73">
        <f t="shared" si="18"/>
        <v>0.3</v>
      </c>
      <c r="P64" s="74">
        <f t="shared" si="18"/>
        <v>0.3</v>
      </c>
      <c r="Q64" s="73">
        <f t="shared" si="18"/>
        <v>0.3</v>
      </c>
    </row>
    <row r="65" spans="1:26" ht="13" x14ac:dyDescent="0.15">
      <c r="A65" s="176" t="s">
        <v>26</v>
      </c>
      <c r="B65" s="177" t="s">
        <v>27</v>
      </c>
      <c r="C65" s="73">
        <v>1.35</v>
      </c>
      <c r="D65" s="73">
        <v>1.35</v>
      </c>
      <c r="E65" s="73">
        <v>1.35</v>
      </c>
      <c r="F65" s="74">
        <v>1.35</v>
      </c>
      <c r="G65" s="73">
        <v>1.35</v>
      </c>
      <c r="H65" s="73">
        <v>1.35</v>
      </c>
      <c r="I65" s="73">
        <v>1.35</v>
      </c>
      <c r="J65" s="73">
        <v>1.35</v>
      </c>
      <c r="K65" s="74">
        <v>1.35</v>
      </c>
      <c r="L65" s="73">
        <v>1.35</v>
      </c>
      <c r="M65" s="73">
        <v>1.35</v>
      </c>
      <c r="N65" s="73">
        <v>1.35</v>
      </c>
      <c r="O65" s="73">
        <v>1.35</v>
      </c>
      <c r="P65" s="74">
        <v>1.35</v>
      </c>
      <c r="Q65" s="73">
        <v>1.35</v>
      </c>
    </row>
    <row r="66" spans="1:26" ht="13" x14ac:dyDescent="0.15">
      <c r="A66" s="176" t="s">
        <v>28</v>
      </c>
      <c r="B66" s="177" t="s">
        <v>29</v>
      </c>
      <c r="C66" s="75">
        <v>50</v>
      </c>
      <c r="D66" s="75">
        <v>50</v>
      </c>
      <c r="E66" s="75">
        <v>50</v>
      </c>
      <c r="F66" s="76">
        <v>50</v>
      </c>
      <c r="G66" s="75">
        <v>50</v>
      </c>
      <c r="H66" s="75">
        <v>50</v>
      </c>
      <c r="I66" s="75">
        <v>50</v>
      </c>
      <c r="J66" s="75">
        <v>50</v>
      </c>
      <c r="K66" s="76">
        <v>50</v>
      </c>
      <c r="L66" s="75">
        <v>50</v>
      </c>
      <c r="M66" s="75">
        <v>50</v>
      </c>
      <c r="N66" s="75">
        <v>50</v>
      </c>
      <c r="O66" s="75">
        <v>50</v>
      </c>
      <c r="P66" s="76">
        <v>50</v>
      </c>
      <c r="Q66" s="75">
        <v>50</v>
      </c>
    </row>
    <row r="67" spans="1:26" ht="13" x14ac:dyDescent="0.15">
      <c r="A67" s="176" t="s">
        <v>30</v>
      </c>
      <c r="B67" s="177" t="s">
        <v>31</v>
      </c>
      <c r="C67" s="77">
        <v>5.8999999999999997E-2</v>
      </c>
      <c r="D67" s="77">
        <v>5.8999999999999997E-2</v>
      </c>
      <c r="E67" s="77">
        <v>5.8999999999999997E-2</v>
      </c>
      <c r="F67" s="78">
        <v>5.8999999999999997E-2</v>
      </c>
      <c r="G67" s="77">
        <v>5.8999999999999997E-2</v>
      </c>
      <c r="H67" s="77">
        <v>5.8999999999999997E-2</v>
      </c>
      <c r="I67" s="77">
        <v>5.8999999999999997E-2</v>
      </c>
      <c r="J67" s="77">
        <v>5.8999999999999997E-2</v>
      </c>
      <c r="K67" s="78">
        <v>5.8999999999999997E-2</v>
      </c>
      <c r="L67" s="77">
        <v>5.8999999999999997E-2</v>
      </c>
      <c r="M67" s="77">
        <v>5.8999999999999997E-2</v>
      </c>
      <c r="N67" s="77">
        <v>5.8999999999999997E-2</v>
      </c>
      <c r="O67" s="77">
        <v>5.8999999999999997E-2</v>
      </c>
      <c r="P67" s="78">
        <v>5.8999999999999997E-2</v>
      </c>
      <c r="Q67" s="77">
        <v>5.8999999999999997E-2</v>
      </c>
    </row>
    <row r="68" spans="1:26" ht="13" x14ac:dyDescent="0.15">
      <c r="A68" s="176" t="s">
        <v>32</v>
      </c>
      <c r="B68" s="177" t="s">
        <v>33</v>
      </c>
      <c r="C68" s="73">
        <v>33</v>
      </c>
      <c r="D68" s="79">
        <f>E40</f>
        <v>25</v>
      </c>
      <c r="E68" s="80">
        <f>F12*0.7</f>
        <v>35</v>
      </c>
      <c r="F68" s="81">
        <f>F12*0.9</f>
        <v>45</v>
      </c>
      <c r="G68" s="73">
        <v>33</v>
      </c>
      <c r="H68" s="80">
        <f>H12*0.8</f>
        <v>75.2</v>
      </c>
      <c r="I68" s="80">
        <f>I12</f>
        <v>94</v>
      </c>
      <c r="J68" s="80">
        <f>J12*1.1</f>
        <v>103.4</v>
      </c>
      <c r="K68" s="81">
        <f>K12*0.6</f>
        <v>56.4</v>
      </c>
      <c r="L68" s="73">
        <v>33</v>
      </c>
      <c r="M68" s="80">
        <v>89</v>
      </c>
      <c r="N68" s="80">
        <v>103</v>
      </c>
      <c r="O68" s="80">
        <f>P68</f>
        <v>43</v>
      </c>
      <c r="P68" s="81">
        <v>43</v>
      </c>
      <c r="Q68" s="73">
        <v>33</v>
      </c>
    </row>
    <row r="69" spans="1:26" ht="13" x14ac:dyDescent="0.15">
      <c r="A69" s="176" t="s">
        <v>34</v>
      </c>
      <c r="B69" s="82">
        <f>1920/17</f>
        <v>112.94117647058823</v>
      </c>
      <c r="F69" s="136"/>
      <c r="K69" s="136"/>
      <c r="P69" s="136"/>
    </row>
    <row r="70" spans="1:26" ht="13" x14ac:dyDescent="0.15">
      <c r="A70" s="156" t="s">
        <v>35</v>
      </c>
      <c r="B70" s="138"/>
      <c r="C70" s="165"/>
      <c r="D70" s="165"/>
      <c r="E70" s="165"/>
      <c r="F70" s="166"/>
      <c r="G70" s="165"/>
      <c r="H70" s="165"/>
      <c r="I70" s="165"/>
      <c r="J70" s="165"/>
      <c r="K70" s="166"/>
      <c r="L70" s="165"/>
      <c r="M70" s="165"/>
      <c r="N70" s="165"/>
      <c r="O70" s="165"/>
      <c r="P70" s="166"/>
      <c r="Q70" s="165"/>
    </row>
    <row r="71" spans="1:26" ht="13" x14ac:dyDescent="0.15">
      <c r="A71" s="176" t="s">
        <v>73</v>
      </c>
      <c r="B71" s="177" t="s">
        <v>37</v>
      </c>
      <c r="C71" s="83">
        <v>738</v>
      </c>
      <c r="D71" s="145"/>
      <c r="E71" s="145"/>
      <c r="F71" s="157"/>
      <c r="G71" s="83">
        <v>738</v>
      </c>
      <c r="H71" s="145"/>
      <c r="I71" s="145"/>
      <c r="J71" s="145"/>
      <c r="K71" s="157"/>
      <c r="L71" s="83">
        <v>738</v>
      </c>
      <c r="M71" s="145"/>
      <c r="N71" s="145"/>
      <c r="O71" s="145"/>
      <c r="P71" s="157"/>
      <c r="Q71" s="83">
        <v>738</v>
      </c>
    </row>
    <row r="72" spans="1:26" ht="13" x14ac:dyDescent="0.15">
      <c r="A72" s="180" t="s">
        <v>74</v>
      </c>
      <c r="B72" s="181" t="s">
        <v>39</v>
      </c>
      <c r="C72" s="84">
        <v>0.12</v>
      </c>
      <c r="D72" s="145"/>
      <c r="E72" s="145"/>
      <c r="F72" s="157"/>
      <c r="G72" s="84">
        <v>0.12</v>
      </c>
      <c r="H72" s="145"/>
      <c r="I72" s="145"/>
      <c r="J72" s="145"/>
      <c r="K72" s="157"/>
      <c r="L72" s="84">
        <v>0.12</v>
      </c>
      <c r="M72" s="145"/>
      <c r="N72" s="145"/>
      <c r="O72" s="145"/>
      <c r="P72" s="157"/>
      <c r="Q72" s="84">
        <v>0.12</v>
      </c>
      <c r="R72" s="160"/>
      <c r="S72" s="160"/>
      <c r="T72" s="160"/>
      <c r="U72" s="160"/>
      <c r="V72" s="160"/>
      <c r="W72" s="160"/>
      <c r="X72" s="160"/>
      <c r="Y72" s="160"/>
      <c r="Z72" s="160"/>
    </row>
    <row r="73" spans="1:26" ht="13" x14ac:dyDescent="0.15">
      <c r="A73" s="156" t="s">
        <v>40</v>
      </c>
      <c r="B73" s="143"/>
      <c r="C73" s="165"/>
      <c r="D73" s="165"/>
      <c r="E73" s="165"/>
      <c r="F73" s="166"/>
      <c r="G73" s="165"/>
      <c r="H73" s="165"/>
      <c r="I73" s="165"/>
      <c r="J73" s="165"/>
      <c r="K73" s="166"/>
      <c r="L73" s="165"/>
      <c r="M73" s="165"/>
      <c r="N73" s="165"/>
      <c r="O73" s="165"/>
      <c r="P73" s="166"/>
      <c r="Q73" s="165"/>
    </row>
    <row r="74" spans="1:26" ht="13" x14ac:dyDescent="0.15">
      <c r="A74" s="176" t="s">
        <v>41</v>
      </c>
      <c r="B74" s="177" t="s">
        <v>37</v>
      </c>
      <c r="C74" s="145"/>
      <c r="D74" s="83">
        <v>1118</v>
      </c>
      <c r="E74" s="83">
        <v>894</v>
      </c>
      <c r="F74" s="86">
        <v>1888</v>
      </c>
      <c r="G74" s="145"/>
      <c r="H74" s="83">
        <v>2329</v>
      </c>
      <c r="I74" s="83">
        <v>4550</v>
      </c>
      <c r="J74" s="83">
        <v>1888</v>
      </c>
      <c r="K74" s="86">
        <v>2329</v>
      </c>
      <c r="L74" s="145"/>
      <c r="M74" s="83">
        <v>1778</v>
      </c>
      <c r="N74" s="83">
        <v>2059</v>
      </c>
      <c r="O74" s="83">
        <v>900</v>
      </c>
      <c r="P74" s="86">
        <v>2000</v>
      </c>
      <c r="Q74" s="145"/>
    </row>
    <row r="75" spans="1:26" ht="13" x14ac:dyDescent="0.15">
      <c r="A75" s="178" t="s">
        <v>42</v>
      </c>
      <c r="B75" s="179" t="s">
        <v>43</v>
      </c>
      <c r="C75" s="145"/>
      <c r="D75" s="87">
        <v>1000</v>
      </c>
      <c r="E75" s="87">
        <v>600</v>
      </c>
      <c r="F75" s="88">
        <v>1000</v>
      </c>
      <c r="G75" s="145"/>
      <c r="H75" s="87">
        <v>350</v>
      </c>
      <c r="I75" s="87">
        <v>1000</v>
      </c>
      <c r="J75" s="87">
        <v>800</v>
      </c>
      <c r="K75" s="88">
        <v>400</v>
      </c>
      <c r="L75" s="145"/>
      <c r="M75" s="87">
        <v>800</v>
      </c>
      <c r="N75" s="87">
        <v>20</v>
      </c>
      <c r="O75" s="87">
        <v>200</v>
      </c>
      <c r="P75" s="88">
        <v>60</v>
      </c>
      <c r="Q75" s="145"/>
      <c r="R75" s="175"/>
      <c r="S75" s="175"/>
      <c r="T75" s="175"/>
      <c r="U75" s="175"/>
      <c r="V75" s="175"/>
      <c r="W75" s="175"/>
      <c r="X75" s="175"/>
      <c r="Y75" s="175"/>
      <c r="Z75" s="175"/>
    </row>
    <row r="76" spans="1:26" ht="13" x14ac:dyDescent="0.15">
      <c r="A76" s="180" t="s">
        <v>44</v>
      </c>
      <c r="B76" s="181" t="s">
        <v>39</v>
      </c>
      <c r="C76" s="145"/>
      <c r="D76" s="84">
        <v>2.2000000000000002</v>
      </c>
      <c r="E76" s="84">
        <v>5</v>
      </c>
      <c r="F76" s="89">
        <v>7.5</v>
      </c>
      <c r="G76" s="145"/>
      <c r="H76" s="84">
        <v>2</v>
      </c>
      <c r="I76" s="84">
        <v>7.5</v>
      </c>
      <c r="J76" s="84">
        <v>7.5</v>
      </c>
      <c r="K76" s="89">
        <v>1.5</v>
      </c>
      <c r="L76" s="145"/>
      <c r="M76" s="84">
        <v>3</v>
      </c>
      <c r="N76" s="84">
        <v>5.5</v>
      </c>
      <c r="O76" s="84">
        <v>2</v>
      </c>
      <c r="P76" s="89">
        <v>3</v>
      </c>
      <c r="Q76" s="145"/>
      <c r="R76" s="160"/>
      <c r="S76" s="160"/>
      <c r="T76" s="160"/>
      <c r="U76" s="160"/>
      <c r="V76" s="160"/>
      <c r="W76" s="160"/>
      <c r="X76" s="160"/>
      <c r="Y76" s="160"/>
      <c r="Z76" s="160"/>
    </row>
    <row r="77" spans="1:26" ht="13" x14ac:dyDescent="0.15">
      <c r="A77" s="135" t="s">
        <v>45</v>
      </c>
      <c r="B77" s="143"/>
      <c r="C77" s="165"/>
      <c r="D77" s="165"/>
      <c r="E77" s="165"/>
      <c r="F77" s="166"/>
      <c r="G77" s="165"/>
      <c r="H77" s="165"/>
      <c r="I77" s="165"/>
      <c r="J77" s="165"/>
      <c r="K77" s="166"/>
      <c r="L77" s="165"/>
      <c r="M77" s="165"/>
      <c r="N77" s="165"/>
      <c r="O77" s="165"/>
      <c r="P77" s="166"/>
      <c r="Q77" s="165"/>
    </row>
    <row r="78" spans="1:26" ht="13" x14ac:dyDescent="0.15">
      <c r="A78" s="137" t="s">
        <v>46</v>
      </c>
      <c r="B78" s="138" t="s">
        <v>47</v>
      </c>
      <c r="C78" s="139">
        <f>C61*$B$115*C62/8760</f>
        <v>0.14582534246575343</v>
      </c>
      <c r="D78" s="139">
        <f t="shared" ref="D78:F78" si="19">D61*$C$115*D62/8760</f>
        <v>7.4400684931506846E-3</v>
      </c>
      <c r="E78" s="139">
        <f t="shared" si="19"/>
        <v>2.2320205479452054E-2</v>
      </c>
      <c r="F78" s="140">
        <f t="shared" si="19"/>
        <v>2.2320205479452054E-2</v>
      </c>
      <c r="G78" s="139">
        <f>G61*$B$115*G62/8760</f>
        <v>0.24998630136986302</v>
      </c>
      <c r="H78" s="139">
        <f t="shared" ref="H78:K78" si="20">H61*$C$115*H62/8760</f>
        <v>8.9280821917808215E-2</v>
      </c>
      <c r="I78" s="139">
        <f t="shared" si="20"/>
        <v>8.9280821917808215E-2</v>
      </c>
      <c r="J78" s="139">
        <f t="shared" si="20"/>
        <v>8.9280821917808215E-2</v>
      </c>
      <c r="K78" s="140">
        <f t="shared" si="20"/>
        <v>8.9280821917808215E-2</v>
      </c>
      <c r="L78" s="139">
        <f>L61*$B$115*L62/8760</f>
        <v>0.12499315068493151</v>
      </c>
      <c r="M78" s="139">
        <f t="shared" ref="M78:P78" si="21">M61*$C$115*M62/8760</f>
        <v>7.4400684931506846E-3</v>
      </c>
      <c r="N78" s="139">
        <f t="shared" si="21"/>
        <v>5.9520547945205476E-2</v>
      </c>
      <c r="O78" s="139">
        <f t="shared" si="21"/>
        <v>5.9520547945205476E-2</v>
      </c>
      <c r="P78" s="140">
        <f t="shared" si="21"/>
        <v>5.9520547945205476E-2</v>
      </c>
      <c r="Q78" s="139">
        <f>Q61*$B$115*Q62/8760</f>
        <v>0.12499315068493151</v>
      </c>
    </row>
    <row r="79" spans="1:26" ht="13" x14ac:dyDescent="0.15">
      <c r="A79" s="137" t="s">
        <v>48</v>
      </c>
      <c r="B79" s="138" t="s">
        <v>49</v>
      </c>
      <c r="C79" s="167">
        <f>'Main inputs'!C78*8760</f>
        <v>1277.43</v>
      </c>
      <c r="D79" s="167">
        <f>'Main inputs'!D78*8760</f>
        <v>65.174999999999997</v>
      </c>
      <c r="E79" s="167">
        <f>'Main inputs'!E78*8760</f>
        <v>195.52499999999998</v>
      </c>
      <c r="F79" s="142">
        <f>'Main inputs'!F78*8760</f>
        <v>195.52499999999998</v>
      </c>
      <c r="G79" s="141">
        <f>'Main inputs'!G78*8760</f>
        <v>2189.88</v>
      </c>
      <c r="H79" s="141">
        <f>'Main inputs'!H78*8760</f>
        <v>782.09999999999991</v>
      </c>
      <c r="I79" s="141">
        <f>'Main inputs'!I78*8760</f>
        <v>782.09999999999991</v>
      </c>
      <c r="J79" s="141">
        <f>'Main inputs'!J78*8760</f>
        <v>782.09999999999991</v>
      </c>
      <c r="K79" s="142">
        <f>'Main inputs'!K78*8760</f>
        <v>782.09999999999991</v>
      </c>
      <c r="L79" s="141">
        <f>'Main inputs'!L78*8760</f>
        <v>1094.94</v>
      </c>
      <c r="M79" s="141">
        <f>'Main inputs'!M78*8760</f>
        <v>65.174999999999997</v>
      </c>
      <c r="N79" s="141">
        <f>'Main inputs'!N78*8760</f>
        <v>521.4</v>
      </c>
      <c r="O79" s="141">
        <f>'Main inputs'!O78*8760</f>
        <v>521.4</v>
      </c>
      <c r="P79" s="142">
        <f>'Main inputs'!P78*8760</f>
        <v>521.4</v>
      </c>
      <c r="Q79" s="141">
        <f>'Main inputs'!Q78*8760</f>
        <v>1094.94</v>
      </c>
    </row>
    <row r="80" spans="1:26" ht="13" x14ac:dyDescent="0.15">
      <c r="A80" s="137" t="s">
        <v>50</v>
      </c>
      <c r="B80" s="138" t="s">
        <v>33</v>
      </c>
      <c r="C80" s="143">
        <f>$B$69*C62*$B$116</f>
        <v>395.29411764705878</v>
      </c>
      <c r="D80" s="143">
        <f t="shared" ref="D80:F80" si="22">$B$69*D62*$C$116</f>
        <v>112.94117647058823</v>
      </c>
      <c r="E80" s="143">
        <f t="shared" si="22"/>
        <v>338.8235294117647</v>
      </c>
      <c r="F80" s="144">
        <f t="shared" si="22"/>
        <v>338.8235294117647</v>
      </c>
      <c r="G80" s="143">
        <f>$B$69*G62*$B$116</f>
        <v>677.64705882352939</v>
      </c>
      <c r="H80" s="143">
        <f t="shared" ref="H80:K80" si="23">$B$69*H62*$C$116</f>
        <v>1355.2941176470588</v>
      </c>
      <c r="I80" s="143">
        <f t="shared" si="23"/>
        <v>1355.2941176470588</v>
      </c>
      <c r="J80" s="143">
        <f t="shared" si="23"/>
        <v>1355.2941176470588</v>
      </c>
      <c r="K80" s="144">
        <f t="shared" si="23"/>
        <v>1355.2941176470588</v>
      </c>
      <c r="L80" s="143">
        <f>$B$69*L62*$B$116</f>
        <v>338.8235294117647</v>
      </c>
      <c r="M80" s="143">
        <f t="shared" ref="M80:P80" si="24">$B$69*M62*$C$116</f>
        <v>112.94117647058823</v>
      </c>
      <c r="N80" s="143">
        <f t="shared" si="24"/>
        <v>903.52941176470586</v>
      </c>
      <c r="O80" s="143">
        <f t="shared" si="24"/>
        <v>903.52941176470586</v>
      </c>
      <c r="P80" s="144">
        <f t="shared" si="24"/>
        <v>903.52941176470586</v>
      </c>
      <c r="Q80" s="143">
        <f>$B$69*Q62*$B$116</f>
        <v>338.8235294117647</v>
      </c>
    </row>
    <row r="81" spans="1:19" ht="13" x14ac:dyDescent="0.15">
      <c r="A81" s="137" t="s">
        <v>51</v>
      </c>
      <c r="B81" s="138" t="s">
        <v>52</v>
      </c>
      <c r="C81" s="168"/>
      <c r="D81" s="167">
        <f t="shared" ref="D81:F81" si="25">D75*0.5</f>
        <v>500</v>
      </c>
      <c r="E81" s="167">
        <f t="shared" si="25"/>
        <v>300</v>
      </c>
      <c r="F81" s="142">
        <f t="shared" si="25"/>
        <v>500</v>
      </c>
      <c r="G81" s="145"/>
      <c r="H81" s="141">
        <f t="shared" ref="H81:K81" si="26">H75*0.5</f>
        <v>175</v>
      </c>
      <c r="I81" s="141">
        <f t="shared" si="26"/>
        <v>500</v>
      </c>
      <c r="J81" s="141">
        <f t="shared" si="26"/>
        <v>400</v>
      </c>
      <c r="K81" s="142">
        <f t="shared" si="26"/>
        <v>200</v>
      </c>
      <c r="L81" s="145"/>
      <c r="M81" s="141">
        <f t="shared" ref="M81:P81" si="27">M75*0.5</f>
        <v>400</v>
      </c>
      <c r="N81" s="141">
        <f t="shared" si="27"/>
        <v>10</v>
      </c>
      <c r="O81" s="141">
        <f t="shared" si="27"/>
        <v>100</v>
      </c>
      <c r="P81" s="142">
        <f t="shared" si="27"/>
        <v>30</v>
      </c>
      <c r="Q81" s="145"/>
    </row>
    <row r="82" spans="1:19" ht="13" x14ac:dyDescent="0.15">
      <c r="A82" s="137" t="s">
        <v>53</v>
      </c>
      <c r="B82" s="138" t="s">
        <v>54</v>
      </c>
      <c r="C82" s="167">
        <f>C72*'Main inputs'!C79</f>
        <v>153.29159999999999</v>
      </c>
      <c r="D82" s="167">
        <f>D76*'Main inputs'!D79</f>
        <v>143.38500000000002</v>
      </c>
      <c r="E82" s="167">
        <f>E76*'Main inputs'!E79</f>
        <v>977.62499999999989</v>
      </c>
      <c r="F82" s="142">
        <f>F76*'Main inputs'!F79</f>
        <v>1466.4374999999998</v>
      </c>
      <c r="G82" s="141">
        <f>G72*'Main inputs'!G79</f>
        <v>262.78559999999999</v>
      </c>
      <c r="H82" s="141">
        <f>H76*'Main inputs'!H79</f>
        <v>1564.1999999999998</v>
      </c>
      <c r="I82" s="141">
        <f>I76*'Main inputs'!I79</f>
        <v>5865.7499999999991</v>
      </c>
      <c r="J82" s="141">
        <f>J76*'Main inputs'!J79</f>
        <v>5865.7499999999991</v>
      </c>
      <c r="K82" s="142">
        <f>K76*'Main inputs'!K79</f>
        <v>1173.1499999999999</v>
      </c>
      <c r="L82" s="141">
        <f>L72*'Main inputs'!L79</f>
        <v>131.39279999999999</v>
      </c>
      <c r="M82" s="141">
        <f>M76*'Main inputs'!M79</f>
        <v>195.52499999999998</v>
      </c>
      <c r="N82" s="141">
        <f>N76*'Main inputs'!N79</f>
        <v>2867.7</v>
      </c>
      <c r="O82" s="141">
        <f>O76*'Main inputs'!O79</f>
        <v>1042.8</v>
      </c>
      <c r="P82" s="142">
        <f>P76*'Main inputs'!P79</f>
        <v>1564.1999999999998</v>
      </c>
      <c r="Q82" s="141">
        <f>Q72*'Main inputs'!Q79</f>
        <v>131.39279999999999</v>
      </c>
    </row>
    <row r="83" spans="1:19" ht="13" x14ac:dyDescent="0.15">
      <c r="A83" s="146" t="s">
        <v>55</v>
      </c>
      <c r="B83" s="147" t="s">
        <v>39</v>
      </c>
      <c r="C83" s="169">
        <f>C82/'Main inputs'!C79</f>
        <v>0.11999999999999998</v>
      </c>
      <c r="D83" s="169">
        <f>D82/'Main inputs'!D79</f>
        <v>2.2000000000000002</v>
      </c>
      <c r="E83" s="169">
        <f>E82/'Main inputs'!E79</f>
        <v>5</v>
      </c>
      <c r="F83" s="149">
        <f>F82/'Main inputs'!F79</f>
        <v>7.5</v>
      </c>
      <c r="G83" s="148">
        <f>G82/'Main inputs'!G79</f>
        <v>0.11999999999999998</v>
      </c>
      <c r="H83" s="148">
        <f>H82/'Main inputs'!H79</f>
        <v>2</v>
      </c>
      <c r="I83" s="148">
        <f>I82/'Main inputs'!I79</f>
        <v>7.5</v>
      </c>
      <c r="J83" s="148">
        <f>J82/'Main inputs'!J79</f>
        <v>7.5</v>
      </c>
      <c r="K83" s="149">
        <f>K82/'Main inputs'!K79</f>
        <v>1.5</v>
      </c>
      <c r="L83" s="148">
        <f>L82/'Main inputs'!L79</f>
        <v>0.11999999999999998</v>
      </c>
      <c r="M83" s="148">
        <f>M82/'Main inputs'!M79</f>
        <v>3</v>
      </c>
      <c r="N83" s="148">
        <f>N82/'Main inputs'!N79</f>
        <v>5.5</v>
      </c>
      <c r="O83" s="148">
        <f>O82/'Main inputs'!O79</f>
        <v>2</v>
      </c>
      <c r="P83" s="149">
        <f>P82/'Main inputs'!P79</f>
        <v>3</v>
      </c>
      <c r="Q83" s="148">
        <f>Q82/'Main inputs'!Q79</f>
        <v>0.11999999999999998</v>
      </c>
    </row>
    <row r="85" spans="1:19" ht="13" x14ac:dyDescent="0.15">
      <c r="A85" s="170" t="s">
        <v>56</v>
      </c>
      <c r="B85" s="133"/>
      <c r="C85" s="171" t="s">
        <v>57</v>
      </c>
      <c r="D85" s="133"/>
      <c r="E85" s="133"/>
      <c r="F85" s="172"/>
      <c r="G85" s="171" t="s">
        <v>58</v>
      </c>
      <c r="H85" s="133"/>
      <c r="I85" s="133"/>
      <c r="J85" s="133"/>
      <c r="K85" s="172"/>
      <c r="L85" s="171" t="s">
        <v>59</v>
      </c>
      <c r="M85" s="133"/>
      <c r="N85" s="133"/>
      <c r="O85" s="172"/>
      <c r="P85" s="173" t="s">
        <v>60</v>
      </c>
      <c r="Q85" s="133"/>
      <c r="R85" s="133"/>
      <c r="S85" s="174"/>
    </row>
    <row r="86" spans="1:19" ht="13" x14ac:dyDescent="0.15">
      <c r="A86" s="118" t="s">
        <v>75</v>
      </c>
      <c r="B86" s="108"/>
      <c r="C86" s="119" t="s">
        <v>5</v>
      </c>
      <c r="D86" s="108"/>
      <c r="E86" s="108"/>
      <c r="F86" s="110"/>
      <c r="G86" s="119" t="s">
        <v>68</v>
      </c>
      <c r="H86" s="108"/>
      <c r="I86" s="108"/>
      <c r="J86" s="108"/>
      <c r="K86" s="110"/>
      <c r="L86" s="119" t="s">
        <v>76</v>
      </c>
      <c r="M86" s="108"/>
      <c r="N86" s="108"/>
      <c r="O86" s="110"/>
      <c r="P86" s="117" t="s">
        <v>8</v>
      </c>
      <c r="Q86" s="108"/>
      <c r="R86" s="108"/>
      <c r="S86" s="108"/>
    </row>
    <row r="87" spans="1:19" ht="13" x14ac:dyDescent="0.15">
      <c r="A87" s="164" t="s">
        <v>77</v>
      </c>
      <c r="B87" s="135"/>
      <c r="C87" s="32" t="s">
        <v>10</v>
      </c>
      <c r="D87" s="32" t="s">
        <v>12</v>
      </c>
      <c r="E87" s="32" t="s">
        <v>64</v>
      </c>
      <c r="F87" s="33" t="s">
        <v>13</v>
      </c>
      <c r="G87" s="32" t="s">
        <v>10</v>
      </c>
      <c r="H87" s="32" t="s">
        <v>12</v>
      </c>
      <c r="I87" s="32" t="s">
        <v>78</v>
      </c>
      <c r="J87" s="32" t="s">
        <v>79</v>
      </c>
      <c r="K87" s="33" t="s">
        <v>72</v>
      </c>
      <c r="L87" s="32" t="s">
        <v>10</v>
      </c>
      <c r="M87" s="32" t="s">
        <v>17</v>
      </c>
      <c r="N87" s="32" t="s">
        <v>64</v>
      </c>
      <c r="O87" s="33" t="s">
        <v>13</v>
      </c>
      <c r="P87" s="32" t="s">
        <v>10</v>
      </c>
    </row>
    <row r="88" spans="1:19" ht="13" x14ac:dyDescent="0.15">
      <c r="A88" s="163" t="s">
        <v>18</v>
      </c>
      <c r="B88" s="135" t="s">
        <v>9</v>
      </c>
      <c r="F88" s="136"/>
      <c r="K88" s="136"/>
      <c r="O88" s="136"/>
    </row>
    <row r="89" spans="1:19" ht="13" x14ac:dyDescent="0.15">
      <c r="A89" s="150" t="s">
        <v>19</v>
      </c>
      <c r="B89" s="159" t="s">
        <v>20</v>
      </c>
      <c r="C89" s="91">
        <v>6</v>
      </c>
      <c r="D89" s="91">
        <v>5</v>
      </c>
      <c r="E89" s="91">
        <v>5</v>
      </c>
      <c r="F89" s="92">
        <v>5</v>
      </c>
      <c r="G89" s="91">
        <v>6</v>
      </c>
      <c r="H89" s="91">
        <v>5</v>
      </c>
      <c r="I89" s="91">
        <v>5</v>
      </c>
      <c r="J89" s="91">
        <v>5</v>
      </c>
      <c r="K89" s="92">
        <v>5</v>
      </c>
      <c r="L89" s="91">
        <v>6</v>
      </c>
      <c r="M89" s="91">
        <v>5</v>
      </c>
      <c r="N89" s="91">
        <v>5</v>
      </c>
      <c r="O89" s="92">
        <v>5</v>
      </c>
      <c r="P89" s="91">
        <v>6</v>
      </c>
    </row>
    <row r="90" spans="1:19" ht="13" x14ac:dyDescent="0.15">
      <c r="A90" s="158" t="s">
        <v>21</v>
      </c>
      <c r="B90" s="159" t="s">
        <v>22</v>
      </c>
      <c r="C90" s="91">
        <v>7</v>
      </c>
      <c r="D90" s="91">
        <v>1</v>
      </c>
      <c r="E90" s="91">
        <v>3</v>
      </c>
      <c r="F90" s="92">
        <v>3</v>
      </c>
      <c r="G90" s="91">
        <v>8</v>
      </c>
      <c r="H90" s="91">
        <v>1</v>
      </c>
      <c r="I90" s="91">
        <v>1</v>
      </c>
      <c r="J90" s="91">
        <v>8</v>
      </c>
      <c r="K90" s="92">
        <v>8</v>
      </c>
      <c r="L90" s="91">
        <v>7</v>
      </c>
      <c r="M90" s="91">
        <v>1</v>
      </c>
      <c r="N90" s="91">
        <v>3</v>
      </c>
      <c r="O90" s="92">
        <v>3</v>
      </c>
      <c r="P90" s="91">
        <v>7</v>
      </c>
    </row>
    <row r="91" spans="1:19" ht="13" x14ac:dyDescent="0.15">
      <c r="A91" s="158" t="s">
        <v>23</v>
      </c>
      <c r="B91" s="159" t="s">
        <v>24</v>
      </c>
      <c r="C91" s="91">
        <v>0.12</v>
      </c>
      <c r="D91" s="91">
        <v>0.12</v>
      </c>
      <c r="E91" s="91">
        <v>0.12</v>
      </c>
      <c r="F91" s="92">
        <v>0.12</v>
      </c>
      <c r="G91" s="91">
        <v>0.12</v>
      </c>
      <c r="H91" s="91">
        <v>0.12</v>
      </c>
      <c r="I91" s="91">
        <v>0.12</v>
      </c>
      <c r="J91" s="91">
        <v>0.12</v>
      </c>
      <c r="K91" s="92">
        <v>0.12</v>
      </c>
      <c r="L91" s="91">
        <v>0.12</v>
      </c>
      <c r="M91" s="91">
        <v>0.12</v>
      </c>
      <c r="N91" s="91">
        <v>0.12</v>
      </c>
      <c r="O91" s="92">
        <v>0.12</v>
      </c>
      <c r="P91" s="91">
        <v>0.12</v>
      </c>
    </row>
    <row r="92" spans="1:19" ht="13" x14ac:dyDescent="0.15">
      <c r="A92" s="158" t="s">
        <v>25</v>
      </c>
      <c r="B92" s="159" t="s">
        <v>24</v>
      </c>
      <c r="C92" s="91">
        <v>0.2</v>
      </c>
      <c r="D92" s="91">
        <v>0.2</v>
      </c>
      <c r="E92" s="91">
        <v>0.2</v>
      </c>
      <c r="F92" s="92">
        <v>0.2</v>
      </c>
      <c r="G92" s="91">
        <v>0.2</v>
      </c>
      <c r="H92" s="91">
        <v>0.2</v>
      </c>
      <c r="I92" s="91">
        <v>0.2</v>
      </c>
      <c r="J92" s="91">
        <v>0.2</v>
      </c>
      <c r="K92" s="92">
        <v>0.2</v>
      </c>
      <c r="L92" s="91">
        <v>0.2</v>
      </c>
      <c r="M92" s="91">
        <v>0.2</v>
      </c>
      <c r="N92" s="91">
        <v>0.2</v>
      </c>
      <c r="O92" s="92">
        <v>0.2</v>
      </c>
      <c r="P92" s="91">
        <v>0.2</v>
      </c>
    </row>
    <row r="93" spans="1:19" ht="13" x14ac:dyDescent="0.15">
      <c r="A93" s="158" t="s">
        <v>26</v>
      </c>
      <c r="B93" s="159" t="s">
        <v>27</v>
      </c>
      <c r="C93" s="91">
        <v>1.88</v>
      </c>
      <c r="D93" s="91">
        <v>1.88</v>
      </c>
      <c r="E93" s="91">
        <v>1.88</v>
      </c>
      <c r="F93" s="92">
        <v>1.88</v>
      </c>
      <c r="G93" s="91">
        <v>1.88</v>
      </c>
      <c r="H93" s="91">
        <v>1.88</v>
      </c>
      <c r="I93" s="91">
        <v>1.88</v>
      </c>
      <c r="J93" s="91">
        <v>1.88</v>
      </c>
      <c r="K93" s="92">
        <v>1.88</v>
      </c>
      <c r="L93" s="91">
        <v>1.88</v>
      </c>
      <c r="M93" s="91">
        <v>1.88</v>
      </c>
      <c r="N93" s="91">
        <v>1.88</v>
      </c>
      <c r="O93" s="92">
        <v>1.88</v>
      </c>
      <c r="P93" s="91">
        <v>1.88</v>
      </c>
    </row>
    <row r="94" spans="1:19" ht="13" x14ac:dyDescent="0.15">
      <c r="A94" s="158" t="s">
        <v>28</v>
      </c>
      <c r="B94" s="159" t="s">
        <v>29</v>
      </c>
      <c r="C94" s="93">
        <v>50</v>
      </c>
      <c r="D94" s="93">
        <v>50</v>
      </c>
      <c r="E94" s="93">
        <v>50</v>
      </c>
      <c r="F94" s="94">
        <v>50</v>
      </c>
      <c r="G94" s="93">
        <v>50</v>
      </c>
      <c r="H94" s="93">
        <v>50</v>
      </c>
      <c r="I94" s="93">
        <v>50</v>
      </c>
      <c r="J94" s="93">
        <v>50</v>
      </c>
      <c r="K94" s="94">
        <v>50</v>
      </c>
      <c r="L94" s="93">
        <v>50</v>
      </c>
      <c r="M94" s="93">
        <v>50</v>
      </c>
      <c r="N94" s="93">
        <v>50</v>
      </c>
      <c r="O94" s="94">
        <v>50</v>
      </c>
      <c r="P94" s="93">
        <v>50</v>
      </c>
    </row>
    <row r="95" spans="1:19" ht="13" x14ac:dyDescent="0.15">
      <c r="A95" s="158" t="s">
        <v>30</v>
      </c>
      <c r="B95" s="159" t="s">
        <v>31</v>
      </c>
      <c r="C95" s="95">
        <v>5.8999999999999997E-2</v>
      </c>
      <c r="D95" s="95">
        <v>5.8999999999999997E-2</v>
      </c>
      <c r="E95" s="95">
        <v>5.8999999999999997E-2</v>
      </c>
      <c r="F95" s="96">
        <v>5.8999999999999997E-2</v>
      </c>
      <c r="G95" s="95">
        <v>5.8999999999999997E-2</v>
      </c>
      <c r="H95" s="95">
        <v>5.8999999999999997E-2</v>
      </c>
      <c r="I95" s="95">
        <v>5.8999999999999997E-2</v>
      </c>
      <c r="J95" s="95">
        <v>5.8999999999999997E-2</v>
      </c>
      <c r="K95" s="96">
        <v>5.8999999999999997E-2</v>
      </c>
      <c r="L95" s="95">
        <v>5.8999999999999997E-2</v>
      </c>
      <c r="M95" s="95">
        <v>5.8999999999999997E-2</v>
      </c>
      <c r="N95" s="95">
        <v>5.8999999999999997E-2</v>
      </c>
      <c r="O95" s="96">
        <v>5.8999999999999997E-2</v>
      </c>
      <c r="P95" s="95">
        <v>5.8999999999999997E-2</v>
      </c>
    </row>
    <row r="96" spans="1:19" ht="13" x14ac:dyDescent="0.15">
      <c r="A96" s="158" t="s">
        <v>32</v>
      </c>
      <c r="B96" s="159" t="s">
        <v>33</v>
      </c>
      <c r="C96" s="91">
        <v>33</v>
      </c>
      <c r="D96" s="97">
        <f>D68</f>
        <v>25</v>
      </c>
      <c r="E96" s="98">
        <f>F12*0.6</f>
        <v>30</v>
      </c>
      <c r="F96" s="99">
        <f>F12*0.5</f>
        <v>25</v>
      </c>
      <c r="G96" s="91">
        <v>33</v>
      </c>
      <c r="H96" s="98">
        <v>89</v>
      </c>
      <c r="I96" s="98">
        <v>45</v>
      </c>
      <c r="J96" s="98">
        <v>125</v>
      </c>
      <c r="K96" s="99">
        <v>30</v>
      </c>
      <c r="L96" s="91">
        <v>33</v>
      </c>
      <c r="M96" s="97">
        <f t="shared" ref="M96:O96" si="28">D96</f>
        <v>25</v>
      </c>
      <c r="N96" s="98">
        <f t="shared" si="28"/>
        <v>30</v>
      </c>
      <c r="O96" s="99">
        <f t="shared" si="28"/>
        <v>25</v>
      </c>
      <c r="P96" s="91">
        <v>33</v>
      </c>
    </row>
    <row r="97" spans="1:26" ht="13" x14ac:dyDescent="0.15">
      <c r="A97" s="162" t="s">
        <v>34</v>
      </c>
      <c r="B97" s="100">
        <f>70000/362</f>
        <v>193.37016574585635</v>
      </c>
      <c r="C97" s="160"/>
      <c r="D97" s="160"/>
      <c r="E97" s="160"/>
      <c r="F97" s="161"/>
      <c r="G97" s="160"/>
      <c r="H97" s="160"/>
      <c r="I97" s="160"/>
      <c r="J97" s="160"/>
      <c r="K97" s="161"/>
      <c r="L97" s="160"/>
      <c r="M97" s="160"/>
      <c r="N97" s="160"/>
      <c r="O97" s="161"/>
      <c r="P97" s="160"/>
      <c r="Q97" s="160"/>
      <c r="R97" s="160"/>
      <c r="S97" s="160"/>
      <c r="T97" s="160"/>
      <c r="U97" s="160"/>
      <c r="V97" s="160"/>
      <c r="W97" s="160"/>
      <c r="X97" s="160"/>
      <c r="Y97" s="160"/>
      <c r="Z97" s="160"/>
    </row>
    <row r="98" spans="1:26" ht="13" x14ac:dyDescent="0.15">
      <c r="A98" s="156" t="s">
        <v>35</v>
      </c>
      <c r="F98" s="136"/>
      <c r="K98" s="136"/>
      <c r="O98" s="136"/>
    </row>
    <row r="99" spans="1:26" ht="13" x14ac:dyDescent="0.15">
      <c r="A99" s="158" t="s">
        <v>73</v>
      </c>
      <c r="B99" s="159" t="s">
        <v>37</v>
      </c>
      <c r="C99" s="101">
        <v>690</v>
      </c>
      <c r="D99" s="145"/>
      <c r="E99" s="145"/>
      <c r="F99" s="157"/>
      <c r="G99" s="101">
        <v>690</v>
      </c>
      <c r="H99" s="145"/>
      <c r="I99" s="145"/>
      <c r="J99" s="145"/>
      <c r="K99" s="157"/>
      <c r="L99" s="101">
        <v>690</v>
      </c>
      <c r="M99" s="145"/>
      <c r="N99" s="145"/>
      <c r="O99" s="157"/>
      <c r="P99" s="101">
        <v>690</v>
      </c>
    </row>
    <row r="100" spans="1:26" ht="13" x14ac:dyDescent="0.15">
      <c r="A100" s="154" t="s">
        <v>74</v>
      </c>
      <c r="B100" s="155" t="s">
        <v>39</v>
      </c>
      <c r="C100" s="91">
        <v>0.66</v>
      </c>
      <c r="D100" s="145"/>
      <c r="E100" s="145"/>
      <c r="F100" s="157"/>
      <c r="G100" s="91">
        <v>0.66</v>
      </c>
      <c r="H100" s="145"/>
      <c r="I100" s="145"/>
      <c r="J100" s="145"/>
      <c r="K100" s="157"/>
      <c r="L100" s="91">
        <v>0.66</v>
      </c>
      <c r="M100" s="145"/>
      <c r="N100" s="145"/>
      <c r="O100" s="157"/>
      <c r="P100" s="91">
        <v>0.66</v>
      </c>
    </row>
    <row r="101" spans="1:26" ht="13" x14ac:dyDescent="0.15">
      <c r="A101" s="156" t="s">
        <v>40</v>
      </c>
      <c r="F101" s="136"/>
      <c r="K101" s="136"/>
      <c r="O101" s="136"/>
    </row>
    <row r="102" spans="1:26" ht="13" x14ac:dyDescent="0.15">
      <c r="A102" s="150" t="s">
        <v>41</v>
      </c>
      <c r="B102" s="151" t="s">
        <v>37</v>
      </c>
      <c r="C102" s="145"/>
      <c r="D102" s="101">
        <v>1880</v>
      </c>
      <c r="E102" s="101">
        <v>2400</v>
      </c>
      <c r="F102" s="102">
        <v>285</v>
      </c>
      <c r="G102" s="145"/>
      <c r="H102" s="101">
        <v>1675</v>
      </c>
      <c r="I102" s="101">
        <v>900</v>
      </c>
      <c r="J102" s="101">
        <v>2500</v>
      </c>
      <c r="K102" s="102">
        <v>2000</v>
      </c>
      <c r="L102" s="145"/>
      <c r="M102" s="101">
        <v>1880</v>
      </c>
      <c r="N102" s="101">
        <v>2000</v>
      </c>
      <c r="O102" s="102">
        <v>285</v>
      </c>
      <c r="P102" s="145"/>
    </row>
    <row r="103" spans="1:26" ht="13" x14ac:dyDescent="0.15">
      <c r="A103" s="152" t="s">
        <v>42</v>
      </c>
      <c r="B103" s="153" t="s">
        <v>43</v>
      </c>
      <c r="C103" s="145"/>
      <c r="D103" s="91">
        <v>800</v>
      </c>
      <c r="E103" s="91">
        <v>500</v>
      </c>
      <c r="F103" s="92">
        <v>120</v>
      </c>
      <c r="G103" s="145"/>
      <c r="H103" s="91">
        <v>400</v>
      </c>
      <c r="I103" s="91">
        <v>200</v>
      </c>
      <c r="J103" s="91">
        <v>90</v>
      </c>
      <c r="K103" s="92">
        <v>70</v>
      </c>
      <c r="L103" s="145"/>
      <c r="M103" s="91">
        <v>1200</v>
      </c>
      <c r="N103" s="91">
        <v>500</v>
      </c>
      <c r="O103" s="92">
        <v>140</v>
      </c>
      <c r="P103" s="145"/>
    </row>
    <row r="104" spans="1:26" ht="13" x14ac:dyDescent="0.15">
      <c r="A104" s="154" t="s">
        <v>44</v>
      </c>
      <c r="B104" s="155" t="s">
        <v>39</v>
      </c>
      <c r="C104" s="145"/>
      <c r="D104" s="91">
        <v>2.2000000000000002</v>
      </c>
      <c r="E104" s="91">
        <v>5</v>
      </c>
      <c r="F104" s="92">
        <v>1.5</v>
      </c>
      <c r="G104" s="145"/>
      <c r="H104" s="91">
        <v>3</v>
      </c>
      <c r="I104" s="91">
        <v>2</v>
      </c>
      <c r="J104" s="91">
        <v>5.5</v>
      </c>
      <c r="K104" s="92">
        <v>4</v>
      </c>
      <c r="L104" s="145"/>
      <c r="M104" s="91">
        <v>2.2000000000000002</v>
      </c>
      <c r="N104" s="91">
        <v>6</v>
      </c>
      <c r="O104" s="92">
        <v>1.5</v>
      </c>
      <c r="P104" s="145"/>
    </row>
    <row r="105" spans="1:26" ht="13" x14ac:dyDescent="0.15">
      <c r="A105" s="135" t="s">
        <v>45</v>
      </c>
      <c r="F105" s="136"/>
      <c r="K105" s="136"/>
      <c r="O105" s="136"/>
    </row>
    <row r="106" spans="1:26" ht="13" x14ac:dyDescent="0.15">
      <c r="A106" s="137" t="s">
        <v>46</v>
      </c>
      <c r="B106" s="138" t="s">
        <v>47</v>
      </c>
      <c r="C106" s="139">
        <f>C89*$B$115*C90/8760</f>
        <v>0.14582534246575343</v>
      </c>
      <c r="D106" s="139">
        <f t="shared" ref="D106:F106" si="29">D89*$C$115*D90/8760</f>
        <v>7.4400684931506846E-3</v>
      </c>
      <c r="E106" s="139">
        <f t="shared" si="29"/>
        <v>2.2320205479452054E-2</v>
      </c>
      <c r="F106" s="140">
        <f t="shared" si="29"/>
        <v>2.2320205479452054E-2</v>
      </c>
      <c r="G106" s="139">
        <f>G89*$B$115*G90/8760</f>
        <v>0.16665753424657534</v>
      </c>
      <c r="H106" s="139">
        <f t="shared" ref="H106:K106" si="30">H89*$C$115*H90/8760</f>
        <v>7.4400684931506846E-3</v>
      </c>
      <c r="I106" s="139">
        <f t="shared" si="30"/>
        <v>7.4400684931506846E-3</v>
      </c>
      <c r="J106" s="139">
        <f t="shared" si="30"/>
        <v>5.9520547945205476E-2</v>
      </c>
      <c r="K106" s="140">
        <f t="shared" si="30"/>
        <v>5.9520547945205476E-2</v>
      </c>
      <c r="L106" s="139">
        <f>L89*$B$115*L90/8760</f>
        <v>0.14582534246575343</v>
      </c>
      <c r="M106" s="139">
        <f t="shared" ref="M106:O106" si="31">M89*$C$115*M90/8760</f>
        <v>7.4400684931506846E-3</v>
      </c>
      <c r="N106" s="139">
        <f t="shared" si="31"/>
        <v>2.2320205479452054E-2</v>
      </c>
      <c r="O106" s="140">
        <f t="shared" si="31"/>
        <v>2.2320205479452054E-2</v>
      </c>
      <c r="P106" s="139">
        <f>P89*$B$115*P90/8760</f>
        <v>0.14582534246575343</v>
      </c>
    </row>
    <row r="107" spans="1:26" ht="13" x14ac:dyDescent="0.15">
      <c r="A107" s="137" t="s">
        <v>48</v>
      </c>
      <c r="B107" s="138" t="s">
        <v>49</v>
      </c>
      <c r="C107" s="141">
        <f>'Main inputs'!C106*8760</f>
        <v>1277.43</v>
      </c>
      <c r="D107" s="141">
        <f>'Main inputs'!D106*8760</f>
        <v>65.174999999999997</v>
      </c>
      <c r="E107" s="141">
        <f>'Main inputs'!E106*8760</f>
        <v>195.52499999999998</v>
      </c>
      <c r="F107" s="142">
        <f>'Main inputs'!F106*8760</f>
        <v>195.52499999999998</v>
      </c>
      <c r="G107" s="141">
        <f>'Main inputs'!G106*8760</f>
        <v>1459.92</v>
      </c>
      <c r="H107" s="141">
        <f>'Main inputs'!H106*8760</f>
        <v>65.174999999999997</v>
      </c>
      <c r="I107" s="141">
        <f>'Main inputs'!I106*8760</f>
        <v>65.174999999999997</v>
      </c>
      <c r="J107" s="141">
        <f>'Main inputs'!J106*8760</f>
        <v>521.4</v>
      </c>
      <c r="K107" s="142">
        <f>'Main inputs'!K106*8760</f>
        <v>521.4</v>
      </c>
      <c r="L107" s="141">
        <f>'Main inputs'!L106*8760</f>
        <v>1277.43</v>
      </c>
      <c r="M107" s="141">
        <f>'Main inputs'!M106*8760</f>
        <v>65.174999999999997</v>
      </c>
      <c r="N107" s="141">
        <f>'Main inputs'!N106*8760</f>
        <v>195.52499999999998</v>
      </c>
      <c r="O107" s="142">
        <f>'Main inputs'!O106*8760</f>
        <v>195.52499999999998</v>
      </c>
      <c r="P107" s="141">
        <f>'Main inputs'!P106*8760</f>
        <v>1277.43</v>
      </c>
    </row>
    <row r="108" spans="1:26" ht="13" x14ac:dyDescent="0.15">
      <c r="A108" s="137" t="s">
        <v>50</v>
      </c>
      <c r="B108" s="138" t="s">
        <v>33</v>
      </c>
      <c r="C108" s="143">
        <f>$B$97*C90*$B$116</f>
        <v>676.79558011049721</v>
      </c>
      <c r="D108" s="143">
        <f t="shared" ref="D108:F108" si="32">$B$97*D90*$C$116</f>
        <v>193.37016574585635</v>
      </c>
      <c r="E108" s="143">
        <f t="shared" si="32"/>
        <v>580.11049723756901</v>
      </c>
      <c r="F108" s="144">
        <f t="shared" si="32"/>
        <v>580.11049723756901</v>
      </c>
      <c r="G108" s="143">
        <f>$B$97*G90*$B$116</f>
        <v>773.48066298342542</v>
      </c>
      <c r="H108" s="143">
        <f t="shared" ref="H108:K108" si="33">$B$97*H90*$C$116</f>
        <v>193.37016574585635</v>
      </c>
      <c r="I108" s="143">
        <f t="shared" si="33"/>
        <v>193.37016574585635</v>
      </c>
      <c r="J108" s="143">
        <f t="shared" si="33"/>
        <v>1546.9613259668508</v>
      </c>
      <c r="K108" s="144">
        <f t="shared" si="33"/>
        <v>1546.9613259668508</v>
      </c>
      <c r="L108" s="143">
        <f>$B$97*L90*$B$116</f>
        <v>676.79558011049721</v>
      </c>
      <c r="M108" s="143">
        <f t="shared" ref="M108:O108" si="34">$B$97*M90*$C$116</f>
        <v>193.37016574585635</v>
      </c>
      <c r="N108" s="143">
        <f t="shared" si="34"/>
        <v>580.11049723756901</v>
      </c>
      <c r="O108" s="144">
        <f t="shared" si="34"/>
        <v>580.11049723756901</v>
      </c>
      <c r="P108" s="143">
        <f>$B$97*P90*$B$116</f>
        <v>676.79558011049721</v>
      </c>
    </row>
    <row r="109" spans="1:26" ht="13" x14ac:dyDescent="0.15">
      <c r="A109" s="137" t="s">
        <v>51</v>
      </c>
      <c r="B109" s="138" t="s">
        <v>52</v>
      </c>
      <c r="C109" s="145"/>
      <c r="D109" s="141">
        <f t="shared" ref="D109:F109" si="35">D103*0.5</f>
        <v>400</v>
      </c>
      <c r="E109" s="141">
        <f t="shared" si="35"/>
        <v>250</v>
      </c>
      <c r="F109" s="142">
        <f t="shared" si="35"/>
        <v>60</v>
      </c>
      <c r="G109" s="145"/>
      <c r="H109" s="141">
        <f t="shared" ref="H109:K109" si="36">H103*0.5</f>
        <v>200</v>
      </c>
      <c r="I109" s="141">
        <f t="shared" si="36"/>
        <v>100</v>
      </c>
      <c r="J109" s="141">
        <f t="shared" si="36"/>
        <v>45</v>
      </c>
      <c r="K109" s="142">
        <f t="shared" si="36"/>
        <v>35</v>
      </c>
      <c r="L109" s="145"/>
      <c r="M109" s="141">
        <f t="shared" ref="M109:O109" si="37">M103*0.5</f>
        <v>600</v>
      </c>
      <c r="N109" s="141">
        <f t="shared" si="37"/>
        <v>250</v>
      </c>
      <c r="O109" s="142">
        <f t="shared" si="37"/>
        <v>70</v>
      </c>
      <c r="P109" s="145"/>
    </row>
    <row r="110" spans="1:26" ht="13" x14ac:dyDescent="0.15">
      <c r="A110" s="137" t="s">
        <v>53</v>
      </c>
      <c r="B110" s="138" t="s">
        <v>54</v>
      </c>
      <c r="C110" s="141">
        <f>C100*'Main inputs'!C107</f>
        <v>843.10380000000009</v>
      </c>
      <c r="D110" s="141">
        <f>D104*'Main inputs'!D107</f>
        <v>143.38500000000002</v>
      </c>
      <c r="E110" s="141">
        <f>E104*'Main inputs'!E107</f>
        <v>977.62499999999989</v>
      </c>
      <c r="F110" s="142">
        <f>F104*'Main inputs'!F107</f>
        <v>293.28749999999997</v>
      </c>
      <c r="G110" s="141">
        <f>G100*'Main inputs'!G107</f>
        <v>963.54720000000009</v>
      </c>
      <c r="H110" s="141">
        <f>H104*'Main inputs'!H107</f>
        <v>195.52499999999998</v>
      </c>
      <c r="I110" s="141">
        <f>I104*'Main inputs'!I107</f>
        <v>130.35</v>
      </c>
      <c r="J110" s="141">
        <f>J104*'Main inputs'!J107</f>
        <v>2867.7</v>
      </c>
      <c r="K110" s="142">
        <f>K104*'Main inputs'!K107</f>
        <v>2085.6</v>
      </c>
      <c r="L110" s="141">
        <f>L100*'Main inputs'!L107</f>
        <v>843.10380000000009</v>
      </c>
      <c r="M110" s="141">
        <f>M104*'Main inputs'!M107</f>
        <v>143.38500000000002</v>
      </c>
      <c r="N110" s="141">
        <f>N104*'Main inputs'!N107</f>
        <v>1173.1499999999999</v>
      </c>
      <c r="O110" s="142">
        <f>O104*'Main inputs'!O107</f>
        <v>293.28749999999997</v>
      </c>
      <c r="P110" s="141">
        <f>P100*'Main inputs'!P107</f>
        <v>843.10380000000009</v>
      </c>
    </row>
    <row r="111" spans="1:26" ht="13" x14ac:dyDescent="0.15">
      <c r="A111" s="146" t="s">
        <v>55</v>
      </c>
      <c r="B111" s="147" t="s">
        <v>39</v>
      </c>
      <c r="C111" s="148">
        <f>C110/'Main inputs'!C107</f>
        <v>0.66</v>
      </c>
      <c r="D111" s="148">
        <f>D110/'Main inputs'!D107</f>
        <v>2.2000000000000002</v>
      </c>
      <c r="E111" s="148">
        <f>E110/'Main inputs'!E107</f>
        <v>5</v>
      </c>
      <c r="F111" s="149">
        <f>F110/'Main inputs'!F107</f>
        <v>1.5</v>
      </c>
      <c r="G111" s="148">
        <f>G110/'Main inputs'!G107</f>
        <v>0.66</v>
      </c>
      <c r="H111" s="148">
        <f>H110/'Main inputs'!H107</f>
        <v>3</v>
      </c>
      <c r="I111" s="148">
        <f>I110/'Main inputs'!I107</f>
        <v>2</v>
      </c>
      <c r="J111" s="148">
        <f>J110/'Main inputs'!J107</f>
        <v>5.5</v>
      </c>
      <c r="K111" s="149">
        <f>K110/'Main inputs'!K107</f>
        <v>4</v>
      </c>
      <c r="L111" s="148">
        <f>L110/'Main inputs'!L107</f>
        <v>0.66</v>
      </c>
      <c r="M111" s="148">
        <f>M110/'Main inputs'!M107</f>
        <v>2.2000000000000002</v>
      </c>
      <c r="N111" s="148">
        <f>N110/'Main inputs'!N107</f>
        <v>6</v>
      </c>
      <c r="O111" s="149">
        <f>O110/'Main inputs'!O107</f>
        <v>1.5</v>
      </c>
      <c r="P111" s="148">
        <f>P110/'Main inputs'!P107</f>
        <v>0.66</v>
      </c>
    </row>
    <row r="113" spans="1:4" ht="13" x14ac:dyDescent="0.15">
      <c r="A113" s="103" t="s">
        <v>80</v>
      </c>
      <c r="B113" s="50" t="s">
        <v>10</v>
      </c>
      <c r="C113" s="50" t="s">
        <v>81</v>
      </c>
      <c r="D113" s="29"/>
    </row>
    <row r="114" spans="1:4" ht="13" x14ac:dyDescent="0.15">
      <c r="A114" s="51" t="s">
        <v>82</v>
      </c>
      <c r="B114" s="50">
        <v>7</v>
      </c>
      <c r="C114" s="50">
        <v>3</v>
      </c>
      <c r="D114" s="29"/>
    </row>
    <row r="115" spans="1:4" ht="13" x14ac:dyDescent="0.15">
      <c r="A115" s="51" t="s">
        <v>83</v>
      </c>
      <c r="B115" s="52">
        <f t="shared" ref="B115:C115" si="38">B114*(52.14/12)</f>
        <v>30.414999999999999</v>
      </c>
      <c r="C115" s="52">
        <f t="shared" si="38"/>
        <v>13.035</v>
      </c>
      <c r="D115" s="29"/>
    </row>
    <row r="116" spans="1:4" ht="13" x14ac:dyDescent="0.15">
      <c r="A116" s="51" t="s">
        <v>84</v>
      </c>
      <c r="B116" s="104">
        <v>0.5</v>
      </c>
      <c r="C116" s="105">
        <v>1</v>
      </c>
      <c r="D116" s="29"/>
    </row>
    <row r="117" spans="1:4" ht="13" x14ac:dyDescent="0.15">
      <c r="A117" s="51" t="s">
        <v>85</v>
      </c>
      <c r="B117" s="29"/>
      <c r="C117" s="29"/>
      <c r="D117" s="51">
        <v>415</v>
      </c>
    </row>
    <row r="118" spans="1:4" ht="13" x14ac:dyDescent="0.15">
      <c r="A118" s="51" t="s">
        <v>86</v>
      </c>
      <c r="B118" s="29"/>
      <c r="C118" s="29"/>
      <c r="D118" s="51">
        <v>1017</v>
      </c>
    </row>
    <row r="119" spans="1:4" ht="13" x14ac:dyDescent="0.15">
      <c r="A119" s="51" t="s">
        <v>87</v>
      </c>
      <c r="B119" s="29"/>
      <c r="C119" s="29"/>
      <c r="D119" s="51">
        <v>3756</v>
      </c>
    </row>
    <row r="120" spans="1:4" ht="13" x14ac:dyDescent="0.15">
      <c r="A120" s="51" t="s">
        <v>88</v>
      </c>
      <c r="B120" s="29"/>
      <c r="C120" s="29"/>
      <c r="D120" s="51">
        <v>17</v>
      </c>
    </row>
    <row r="121" spans="1:4" ht="13" x14ac:dyDescent="0.15">
      <c r="A121" s="51" t="s">
        <v>89</v>
      </c>
      <c r="B121" s="29"/>
      <c r="C121" s="29"/>
      <c r="D121" s="51">
        <v>362</v>
      </c>
    </row>
  </sheetData>
  <sheetProtection algorithmName="SHA-512" hashValue="PrCgz/RbjlUMYZIlDTxzpW35CLIVj1HiTiZ3yb3tMKGsjxa4b+cfFjDx4ESJ5LvAWZLsdoce6z8HLncVZ3LqFQ==" saltValue="5XE3ZpNXXNiJkt7eNxI05g==" spinCount="100000" sheet="1" objects="1" scenarios="1"/>
  <mergeCells count="39">
    <mergeCell ref="P85:R85"/>
    <mergeCell ref="A86:B86"/>
    <mergeCell ref="C86:F86"/>
    <mergeCell ref="P86:S86"/>
    <mergeCell ref="G86:K86"/>
    <mergeCell ref="L86:O86"/>
    <mergeCell ref="A85:B85"/>
    <mergeCell ref="C85:F85"/>
    <mergeCell ref="G85:K85"/>
    <mergeCell ref="L85:O85"/>
    <mergeCell ref="A30:B30"/>
    <mergeCell ref="C30:G30"/>
    <mergeCell ref="H30:I30"/>
    <mergeCell ref="J30:M30"/>
    <mergeCell ref="A57:B57"/>
    <mergeCell ref="C57:F57"/>
    <mergeCell ref="G57:K57"/>
    <mergeCell ref="L57:P57"/>
    <mergeCell ref="Q57:R57"/>
    <mergeCell ref="A58:B58"/>
    <mergeCell ref="C58:F58"/>
    <mergeCell ref="G58:K58"/>
    <mergeCell ref="L58:P58"/>
    <mergeCell ref="Q58:U58"/>
    <mergeCell ref="A29:B29"/>
    <mergeCell ref="C29:G29"/>
    <mergeCell ref="H29:I29"/>
    <mergeCell ref="J29:M29"/>
    <mergeCell ref="N29:O29"/>
    <mergeCell ref="A2:B2"/>
    <mergeCell ref="C2:F2"/>
    <mergeCell ref="P2:S2"/>
    <mergeCell ref="G2:K2"/>
    <mergeCell ref="L2:O2"/>
    <mergeCell ref="A1:B1"/>
    <mergeCell ref="C1:F1"/>
    <mergeCell ref="G1:K1"/>
    <mergeCell ref="L1:O1"/>
    <mergeCell ref="P1:S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33"/>
  <sheetViews>
    <sheetView zoomScale="120" zoomScaleNormal="120" workbookViewId="0">
      <pane xSplit="2" topLeftCell="C1" activePane="topRight" state="frozen"/>
      <selection pane="topRight" activeCell="H11" sqref="H11"/>
    </sheetView>
  </sheetViews>
  <sheetFormatPr baseColWidth="10" defaultColWidth="12.6640625" defaultRowHeight="15.75" customHeight="1" x14ac:dyDescent="0.15"/>
  <cols>
    <col min="1" max="1" width="20" style="134" customWidth="1"/>
    <col min="2" max="16384" width="12.6640625" style="134"/>
  </cols>
  <sheetData>
    <row r="1" spans="1:18" ht="15.75" customHeight="1" x14ac:dyDescent="0.15">
      <c r="A1" s="275"/>
      <c r="B1" s="275"/>
      <c r="C1" s="276" t="s">
        <v>90</v>
      </c>
      <c r="D1" s="133"/>
      <c r="E1" s="133"/>
      <c r="F1" s="133"/>
      <c r="G1" s="133"/>
      <c r="H1" s="133"/>
      <c r="I1" s="133"/>
      <c r="J1" s="133"/>
      <c r="K1" s="133"/>
      <c r="L1" s="133"/>
      <c r="M1" s="133"/>
      <c r="N1" s="133"/>
      <c r="O1" s="133"/>
      <c r="P1" s="133"/>
    </row>
    <row r="2" spans="1:18" ht="15.75" customHeight="1" x14ac:dyDescent="0.15">
      <c r="A2" s="220" t="s">
        <v>91</v>
      </c>
      <c r="B2" s="221"/>
      <c r="C2" s="138"/>
      <c r="D2" s="138"/>
      <c r="E2" s="138"/>
      <c r="F2" s="138"/>
      <c r="G2" s="138"/>
      <c r="H2" s="138"/>
      <c r="I2" s="138"/>
      <c r="J2" s="138"/>
      <c r="K2" s="138"/>
      <c r="L2" s="138"/>
      <c r="M2" s="138"/>
      <c r="N2" s="138"/>
      <c r="O2" s="138"/>
    </row>
    <row r="3" spans="1:18" ht="15.75" customHeight="1" x14ac:dyDescent="0.15">
      <c r="A3" s="277"/>
      <c r="B3" s="277"/>
      <c r="C3" s="192"/>
      <c r="D3" s="192"/>
      <c r="E3" s="192"/>
      <c r="F3" s="192"/>
      <c r="G3" s="192"/>
      <c r="H3" s="192"/>
      <c r="I3" s="192"/>
      <c r="J3" s="192"/>
      <c r="K3" s="192"/>
      <c r="L3" s="192"/>
      <c r="M3" s="192"/>
      <c r="N3" s="192"/>
      <c r="O3" s="192"/>
    </row>
    <row r="4" spans="1:18" ht="15.75" customHeight="1" x14ac:dyDescent="0.15">
      <c r="A4" s="278" t="str">
        <f>'Main inputs'!A2</f>
        <v>Nigeria</v>
      </c>
      <c r="B4" s="133"/>
      <c r="C4" s="279" t="str">
        <f>'Main inputs'!C2</f>
        <v>Maize</v>
      </c>
      <c r="D4" s="266"/>
      <c r="E4" s="266"/>
      <c r="F4" s="273"/>
      <c r="G4" s="279" t="str">
        <f>'Main inputs'!G2</f>
        <v>Cassava</v>
      </c>
      <c r="H4" s="266"/>
      <c r="I4" s="266"/>
      <c r="J4" s="266"/>
      <c r="K4" s="273"/>
      <c r="L4" s="279" t="str">
        <f>'Main inputs'!L2</f>
        <v>Rice</v>
      </c>
      <c r="M4" s="266"/>
      <c r="N4" s="266"/>
      <c r="O4" s="273"/>
      <c r="P4" s="29"/>
      <c r="Q4" s="29"/>
      <c r="R4" s="29"/>
    </row>
    <row r="5" spans="1:18" ht="15.75" customHeight="1" x14ac:dyDescent="0.15">
      <c r="A5" s="267" t="s">
        <v>92</v>
      </c>
      <c r="B5" s="267" t="s">
        <v>9</v>
      </c>
      <c r="C5" s="280" t="str">
        <f>'Main inputs'!C3</f>
        <v>Irrigation</v>
      </c>
      <c r="D5" s="280" t="str">
        <f>'Main inputs'!D3</f>
        <v>Drying</v>
      </c>
      <c r="E5" s="280" t="str">
        <f>'Main inputs'!E3</f>
        <v>Shelling</v>
      </c>
      <c r="F5" s="280" t="str">
        <f>'Main inputs'!F3</f>
        <v>Milling</v>
      </c>
      <c r="G5" s="280" t="str">
        <f>'Main inputs'!G3</f>
        <v>Irrigation</v>
      </c>
      <c r="H5" s="280" t="str">
        <f>'Main inputs'!H3</f>
        <v>Peeling</v>
      </c>
      <c r="I5" s="280" t="str">
        <f>'Main inputs'!I3</f>
        <v>Grating</v>
      </c>
      <c r="J5" s="280" t="str">
        <f>'Main inputs'!J3</f>
        <v>Milling</v>
      </c>
      <c r="K5" s="280" t="str">
        <f>'Main inputs'!K3</f>
        <v>Chipping</v>
      </c>
      <c r="L5" s="280" t="str">
        <f>'Main inputs'!L3</f>
        <v>Irrigation</v>
      </c>
      <c r="M5" s="280" t="str">
        <f>'Main inputs'!M3</f>
        <v>Threshing</v>
      </c>
      <c r="N5" s="280" t="str">
        <f>'Main inputs'!N3</f>
        <v>Drying</v>
      </c>
      <c r="O5" s="280" t="str">
        <f>'Main inputs'!O3</f>
        <v>Milling</v>
      </c>
      <c r="P5" s="29"/>
      <c r="Q5" s="29"/>
      <c r="R5" s="29"/>
    </row>
    <row r="6" spans="1:18" ht="15.75" customHeight="1" x14ac:dyDescent="0.15">
      <c r="A6" s="263" t="s">
        <v>93</v>
      </c>
      <c r="B6" s="264" t="s">
        <v>94</v>
      </c>
      <c r="C6" s="222">
        <v>0.4</v>
      </c>
      <c r="D6" s="223">
        <v>0.4</v>
      </c>
      <c r="E6" s="224">
        <f>D7</f>
        <v>0.50120481927710847</v>
      </c>
      <c r="F6" s="225"/>
      <c r="G6" s="222">
        <f>H6</f>
        <v>0.05</v>
      </c>
      <c r="H6" s="225">
        <v>0.05</v>
      </c>
      <c r="I6" s="225">
        <f t="shared" ref="I6:J6" si="0">H7</f>
        <v>0</v>
      </c>
      <c r="J6" s="225">
        <f t="shared" si="0"/>
        <v>0</v>
      </c>
      <c r="K6" s="225">
        <f>H7</f>
        <v>0</v>
      </c>
      <c r="L6" s="226">
        <f>121/'Main inputs'!D117</f>
        <v>0.29156626506024097</v>
      </c>
      <c r="M6" s="225">
        <f>L6</f>
        <v>0.29156626506024097</v>
      </c>
      <c r="N6" s="225">
        <f t="shared" ref="N6:O6" si="1">M7</f>
        <v>0.36</v>
      </c>
      <c r="O6" s="227">
        <f t="shared" si="1"/>
        <v>0.40963855421686746</v>
      </c>
      <c r="P6" s="29"/>
      <c r="Q6" s="29"/>
      <c r="R6" s="29"/>
    </row>
    <row r="7" spans="1:18" ht="15.75" customHeight="1" x14ac:dyDescent="0.15">
      <c r="A7" s="263" t="s">
        <v>95</v>
      </c>
      <c r="B7" s="264" t="s">
        <v>94</v>
      </c>
      <c r="C7" s="228">
        <f>C6*1.3</f>
        <v>0.52</v>
      </c>
      <c r="D7" s="229">
        <f>D6+(E7-D6)/2</f>
        <v>0.50120481927710847</v>
      </c>
      <c r="E7" s="230">
        <f>250/'Main inputs'!D117</f>
        <v>0.60240963855421692</v>
      </c>
      <c r="F7" s="231"/>
      <c r="G7" s="228">
        <f>G6*1.3</f>
        <v>6.5000000000000002E-2</v>
      </c>
      <c r="H7" s="230"/>
      <c r="I7" s="230"/>
      <c r="J7" s="230"/>
      <c r="K7" s="230"/>
      <c r="L7" s="228">
        <f>L6*1.3</f>
        <v>0.37903614457831325</v>
      </c>
      <c r="M7" s="230">
        <v>0.36</v>
      </c>
      <c r="N7" s="230">
        <f>170/'Main inputs'!D117</f>
        <v>0.40963855421686746</v>
      </c>
      <c r="O7" s="232">
        <f>300/'Main inputs'!D117</f>
        <v>0.72289156626506024</v>
      </c>
      <c r="P7" s="29"/>
      <c r="Q7" s="29"/>
      <c r="R7" s="29"/>
    </row>
    <row r="8" spans="1:18" ht="15.75" customHeight="1" x14ac:dyDescent="0.15">
      <c r="A8" s="263" t="s">
        <v>96</v>
      </c>
      <c r="B8" s="264" t="s">
        <v>94</v>
      </c>
      <c r="C8" s="233">
        <f t="shared" ref="C8:D8" si="2">C7-C6</f>
        <v>0.12</v>
      </c>
      <c r="D8" s="234">
        <f t="shared" si="2"/>
        <v>0.10120481927710845</v>
      </c>
      <c r="E8" s="234">
        <v>0.06</v>
      </c>
      <c r="F8" s="234">
        <v>0.06</v>
      </c>
      <c r="G8" s="235">
        <v>1.4999999999999999E-2</v>
      </c>
      <c r="H8" s="236">
        <v>1.4999999999999999E-2</v>
      </c>
      <c r="I8" s="236">
        <v>1.4999999999999999E-2</v>
      </c>
      <c r="J8" s="236">
        <v>1.4999999999999999E-2</v>
      </c>
      <c r="K8" s="236">
        <v>1.4999999999999999E-2</v>
      </c>
      <c r="L8" s="233">
        <f>L7-L6</f>
        <v>8.746987951807228E-2</v>
      </c>
      <c r="M8" s="234">
        <v>0.02</v>
      </c>
      <c r="N8" s="234">
        <f>N7-N6</f>
        <v>4.963855421686747E-2</v>
      </c>
      <c r="O8" s="237">
        <v>0.03</v>
      </c>
      <c r="P8" s="29"/>
      <c r="Q8" s="29"/>
      <c r="R8" s="29"/>
    </row>
    <row r="9" spans="1:18" ht="15.75" customHeight="1" x14ac:dyDescent="0.15">
      <c r="G9" s="271"/>
    </row>
    <row r="10" spans="1:18" ht="15.75" customHeight="1" x14ac:dyDescent="0.15">
      <c r="A10" s="199" t="str">
        <f>'Main inputs'!A30</f>
        <v xml:space="preserve"> Rwanda</v>
      </c>
      <c r="B10" s="133"/>
      <c r="C10" s="272" t="str">
        <f>'Main inputs'!C30</f>
        <v>Maize</v>
      </c>
      <c r="D10" s="266"/>
      <c r="E10" s="266"/>
      <c r="F10" s="266"/>
      <c r="G10" s="273"/>
      <c r="H10" s="272" t="str">
        <f>'Main inputs'!H30</f>
        <v>Cassava</v>
      </c>
      <c r="I10" s="266"/>
      <c r="J10" s="272" t="str">
        <f>'Main inputs'!J30</f>
        <v>Beans</v>
      </c>
      <c r="K10" s="266"/>
      <c r="L10" s="266"/>
      <c r="M10" s="273"/>
      <c r="N10" s="29"/>
      <c r="O10" s="29"/>
      <c r="P10" s="29"/>
      <c r="Q10" s="29"/>
      <c r="R10" s="29"/>
    </row>
    <row r="11" spans="1:18" ht="15.75" customHeight="1" x14ac:dyDescent="0.15">
      <c r="A11" s="267" t="s">
        <v>92</v>
      </c>
      <c r="B11" s="267" t="s">
        <v>9</v>
      </c>
      <c r="C11" s="274" t="str">
        <f>'Main inputs'!C31</f>
        <v>Irrigation</v>
      </c>
      <c r="D11" s="274" t="str">
        <f>'Main inputs'!D31</f>
        <v>Drying</v>
      </c>
      <c r="E11" s="274" t="str">
        <f>'Main inputs'!E31</f>
        <v>Shelling</v>
      </c>
      <c r="F11" s="274" t="str">
        <f>'Main inputs'!F31</f>
        <v>Dehulling</v>
      </c>
      <c r="G11" s="274" t="str">
        <f>'Main inputs'!G31</f>
        <v>Milling</v>
      </c>
      <c r="H11" s="274" t="str">
        <f>'Main inputs'!H31</f>
        <v>Irrigation</v>
      </c>
      <c r="I11" s="274" t="str">
        <f>'Main inputs'!I31</f>
        <v>Milling</v>
      </c>
      <c r="J11" s="274" t="str">
        <f>'Main inputs'!J31</f>
        <v>Irrigation</v>
      </c>
      <c r="K11" s="274" t="str">
        <f>'Main inputs'!K31</f>
        <v>Drying</v>
      </c>
      <c r="L11" s="274" t="str">
        <f>'Main inputs'!L31</f>
        <v>Threshing</v>
      </c>
      <c r="M11" s="274" t="str">
        <f>'Main inputs'!M31</f>
        <v>Grinding</v>
      </c>
      <c r="N11" s="29"/>
      <c r="O11" s="29"/>
      <c r="P11" s="29"/>
      <c r="Q11" s="29"/>
      <c r="R11" s="29"/>
    </row>
    <row r="12" spans="1:18" ht="15.75" customHeight="1" x14ac:dyDescent="0.15">
      <c r="A12" s="263" t="s">
        <v>93</v>
      </c>
      <c r="B12" s="264" t="s">
        <v>94</v>
      </c>
      <c r="C12" s="222">
        <f>D12</f>
        <v>0.21632251720747295</v>
      </c>
      <c r="D12" s="225">
        <f>220/'Main inputs'!D118</f>
        <v>0.21632251720747295</v>
      </c>
      <c r="E12" s="225">
        <f t="shared" ref="E12:G12" si="3">D13</f>
        <v>0.35799999999999998</v>
      </c>
      <c r="F12" s="224">
        <f t="shared" si="3"/>
        <v>0.39379999999999998</v>
      </c>
      <c r="G12" s="238">
        <f t="shared" si="3"/>
        <v>0.42959999999999998</v>
      </c>
      <c r="H12" s="239">
        <f>75/'Main inputs'!D118</f>
        <v>7.3746312684365781E-2</v>
      </c>
      <c r="I12" s="225">
        <v>0.23899999999999999</v>
      </c>
      <c r="J12" s="232">
        <v>0.67800000000000005</v>
      </c>
      <c r="K12" s="232">
        <v>0.67800000000000005</v>
      </c>
      <c r="L12" s="232">
        <v>0.67800000000000005</v>
      </c>
      <c r="M12" s="232">
        <v>0.67800000000000005</v>
      </c>
      <c r="N12" s="29"/>
      <c r="O12" s="29"/>
      <c r="P12" s="29"/>
      <c r="Q12" s="29"/>
      <c r="R12" s="29"/>
    </row>
    <row r="13" spans="1:18" ht="15.75" customHeight="1" x14ac:dyDescent="0.15">
      <c r="A13" s="263" t="s">
        <v>95</v>
      </c>
      <c r="B13" s="264" t="s">
        <v>94</v>
      </c>
      <c r="C13" s="228">
        <f>C12*1.3</f>
        <v>0.28121927236971483</v>
      </c>
      <c r="D13" s="230">
        <v>0.35799999999999998</v>
      </c>
      <c r="E13" s="229">
        <f t="shared" ref="E13:F13" si="4">E12+($G$13-$E$12)/3</f>
        <v>0.39379999999999998</v>
      </c>
      <c r="F13" s="229">
        <f t="shared" si="4"/>
        <v>0.42959999999999998</v>
      </c>
      <c r="G13" s="232">
        <f>D13*1.3</f>
        <v>0.46539999999999998</v>
      </c>
      <c r="H13" s="228">
        <f>H12*1.3</f>
        <v>9.5870206489675522E-2</v>
      </c>
      <c r="I13" s="230">
        <f>(300/'Main inputs'!D118)*0.9</f>
        <v>0.26548672566371684</v>
      </c>
      <c r="J13" s="240">
        <f t="shared" ref="J13:M13" si="5">(J12*0.15)+J12</f>
        <v>0.77970000000000006</v>
      </c>
      <c r="K13" s="240">
        <f t="shared" si="5"/>
        <v>0.77970000000000006</v>
      </c>
      <c r="L13" s="240">
        <f t="shared" si="5"/>
        <v>0.77970000000000006</v>
      </c>
      <c r="M13" s="240">
        <f t="shared" si="5"/>
        <v>0.77970000000000006</v>
      </c>
      <c r="N13" s="29"/>
      <c r="O13" s="29"/>
      <c r="P13" s="29"/>
      <c r="Q13" s="29"/>
      <c r="R13" s="29"/>
    </row>
    <row r="14" spans="1:18" ht="15.75" customHeight="1" x14ac:dyDescent="0.15">
      <c r="A14" s="263" t="s">
        <v>96</v>
      </c>
      <c r="B14" s="264" t="s">
        <v>94</v>
      </c>
      <c r="C14" s="233">
        <f t="shared" ref="C14:M14" si="6">C13-C12</f>
        <v>6.4896755162241887E-2</v>
      </c>
      <c r="D14" s="234">
        <f t="shared" si="6"/>
        <v>0.14167748279252704</v>
      </c>
      <c r="E14" s="234">
        <f t="shared" si="6"/>
        <v>3.5799999999999998E-2</v>
      </c>
      <c r="F14" s="234">
        <f t="shared" si="6"/>
        <v>3.5799999999999998E-2</v>
      </c>
      <c r="G14" s="234">
        <f t="shared" si="6"/>
        <v>3.5799999999999998E-2</v>
      </c>
      <c r="H14" s="233">
        <f t="shared" si="6"/>
        <v>2.2123893805309741E-2</v>
      </c>
      <c r="I14" s="234">
        <f t="shared" si="6"/>
        <v>2.6486725663716848E-2</v>
      </c>
      <c r="J14" s="234">
        <f t="shared" si="6"/>
        <v>0.10170000000000001</v>
      </c>
      <c r="K14" s="234">
        <f>K13-K12</f>
        <v>0.10170000000000001</v>
      </c>
      <c r="L14" s="237">
        <f t="shared" si="6"/>
        <v>0.10170000000000001</v>
      </c>
      <c r="M14" s="237">
        <f t="shared" si="6"/>
        <v>0.10170000000000001</v>
      </c>
      <c r="N14" s="29"/>
      <c r="O14" s="29"/>
      <c r="P14" s="29"/>
      <c r="Q14" s="29"/>
      <c r="R14" s="29"/>
    </row>
    <row r="16" spans="1:18" ht="15.75" customHeight="1" x14ac:dyDescent="0.15">
      <c r="A16" s="216" t="str">
        <f>'Main inputs'!A58</f>
        <v>Zambia</v>
      </c>
      <c r="B16" s="133"/>
      <c r="C16" s="269" t="str">
        <f>'Main inputs'!C58</f>
        <v>Maize</v>
      </c>
      <c r="D16" s="266"/>
      <c r="E16" s="266"/>
      <c r="F16" s="266"/>
      <c r="G16" s="269" t="str">
        <f>'Main inputs'!G58</f>
        <v>Cassava</v>
      </c>
      <c r="H16" s="266"/>
      <c r="I16" s="266"/>
      <c r="J16" s="266"/>
      <c r="K16" s="266"/>
      <c r="L16" s="269" t="str">
        <f>'Main inputs'!L58</f>
        <v>Groundnuts</v>
      </c>
      <c r="M16" s="266"/>
      <c r="N16" s="266"/>
      <c r="O16" s="266"/>
      <c r="P16" s="266"/>
      <c r="Q16" s="29"/>
      <c r="R16" s="29"/>
    </row>
    <row r="17" spans="1:18" ht="15.75" customHeight="1" x14ac:dyDescent="0.15">
      <c r="A17" s="267" t="s">
        <v>92</v>
      </c>
      <c r="B17" s="267" t="s">
        <v>9</v>
      </c>
      <c r="C17" s="270" t="str">
        <f>'Main inputs'!C59</f>
        <v>Irrigation</v>
      </c>
      <c r="D17" s="270" t="str">
        <f>'Main inputs'!D59</f>
        <v>Shelling</v>
      </c>
      <c r="E17" s="270" t="str">
        <f>'Main inputs'!E59</f>
        <v>Dehulling</v>
      </c>
      <c r="F17" s="270" t="str">
        <f>'Main inputs'!F59</f>
        <v>Milling</v>
      </c>
      <c r="G17" s="270" t="str">
        <f>'Main inputs'!G59</f>
        <v>Irrigation</v>
      </c>
      <c r="H17" s="270" t="str">
        <f>'Main inputs'!H59</f>
        <v>Peeling</v>
      </c>
      <c r="I17" s="270" t="str">
        <f>'Main inputs'!I59</f>
        <v>Grating</v>
      </c>
      <c r="J17" s="270" t="str">
        <f>'Main inputs'!J59</f>
        <v>Milling</v>
      </c>
      <c r="K17" s="270" t="str">
        <f>'Main inputs'!K59</f>
        <v>Chipping</v>
      </c>
      <c r="L17" s="270" t="str">
        <f>'Main inputs'!L59</f>
        <v>Irrigation</v>
      </c>
      <c r="M17" s="270" t="str">
        <f>'Main inputs'!M59</f>
        <v>Shelling</v>
      </c>
      <c r="N17" s="270" t="str">
        <f>'Main inputs'!N59</f>
        <v>Oil pressing</v>
      </c>
      <c r="O17" s="270" t="str">
        <f>'Main inputs'!O59</f>
        <v>Crushing</v>
      </c>
      <c r="P17" s="270" t="str">
        <f>'Main inputs'!P59</f>
        <v>Peanut butter</v>
      </c>
      <c r="Q17" s="29"/>
      <c r="R17" s="29"/>
    </row>
    <row r="18" spans="1:18" ht="15.75" customHeight="1" x14ac:dyDescent="0.15">
      <c r="A18" s="263" t="s">
        <v>93</v>
      </c>
      <c r="B18" s="264" t="s">
        <v>94</v>
      </c>
      <c r="C18" s="225">
        <v>0.24299999999999999</v>
      </c>
      <c r="D18" s="225">
        <v>0.24299999999999999</v>
      </c>
      <c r="E18" s="224">
        <f t="shared" ref="E18:F18" si="7">D19</f>
        <v>0.26700000000000002</v>
      </c>
      <c r="F18" s="224">
        <f t="shared" si="7"/>
        <v>0.29100000000000004</v>
      </c>
      <c r="G18" s="222">
        <f>H18</f>
        <v>0.06</v>
      </c>
      <c r="H18" s="225">
        <v>0.06</v>
      </c>
      <c r="I18" s="239">
        <f>H19</f>
        <v>0.08</v>
      </c>
      <c r="J18" s="224">
        <f>J19-J20</f>
        <v>0.254</v>
      </c>
      <c r="K18" s="238"/>
      <c r="L18" s="239">
        <v>0.41</v>
      </c>
      <c r="M18" s="225"/>
      <c r="N18" s="238">
        <v>0.73</v>
      </c>
      <c r="O18" s="224"/>
      <c r="P18" s="241">
        <v>1</v>
      </c>
      <c r="Q18" s="29"/>
      <c r="R18" s="29"/>
    </row>
    <row r="19" spans="1:18" ht="15.75" customHeight="1" x14ac:dyDescent="0.15">
      <c r="A19" s="263" t="s">
        <v>95</v>
      </c>
      <c r="B19" s="264" t="s">
        <v>94</v>
      </c>
      <c r="C19" s="228">
        <f>C18*1.3</f>
        <v>0.31590000000000001</v>
      </c>
      <c r="D19" s="229">
        <f t="shared" ref="D19:E19" si="8">D18+($F$19-$D$18)/3</f>
        <v>0.26700000000000002</v>
      </c>
      <c r="E19" s="229">
        <f t="shared" si="8"/>
        <v>0.29100000000000004</v>
      </c>
      <c r="F19" s="230">
        <v>0.315</v>
      </c>
      <c r="G19" s="228">
        <f>G18*1.3</f>
        <v>7.8E-2</v>
      </c>
      <c r="H19" s="229">
        <f t="shared" ref="H19:I19" si="9">H18+H20</f>
        <v>0.08</v>
      </c>
      <c r="I19" s="229">
        <f t="shared" si="9"/>
        <v>0.1</v>
      </c>
      <c r="J19" s="230">
        <v>0.27400000000000002</v>
      </c>
      <c r="K19" s="232"/>
      <c r="L19" s="228">
        <f>L18*1.3</f>
        <v>0.53300000000000003</v>
      </c>
      <c r="M19" s="229"/>
      <c r="N19" s="231">
        <v>2.39</v>
      </c>
      <c r="O19" s="229"/>
      <c r="P19" s="232">
        <f>(2.39*0.6)</f>
        <v>1.4339999999999999</v>
      </c>
      <c r="Q19" s="29"/>
      <c r="R19" s="29"/>
    </row>
    <row r="20" spans="1:18" ht="15.75" customHeight="1" x14ac:dyDescent="0.15">
      <c r="A20" s="263" t="s">
        <v>96</v>
      </c>
      <c r="B20" s="264" t="s">
        <v>94</v>
      </c>
      <c r="C20" s="233">
        <f t="shared" ref="C20:G20" si="10">C19-C18</f>
        <v>7.290000000000002E-2</v>
      </c>
      <c r="D20" s="234">
        <f t="shared" si="10"/>
        <v>2.4000000000000021E-2</v>
      </c>
      <c r="E20" s="234">
        <f t="shared" si="10"/>
        <v>2.4000000000000021E-2</v>
      </c>
      <c r="F20" s="234">
        <f t="shared" si="10"/>
        <v>2.3999999999999966E-2</v>
      </c>
      <c r="G20" s="233">
        <f t="shared" si="10"/>
        <v>1.8000000000000002E-2</v>
      </c>
      <c r="H20" s="234">
        <v>0.02</v>
      </c>
      <c r="I20" s="234">
        <v>0.02</v>
      </c>
      <c r="J20" s="234">
        <v>0.02</v>
      </c>
      <c r="K20" s="234">
        <v>0.02</v>
      </c>
      <c r="L20" s="233">
        <f>L19-L18</f>
        <v>0.12300000000000005</v>
      </c>
      <c r="M20" s="234">
        <v>0.04</v>
      </c>
      <c r="N20" s="234">
        <f>N19-N18</f>
        <v>1.6600000000000001</v>
      </c>
      <c r="O20" s="234">
        <v>0.03</v>
      </c>
      <c r="P20" s="237">
        <f>P19-P18</f>
        <v>0.43399999999999994</v>
      </c>
      <c r="Q20" s="29"/>
      <c r="R20" s="29"/>
    </row>
    <row r="22" spans="1:18" ht="15.75" customHeight="1" x14ac:dyDescent="0.15">
      <c r="A22" s="170" t="str">
        <f>'Main inputs'!A86</f>
        <v xml:space="preserve"> Zimbabwe</v>
      </c>
      <c r="B22" s="133"/>
      <c r="C22" s="265" t="str">
        <f>'Main inputs'!C86</f>
        <v>Maize</v>
      </c>
      <c r="D22" s="266"/>
      <c r="E22" s="266"/>
      <c r="F22" s="266"/>
      <c r="G22" s="265" t="str">
        <f>'Main inputs'!G86</f>
        <v>Groundnuts</v>
      </c>
      <c r="H22" s="266"/>
      <c r="I22" s="266"/>
      <c r="J22" s="266"/>
      <c r="K22" s="266"/>
      <c r="L22" s="265" t="str">
        <f>'Main inputs'!L86</f>
        <v>Sorghum</v>
      </c>
      <c r="M22" s="266"/>
      <c r="N22" s="266"/>
      <c r="O22" s="266"/>
      <c r="P22" s="29"/>
      <c r="Q22" s="29"/>
      <c r="R22" s="29"/>
    </row>
    <row r="23" spans="1:18" ht="15.75" customHeight="1" x14ac:dyDescent="0.15">
      <c r="A23" s="267" t="s">
        <v>92</v>
      </c>
      <c r="B23" s="267" t="s">
        <v>9</v>
      </c>
      <c r="C23" s="268" t="str">
        <f>'Main inputs'!C87</f>
        <v>Irrigation</v>
      </c>
      <c r="D23" s="268" t="str">
        <f>'Main inputs'!D87</f>
        <v>Shelling</v>
      </c>
      <c r="E23" s="268" t="str">
        <f>'Main inputs'!E87</f>
        <v>Dehulling</v>
      </c>
      <c r="F23" s="268" t="str">
        <f>'Main inputs'!F87</f>
        <v>Milling</v>
      </c>
      <c r="G23" s="268" t="str">
        <f>'Main inputs'!G87</f>
        <v>Irrigation</v>
      </c>
      <c r="H23" s="268" t="str">
        <f>'Main inputs'!H87</f>
        <v>Shelling</v>
      </c>
      <c r="I23" s="268" t="str">
        <f>'Main inputs'!I87</f>
        <v>De-skinning</v>
      </c>
      <c r="J23" s="268" t="str">
        <f>'Main inputs'!J87</f>
        <v>Roasting</v>
      </c>
      <c r="K23" s="268" t="str">
        <f>'Main inputs'!K87</f>
        <v>Peanut butter</v>
      </c>
      <c r="L23" s="268" t="str">
        <f>'Main inputs'!L87</f>
        <v>Irrigation</v>
      </c>
      <c r="M23" s="268" t="str">
        <f>'Main inputs'!M87</f>
        <v>Threshing</v>
      </c>
      <c r="N23" s="268" t="str">
        <f>'Main inputs'!N87</f>
        <v>Dehulling</v>
      </c>
      <c r="O23" s="268" t="str">
        <f>'Main inputs'!O87</f>
        <v>Milling</v>
      </c>
      <c r="P23" s="29"/>
      <c r="Q23" s="29"/>
      <c r="R23" s="29"/>
    </row>
    <row r="24" spans="1:18" ht="15.75" customHeight="1" x14ac:dyDescent="0.15">
      <c r="A24" s="263" t="s">
        <v>93</v>
      </c>
      <c r="B24" s="264" t="s">
        <v>94</v>
      </c>
      <c r="C24" s="242">
        <v>0.29099999999999998</v>
      </c>
      <c r="D24" s="242">
        <v>0.29099999999999998</v>
      </c>
      <c r="E24" s="242">
        <v>0.29099999999999998</v>
      </c>
      <c r="F24" s="242">
        <v>0.29099999999999998</v>
      </c>
      <c r="G24" s="243">
        <v>0.23</v>
      </c>
      <c r="H24" s="242">
        <v>0.17</v>
      </c>
      <c r="I24" s="242">
        <v>0.17</v>
      </c>
      <c r="J24" s="242">
        <v>0.17</v>
      </c>
      <c r="K24" s="244">
        <v>0.95</v>
      </c>
      <c r="L24" s="50">
        <v>0.19</v>
      </c>
      <c r="M24" s="50">
        <v>0.19</v>
      </c>
      <c r="N24" s="50">
        <v>0.19</v>
      </c>
      <c r="O24" s="50">
        <v>0.19</v>
      </c>
      <c r="P24" s="29"/>
      <c r="Q24" s="29"/>
      <c r="R24" s="29"/>
    </row>
    <row r="25" spans="1:18" ht="15.75" customHeight="1" x14ac:dyDescent="0.15">
      <c r="A25" s="263" t="s">
        <v>95</v>
      </c>
      <c r="B25" s="264" t="s">
        <v>94</v>
      </c>
      <c r="C25" s="228">
        <f>C24*1.3</f>
        <v>0.37829999999999997</v>
      </c>
      <c r="D25" s="245">
        <f t="shared" ref="D25:F25" si="11">D24*1.2</f>
        <v>0.34919999999999995</v>
      </c>
      <c r="E25" s="245">
        <f t="shared" si="11"/>
        <v>0.34919999999999995</v>
      </c>
      <c r="F25" s="245">
        <f t="shared" si="11"/>
        <v>0.34919999999999995</v>
      </c>
      <c r="G25" s="228">
        <f>G24*1.3</f>
        <v>0.29900000000000004</v>
      </c>
      <c r="H25" s="246">
        <v>0.4</v>
      </c>
      <c r="I25" s="246">
        <v>0.4</v>
      </c>
      <c r="J25" s="246">
        <v>0.4</v>
      </c>
      <c r="K25" s="90">
        <f>K33*0.6</f>
        <v>1.4256</v>
      </c>
      <c r="L25" s="228">
        <f>L24*1.3</f>
        <v>0.24700000000000003</v>
      </c>
      <c r="M25" s="247">
        <v>0.29099999999999998</v>
      </c>
      <c r="N25" s="247">
        <v>0.29099999999999998</v>
      </c>
      <c r="O25" s="247">
        <v>0.29099999999999998</v>
      </c>
      <c r="P25" s="29"/>
      <c r="Q25" s="29"/>
      <c r="R25" s="29"/>
    </row>
    <row r="26" spans="1:18" ht="15.75" customHeight="1" x14ac:dyDescent="0.15">
      <c r="A26" s="263" t="s">
        <v>96</v>
      </c>
      <c r="B26" s="264" t="s">
        <v>94</v>
      </c>
      <c r="C26" s="248">
        <f t="shared" ref="C26:O26" si="12">C25-C24</f>
        <v>8.7299999999999989E-2</v>
      </c>
      <c r="D26" s="249">
        <f t="shared" si="12"/>
        <v>5.8199999999999974E-2</v>
      </c>
      <c r="E26" s="249">
        <f t="shared" si="12"/>
        <v>5.8199999999999974E-2</v>
      </c>
      <c r="F26" s="249">
        <f t="shared" si="12"/>
        <v>5.8199999999999974E-2</v>
      </c>
      <c r="G26" s="248">
        <f t="shared" si="12"/>
        <v>6.9000000000000034E-2</v>
      </c>
      <c r="H26" s="249">
        <f t="shared" si="12"/>
        <v>0.23</v>
      </c>
      <c r="I26" s="249">
        <f t="shared" si="12"/>
        <v>0.23</v>
      </c>
      <c r="J26" s="249">
        <f t="shared" si="12"/>
        <v>0.23</v>
      </c>
      <c r="K26" s="249">
        <f t="shared" si="12"/>
        <v>0.47560000000000002</v>
      </c>
      <c r="L26" s="249">
        <f t="shared" si="12"/>
        <v>5.7000000000000023E-2</v>
      </c>
      <c r="M26" s="250">
        <f t="shared" si="12"/>
        <v>0.10099999999999998</v>
      </c>
      <c r="N26" s="250">
        <f t="shared" si="12"/>
        <v>0.10099999999999998</v>
      </c>
      <c r="O26" s="250">
        <f t="shared" si="12"/>
        <v>0.10099999999999998</v>
      </c>
      <c r="P26" s="29"/>
      <c r="Q26" s="29"/>
      <c r="R26" s="29"/>
    </row>
    <row r="28" spans="1:18" ht="15.75" customHeight="1" x14ac:dyDescent="0.15">
      <c r="A28" s="29"/>
      <c r="B28" s="29"/>
      <c r="C28" s="29"/>
      <c r="D28" s="29"/>
      <c r="E28" s="29"/>
      <c r="F28" s="29"/>
      <c r="G28" s="29"/>
      <c r="H28" s="29"/>
      <c r="I28" s="29"/>
      <c r="J28" s="251" t="s">
        <v>97</v>
      </c>
      <c r="K28" s="108"/>
      <c r="L28" s="108"/>
      <c r="M28" s="108"/>
      <c r="N28" s="108"/>
      <c r="O28" s="252"/>
    </row>
    <row r="29" spans="1:18" ht="15.75" customHeight="1" x14ac:dyDescent="0.15">
      <c r="A29" s="29"/>
      <c r="B29" s="29"/>
      <c r="C29" s="29"/>
      <c r="D29" s="29"/>
      <c r="E29" s="29"/>
      <c r="F29" s="29"/>
      <c r="G29" s="29"/>
      <c r="H29" s="29"/>
      <c r="I29" s="29"/>
      <c r="J29" s="253" t="s">
        <v>98</v>
      </c>
      <c r="K29" s="254">
        <v>1</v>
      </c>
      <c r="L29" s="254" t="s">
        <v>37</v>
      </c>
      <c r="M29" s="254"/>
      <c r="N29" s="255" t="s">
        <v>99</v>
      </c>
      <c r="O29" s="256"/>
    </row>
    <row r="30" spans="1:18" ht="15.75" customHeight="1" x14ac:dyDescent="0.15">
      <c r="A30" s="29"/>
      <c r="B30" s="29"/>
      <c r="C30" s="29"/>
      <c r="D30" s="29"/>
      <c r="E30" s="29"/>
      <c r="F30" s="29"/>
      <c r="G30" s="29"/>
      <c r="H30" s="29"/>
      <c r="I30" s="29"/>
      <c r="J30" s="253" t="s">
        <v>100</v>
      </c>
      <c r="K30" s="254">
        <v>0.9</v>
      </c>
      <c r="L30" s="254" t="s">
        <v>101</v>
      </c>
      <c r="M30" s="253"/>
      <c r="N30" s="255" t="s">
        <v>102</v>
      </c>
      <c r="O30" s="256"/>
    </row>
    <row r="31" spans="1:18" ht="15.75" customHeight="1" x14ac:dyDescent="0.15">
      <c r="A31" s="29"/>
      <c r="B31" s="29"/>
      <c r="C31" s="29"/>
      <c r="D31" s="29"/>
      <c r="E31" s="29"/>
      <c r="F31" s="29"/>
      <c r="G31" s="29"/>
      <c r="H31" s="29"/>
      <c r="I31" s="29"/>
      <c r="J31" s="253"/>
      <c r="K31" s="253">
        <f>K30*N33</f>
        <v>891</v>
      </c>
      <c r="L31" s="254" t="s">
        <v>103</v>
      </c>
      <c r="M31" s="253"/>
      <c r="N31" s="255" t="s">
        <v>104</v>
      </c>
      <c r="O31" s="256"/>
    </row>
    <row r="32" spans="1:18" ht="15.75" customHeight="1" x14ac:dyDescent="0.15">
      <c r="A32" s="29"/>
      <c r="B32" s="29"/>
      <c r="C32" s="29"/>
      <c r="D32" s="29"/>
      <c r="E32" s="29"/>
      <c r="F32" s="29"/>
      <c r="G32" s="29"/>
      <c r="H32" s="29"/>
      <c r="I32" s="29"/>
      <c r="J32" s="253" t="s">
        <v>105</v>
      </c>
      <c r="K32" s="253">
        <f>K31/375</f>
        <v>2.3759999999999999</v>
      </c>
      <c r="L32" s="253"/>
      <c r="M32" s="253"/>
      <c r="N32" s="254" t="s">
        <v>103</v>
      </c>
      <c r="O32" s="257" t="s">
        <v>101</v>
      </c>
    </row>
    <row r="33" spans="1:15" ht="15.75" customHeight="1" x14ac:dyDescent="0.15">
      <c r="A33" s="29"/>
      <c r="B33" s="29"/>
      <c r="C33" s="29"/>
      <c r="D33" s="29"/>
      <c r="E33" s="29"/>
      <c r="F33" s="29"/>
      <c r="G33" s="29"/>
      <c r="H33" s="29"/>
      <c r="I33" s="29"/>
      <c r="J33" s="258" t="s">
        <v>106</v>
      </c>
      <c r="K33" s="259">
        <f>K29*K32</f>
        <v>2.3759999999999999</v>
      </c>
      <c r="L33" s="259" t="s">
        <v>107</v>
      </c>
      <c r="M33" s="260"/>
      <c r="N33" s="261">
        <v>990</v>
      </c>
      <c r="O33" s="262">
        <v>1</v>
      </c>
    </row>
  </sheetData>
  <sheetProtection algorithmName="SHA-512" hashValue="HAUWrfN4pdQq6l80UZV32x4CDbrl2NLvclMoyX1BpmWCDUuC5U0LJM1NVFD1MCOQCla+9tCSNLBZIc3Wtf5nxA==" saltValue="ySmhEjPAy5XUUE4zpchtng==" spinCount="100000" sheet="1" objects="1" scenarios="1"/>
  <mergeCells count="18">
    <mergeCell ref="A10:B10"/>
    <mergeCell ref="C10:G10"/>
    <mergeCell ref="C22:F22"/>
    <mergeCell ref="G22:K22"/>
    <mergeCell ref="J28:O28"/>
    <mergeCell ref="H10:I10"/>
    <mergeCell ref="J10:M10"/>
    <mergeCell ref="A16:B16"/>
    <mergeCell ref="C16:F16"/>
    <mergeCell ref="G16:K16"/>
    <mergeCell ref="L16:P16"/>
    <mergeCell ref="A22:B22"/>
    <mergeCell ref="L22:O22"/>
    <mergeCell ref="C1:P1"/>
    <mergeCell ref="A4:B4"/>
    <mergeCell ref="C4:F4"/>
    <mergeCell ref="G4:K4"/>
    <mergeCell ref="L4:O4"/>
  </mergeCells>
  <hyperlinks>
    <hyperlink ref="N29" r:id="rId1" xr:uid="{00000000-0004-0000-0100-000000000000}"/>
    <hyperlink ref="N30" r:id="rId2" xr:uid="{00000000-0004-0000-0100-000001000000}"/>
    <hyperlink ref="N31" r:id="rId3" xr:uid="{00000000-0004-0000-0100-000002000000}"/>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Q47"/>
  <sheetViews>
    <sheetView tabSelected="1" workbookViewId="0">
      <pane xSplit="2" ySplit="3" topLeftCell="C4" activePane="bottomRight" state="frozen"/>
      <selection pane="topRight" activeCell="B1" sqref="B1"/>
      <selection pane="bottomLeft" activeCell="A4" sqref="A4"/>
      <selection pane="bottomRight" activeCell="K22" sqref="K22"/>
    </sheetView>
  </sheetViews>
  <sheetFormatPr baseColWidth="10" defaultColWidth="12.6640625" defaultRowHeight="15.75" customHeight="1" outlineLevelRow="2" x14ac:dyDescent="0.15"/>
  <cols>
    <col min="1" max="1" width="12.6640625" style="134"/>
    <col min="2" max="2" width="21.83203125" style="134" customWidth="1"/>
    <col min="3" max="16384" width="12.6640625" style="134"/>
  </cols>
  <sheetData>
    <row r="1" spans="2:57" ht="15.75" customHeight="1" x14ac:dyDescent="0.15">
      <c r="B1" s="286"/>
      <c r="C1" s="287" t="str">
        <f>'Main inputs'!A2</f>
        <v>Nigeria</v>
      </c>
      <c r="D1" s="266"/>
      <c r="E1" s="266"/>
      <c r="F1" s="266"/>
      <c r="G1" s="266"/>
      <c r="H1" s="266"/>
      <c r="I1" s="266"/>
      <c r="J1" s="266"/>
      <c r="K1" s="266"/>
      <c r="L1" s="266"/>
      <c r="M1" s="266"/>
      <c r="N1" s="266"/>
      <c r="O1" s="273"/>
      <c r="P1" s="288"/>
      <c r="Q1" s="289" t="str">
        <f>'Main inputs'!A30</f>
        <v xml:space="preserve"> Rwanda</v>
      </c>
      <c r="R1" s="133"/>
      <c r="S1" s="133"/>
      <c r="T1" s="133"/>
      <c r="U1" s="133"/>
      <c r="V1" s="133"/>
      <c r="W1" s="133"/>
      <c r="X1" s="133"/>
      <c r="Y1" s="133"/>
      <c r="Z1" s="133"/>
      <c r="AA1" s="290"/>
      <c r="AB1" s="290"/>
      <c r="AC1" s="216" t="str">
        <f>'Main inputs'!A58</f>
        <v>Zambia</v>
      </c>
      <c r="AD1" s="133"/>
      <c r="AE1" s="133"/>
      <c r="AF1" s="133"/>
      <c r="AG1" s="133"/>
      <c r="AH1" s="133"/>
      <c r="AI1" s="133"/>
      <c r="AJ1" s="133"/>
      <c r="AK1" s="133"/>
      <c r="AL1" s="133"/>
      <c r="AM1" s="133"/>
      <c r="AN1" s="133"/>
      <c r="AO1" s="133"/>
      <c r="AP1" s="133"/>
      <c r="AQ1" s="291"/>
      <c r="AR1" s="170" t="str">
        <f>'Main inputs'!A86</f>
        <v xml:space="preserve"> Zimbabwe</v>
      </c>
      <c r="AS1" s="133"/>
      <c r="AT1" s="133"/>
      <c r="AU1" s="133"/>
      <c r="AV1" s="133"/>
      <c r="AW1" s="133"/>
      <c r="AX1" s="133"/>
      <c r="AY1" s="133"/>
      <c r="AZ1" s="133"/>
      <c r="BA1" s="133"/>
      <c r="BB1" s="133"/>
      <c r="BC1" s="133"/>
      <c r="BD1" s="133"/>
      <c r="BE1" s="292"/>
    </row>
    <row r="2" spans="2:57" ht="15.75" customHeight="1" x14ac:dyDescent="0.15">
      <c r="B2" s="286"/>
      <c r="C2" s="293" t="str">
        <f>'Main inputs'!C2</f>
        <v>Maize</v>
      </c>
      <c r="D2" s="266"/>
      <c r="E2" s="266"/>
      <c r="F2" s="273"/>
      <c r="G2" s="279" t="str">
        <f>'Main inputs'!G2</f>
        <v>Cassava</v>
      </c>
      <c r="H2" s="266"/>
      <c r="I2" s="266"/>
      <c r="J2" s="266"/>
      <c r="K2" s="273"/>
      <c r="L2" s="279" t="str">
        <f>'Main inputs'!L2</f>
        <v>Rice</v>
      </c>
      <c r="M2" s="266"/>
      <c r="N2" s="266"/>
      <c r="O2" s="273"/>
      <c r="P2" s="294" t="str">
        <f>'Main inputs'!P2</f>
        <v>Tomato</v>
      </c>
      <c r="Q2" s="272" t="str">
        <f>'Main inputs'!C30</f>
        <v>Maize</v>
      </c>
      <c r="R2" s="266"/>
      <c r="S2" s="266"/>
      <c r="T2" s="266"/>
      <c r="U2" s="273"/>
      <c r="V2" s="272" t="str">
        <f>'Main inputs'!H30</f>
        <v>Cassava</v>
      </c>
      <c r="W2" s="273"/>
      <c r="X2" s="272" t="str">
        <f>'Main inputs'!J30</f>
        <v>Beans</v>
      </c>
      <c r="Y2" s="266"/>
      <c r="Z2" s="266"/>
      <c r="AA2" s="273"/>
      <c r="AB2" s="295" t="str">
        <f>'Main inputs'!N30</f>
        <v>Tomato</v>
      </c>
      <c r="AC2" s="269" t="str">
        <f>'Main inputs'!C58</f>
        <v>Maize</v>
      </c>
      <c r="AD2" s="266"/>
      <c r="AE2" s="266"/>
      <c r="AF2" s="273"/>
      <c r="AG2" s="269" t="str">
        <f>'Main inputs'!G58</f>
        <v>Cassava</v>
      </c>
      <c r="AH2" s="266"/>
      <c r="AI2" s="266"/>
      <c r="AJ2" s="266"/>
      <c r="AK2" s="273"/>
      <c r="AL2" s="269" t="str">
        <f>'Main inputs'!L58</f>
        <v>Groundnuts</v>
      </c>
      <c r="AM2" s="266"/>
      <c r="AN2" s="266"/>
      <c r="AO2" s="266"/>
      <c r="AP2" s="273"/>
      <c r="AQ2" s="296" t="str">
        <f>'Main inputs'!Q58</f>
        <v>Tomato</v>
      </c>
      <c r="AR2" s="265" t="str">
        <f>'Main inputs'!C86</f>
        <v>Maize</v>
      </c>
      <c r="AS2" s="266"/>
      <c r="AT2" s="266"/>
      <c r="AU2" s="273"/>
      <c r="AV2" s="265" t="str">
        <f>'Main inputs'!G86</f>
        <v>Groundnuts</v>
      </c>
      <c r="AW2" s="266"/>
      <c r="AX2" s="266"/>
      <c r="AY2" s="266"/>
      <c r="AZ2" s="273"/>
      <c r="BA2" s="265" t="str">
        <f>'Main inputs'!L86</f>
        <v>Sorghum</v>
      </c>
      <c r="BB2" s="266"/>
      <c r="BC2" s="266"/>
      <c r="BD2" s="273"/>
      <c r="BE2" s="297" t="str">
        <f>'Main inputs'!P86</f>
        <v>Tomato</v>
      </c>
    </row>
    <row r="3" spans="2:57" ht="15.75" customHeight="1" x14ac:dyDescent="0.15">
      <c r="B3" s="286"/>
      <c r="C3" s="298" t="str">
        <f>'Main inputs'!C3</f>
        <v>Irrigation</v>
      </c>
      <c r="D3" s="298" t="str">
        <f>'Main inputs'!D3</f>
        <v>Drying</v>
      </c>
      <c r="E3" s="298" t="str">
        <f>'Main inputs'!E3</f>
        <v>Shelling</v>
      </c>
      <c r="F3" s="298" t="str">
        <f>'Main inputs'!F3</f>
        <v>Milling</v>
      </c>
      <c r="G3" s="298" t="str">
        <f>'Main inputs'!G3</f>
        <v>Irrigation</v>
      </c>
      <c r="H3" s="298" t="str">
        <f>'Main inputs'!H3</f>
        <v>Peeling</v>
      </c>
      <c r="I3" s="298" t="str">
        <f>'Main inputs'!I3</f>
        <v>Grating</v>
      </c>
      <c r="J3" s="298" t="str">
        <f>'Main inputs'!J3</f>
        <v>Milling</v>
      </c>
      <c r="K3" s="298" t="str">
        <f>'Main inputs'!K3</f>
        <v>Chipping</v>
      </c>
      <c r="L3" s="280" t="str">
        <f>'Main inputs'!L3</f>
        <v>Irrigation</v>
      </c>
      <c r="M3" s="280" t="str">
        <f>'Main inputs'!M3</f>
        <v>Threshing</v>
      </c>
      <c r="N3" s="280" t="str">
        <f>'Main inputs'!N3</f>
        <v>Drying</v>
      </c>
      <c r="O3" s="280" t="str">
        <f>'Main inputs'!O3</f>
        <v>Milling</v>
      </c>
      <c r="P3" s="280" t="str">
        <f>'Main inputs'!P3</f>
        <v>Irrigation</v>
      </c>
      <c r="Q3" s="274" t="str">
        <f>'Main inputs'!C31</f>
        <v>Irrigation</v>
      </c>
      <c r="R3" s="274" t="str">
        <f>'Main inputs'!D31</f>
        <v>Drying</v>
      </c>
      <c r="S3" s="274" t="str">
        <f>'Main inputs'!E31</f>
        <v>Shelling</v>
      </c>
      <c r="T3" s="274" t="str">
        <f>'Main inputs'!F31</f>
        <v>Dehulling</v>
      </c>
      <c r="U3" s="274" t="str">
        <f>'Main inputs'!G31</f>
        <v>Milling</v>
      </c>
      <c r="V3" s="274" t="str">
        <f>'Main inputs'!H31</f>
        <v>Irrigation</v>
      </c>
      <c r="W3" s="274" t="str">
        <f>'Main inputs'!I31</f>
        <v>Milling</v>
      </c>
      <c r="X3" s="274" t="str">
        <f>'Main inputs'!J31</f>
        <v>Irrigation</v>
      </c>
      <c r="Y3" s="274" t="str">
        <f>'Main inputs'!K31</f>
        <v>Drying</v>
      </c>
      <c r="Z3" s="274" t="str">
        <f>'Main inputs'!L31</f>
        <v>Threshing</v>
      </c>
      <c r="AA3" s="274" t="str">
        <f>'Main inputs'!M31</f>
        <v>Grinding</v>
      </c>
      <c r="AB3" s="274" t="str">
        <f>'Main inputs'!N31</f>
        <v>Irrigation</v>
      </c>
      <c r="AC3" s="270" t="str">
        <f>'Main inputs'!C59</f>
        <v>Irrigation</v>
      </c>
      <c r="AD3" s="270" t="str">
        <f>'Main inputs'!D59</f>
        <v>Shelling</v>
      </c>
      <c r="AE3" s="270" t="str">
        <f>'Main inputs'!E59</f>
        <v>Dehulling</v>
      </c>
      <c r="AF3" s="270" t="str">
        <f>'Main inputs'!F59</f>
        <v>Milling</v>
      </c>
      <c r="AG3" s="270" t="str">
        <f>'Main inputs'!G59</f>
        <v>Irrigation</v>
      </c>
      <c r="AH3" s="270" t="str">
        <f>'Main inputs'!H59</f>
        <v>Peeling</v>
      </c>
      <c r="AI3" s="270" t="str">
        <f>'Main inputs'!I59</f>
        <v>Grating</v>
      </c>
      <c r="AJ3" s="270" t="str">
        <f>'Main inputs'!J59</f>
        <v>Milling</v>
      </c>
      <c r="AK3" s="270" t="str">
        <f>'Main inputs'!K59</f>
        <v>Chipping</v>
      </c>
      <c r="AL3" s="270" t="str">
        <f>'Main inputs'!L59</f>
        <v>Irrigation</v>
      </c>
      <c r="AM3" s="270" t="str">
        <f>'Main inputs'!M59</f>
        <v>Shelling</v>
      </c>
      <c r="AN3" s="270" t="str">
        <f>'Main inputs'!N59</f>
        <v>Oil pressing</v>
      </c>
      <c r="AO3" s="270" t="str">
        <f>'Main inputs'!O59</f>
        <v>Crushing</v>
      </c>
      <c r="AP3" s="270" t="str">
        <f>'Main inputs'!P59</f>
        <v>Peanut butter</v>
      </c>
      <c r="AQ3" s="270" t="str">
        <f>'Main inputs'!Q59</f>
        <v>Irrigation</v>
      </c>
      <c r="AR3" s="268" t="str">
        <f>'Main inputs'!C87</f>
        <v>Irrigation</v>
      </c>
      <c r="AS3" s="268" t="str">
        <f>'Main inputs'!D87</f>
        <v>Shelling</v>
      </c>
      <c r="AT3" s="268" t="str">
        <f>'Main inputs'!E87</f>
        <v>Dehulling</v>
      </c>
      <c r="AU3" s="268" t="str">
        <f>'Main inputs'!F87</f>
        <v>Milling</v>
      </c>
      <c r="AV3" s="268" t="str">
        <f>'Main inputs'!G87</f>
        <v>Irrigation</v>
      </c>
      <c r="AW3" s="268" t="str">
        <f>'Main inputs'!H87</f>
        <v>Shelling</v>
      </c>
      <c r="AX3" s="268" t="str">
        <f>'Main inputs'!I87</f>
        <v>De-skinning</v>
      </c>
      <c r="AY3" s="268" t="str">
        <f>'Main inputs'!J87</f>
        <v>Roasting</v>
      </c>
      <c r="AZ3" s="268" t="str">
        <f>'Main inputs'!K87</f>
        <v>Peanut butter</v>
      </c>
      <c r="BA3" s="268" t="str">
        <f>'Main inputs'!L87</f>
        <v>Irrigation</v>
      </c>
      <c r="BB3" s="268" t="str">
        <f>'Main inputs'!M87</f>
        <v>Threshing</v>
      </c>
      <c r="BC3" s="268" t="str">
        <f>'Main inputs'!N87</f>
        <v>Dehulling</v>
      </c>
      <c r="BD3" s="268" t="str">
        <f>'Main inputs'!O87</f>
        <v>Milling</v>
      </c>
      <c r="BE3" s="268" t="str">
        <f>'Main inputs'!P87</f>
        <v>Irrigation</v>
      </c>
    </row>
    <row r="4" spans="2:57" ht="15.75" customHeight="1" x14ac:dyDescent="0.15">
      <c r="B4" s="299"/>
    </row>
    <row r="5" spans="2:57" ht="15.75" customHeight="1" outlineLevel="1" x14ac:dyDescent="0.15">
      <c r="B5" s="299" t="s">
        <v>108</v>
      </c>
    </row>
    <row r="6" spans="2:57" ht="15.75" customHeight="1" outlineLevel="1" x14ac:dyDescent="0.15">
      <c r="B6" s="300" t="s">
        <v>109</v>
      </c>
      <c r="C6" s="301">
        <f>_xlfn.IFS(C32="No",'Irrigation inputs&amp;calcs_NIG'!B33,C32="Mono-cultivation",'Irrigation inputs&amp;calcs_NIG'!B34,C32="Crop rotation",'Irrigation inputs&amp;calcs_NIG'!B41)</f>
        <v>2440.8000000000002</v>
      </c>
      <c r="D6" s="301">
        <f>'Main inputs'!D25*'Main inputs'!D23*'Price margin inputs'!D8</f>
        <v>1313.9280000000003</v>
      </c>
      <c r="E6" s="301">
        <f>'Main inputs'!E25*'Main inputs'!E23*'Price margin inputs'!E8</f>
        <v>1564.2</v>
      </c>
      <c r="F6" s="301">
        <f>'Main inputs'!F25*'Main inputs'!F23*'Price margin inputs'!F8</f>
        <v>11731.499999999998</v>
      </c>
      <c r="G6" s="302">
        <f>_xlfn.IFS(G32="No",'Irrigation inputs&amp;calcs_NIG'!C33,G32="Mono-cultivation",'Irrigation inputs&amp;calcs_NIG'!C34,G32="Crop rotation",'Irrigation inputs&amp;calcs_NIG'!C41)</f>
        <v>288.92357142857139</v>
      </c>
      <c r="H6" s="301">
        <f>'Main inputs'!H25*'Main inputs'!H23*'Price margin inputs'!H8</f>
        <v>4692.5999999999985</v>
      </c>
      <c r="I6" s="301">
        <f>'Main inputs'!I25*'Main inputs'!I23*'Price margin inputs'!I8</f>
        <v>5865.7499999999991</v>
      </c>
      <c r="J6" s="301">
        <f>'Main inputs'!J25*'Main inputs'!J23*'Price margin inputs'!J8</f>
        <v>7625.4749999999985</v>
      </c>
      <c r="K6" s="301">
        <f>'Main inputs'!K25*'Main inputs'!K23*'Price margin inputs'!K8</f>
        <v>3519.4499999999994</v>
      </c>
      <c r="L6" s="301">
        <f>_xlfn.IFS(L32="No",'Irrigation inputs&amp;calcs_NIG'!D33,L32="Mono-cultivation",'Irrigation inputs&amp;calcs_NIG'!D34,L32="Crop rotation",'Irrigation inputs&amp;calcs_NIG'!D41)</f>
        <v>3324.5783132530123</v>
      </c>
      <c r="M6" s="301">
        <f>'Main inputs'!M25*'Main inputs'!M23*'Price margin inputs'!M8</f>
        <v>1303.5</v>
      </c>
      <c r="N6" s="301">
        <f>'Main inputs'!N25*'Main inputs'!N23*'Price margin inputs'!N8</f>
        <v>970.55783132530144</v>
      </c>
      <c r="O6" s="301">
        <f>'Main inputs'!O25*'Main inputs'!O23*'Price margin inputs'!O8</f>
        <v>3910.5</v>
      </c>
      <c r="P6" s="301">
        <f>_xlfn.IFS(P32="Year-round horticulture irrigation",'Irrigation inputs&amp;calcs_NIG'!B48)</f>
        <v>3518.4</v>
      </c>
      <c r="Q6" s="301">
        <f>_xlfn.IFS(Q32="No",'Irrigation inputs&amp;calcs_RWA'!B35,Q32="Mono-cultivation",'Irrigation inputs&amp;calcs_RWA'!B36,Q32="Crop rotation",'Irrigation inputs&amp;calcs_RWA'!B43)</f>
        <v>4024.3166175024589</v>
      </c>
      <c r="R6" s="303">
        <f>'Main inputs'!D53*'Main inputs'!D51*'Price margin inputs'!D14</f>
        <v>1850.4595201769914</v>
      </c>
      <c r="S6" s="303">
        <f>'Main inputs'!E53*'Main inputs'!E51*'Price margin inputs'!E14</f>
        <v>4666.53</v>
      </c>
      <c r="T6" s="303">
        <f>'Main inputs'!F53*'Main inputs'!F51*'Price margin inputs'!F14</f>
        <v>3499.8974999999991</v>
      </c>
      <c r="U6" s="303">
        <f>'Main inputs'!G53*'Main inputs'!G51*'Price margin inputs'!G14</f>
        <v>3499.8974999999991</v>
      </c>
      <c r="V6" s="301">
        <f>_xlfn.IFS(V32="No",'Irrigation inputs&amp;calcs_RWA'!C35,V32="Mono-cultivation",'Irrigation inputs&amp;calcs_RWA'!C36,V32="Crop rotation",'Irrigation inputs&amp;calcs_RWA'!C43)</f>
        <v>210.5710071639275</v>
      </c>
      <c r="W6" s="303">
        <f>'Main inputs'!I53*'Main inputs'!I51*'Price margin inputs'!I14</f>
        <v>1657.2214513274355</v>
      </c>
      <c r="X6" s="301">
        <f>_xlfn.IFS(X32="No",'Irrigation inputs&amp;calcs_RWA'!D35,X32="Mono-cultivation",'Irrigation inputs&amp;calcs_RWA'!D36,X32="Crop rotation",'Irrigation inputs&amp;calcs_RWA'!D43)</f>
        <v>4547.9875761367512</v>
      </c>
      <c r="Y6" s="303">
        <f>'Main inputs'!K53*'Main inputs'!K51*'Price margin inputs'!K14</f>
        <v>994.24462500000027</v>
      </c>
      <c r="Z6" s="303">
        <f>'Main inputs'!L53*'Main inputs'!L51*'Price margin inputs'!L14</f>
        <v>3314.1487500000003</v>
      </c>
      <c r="AA6" s="303">
        <f>'Main inputs'!M53*'Main inputs'!M51*'Price margin inputs'!M14</f>
        <v>1657.0743750000001</v>
      </c>
      <c r="AB6" s="301">
        <f>_xlfn.IFS(AB32="Year-round horticulture irrigation",'Irrigation inputs&amp;calcs_RWA'!B50)</f>
        <v>7683.9134709931177</v>
      </c>
      <c r="AC6" s="301">
        <f>_xlfn.IFS(AC32="No",'Irrigation inputs&amp;calcs_ZAM'!B35,AC32="Mono-cultivation",'Irrigation inputs&amp;calcs_ZAM'!B36,AC32="Crop rotation",'Irrigation inputs&amp;calcs_ZAM'!B43)</f>
        <v>4158.1875</v>
      </c>
      <c r="AD6" s="303">
        <f>'Main inputs'!D81*'Main inputs'!D79*'Price margin inputs'!D20</f>
        <v>782.1000000000007</v>
      </c>
      <c r="AE6" s="303">
        <f>'Main inputs'!E81*'Main inputs'!E79*'Price margin inputs'!E20</f>
        <v>1407.7800000000011</v>
      </c>
      <c r="AF6" s="303">
        <f>'Main inputs'!F81*'Main inputs'!F79*'Price margin inputs'!F20</f>
        <v>2346.2999999999961</v>
      </c>
      <c r="AG6" s="301">
        <f>_xlfn.IFS(AG32="No",'Irrigation inputs&amp;calcs_ZAM'!C35,AG32="Mono-cultivation",'Irrigation inputs&amp;calcs_ZAM'!C36,AG32="Crop rotation",'Irrigation inputs&amp;calcs_ZAM'!C43)</f>
        <v>322.05514285714281</v>
      </c>
      <c r="AH6" s="303">
        <f>'Main inputs'!H81*'Main inputs'!H79*'Price margin inputs'!H20</f>
        <v>2737.3499999999995</v>
      </c>
      <c r="AI6" s="303">
        <f>'Main inputs'!I81*'Main inputs'!I79*'Price margin inputs'!I20</f>
        <v>7820.9999999999991</v>
      </c>
      <c r="AJ6" s="303">
        <f>'Main inputs'!J81*'Main inputs'!J79*'Price margin inputs'!J20</f>
        <v>6256.7999999999993</v>
      </c>
      <c r="AK6" s="303">
        <f>'Main inputs'!K81*'Main inputs'!K79*'Price margin inputs'!K20</f>
        <v>3128.3999999999996</v>
      </c>
      <c r="AL6" s="301">
        <f>_xlfn.IFS(AL32="No",'Irrigation inputs&amp;calcs_ZAM'!D35,AL32="Mono-cultivation",'Irrigation inputs&amp;calcs_ZAM'!D36,AL32="Crop rotation",'Irrigation inputs&amp;calcs_ZAM'!D43)</f>
        <v>4151.9742857142855</v>
      </c>
      <c r="AM6" s="303">
        <f>'Main inputs'!M81*'Main inputs'!M79*'Price margin inputs'!M20</f>
        <v>1042.8</v>
      </c>
      <c r="AN6" s="303">
        <f>'Main inputs'!N81*'Main inputs'!N79*'Price margin inputs'!N20</f>
        <v>8655.2400000000016</v>
      </c>
      <c r="AO6" s="303">
        <f>'Main inputs'!O81*'Main inputs'!O79*'Price margin inputs'!O20</f>
        <v>1564.2</v>
      </c>
      <c r="AP6" s="303">
        <f>'Main inputs'!P81*'Main inputs'!P79*'Price margin inputs'!P20</f>
        <v>6788.6279999999988</v>
      </c>
      <c r="AQ6" s="301">
        <f>_xlfn.IFS(AQ32="Year-round horticulture irrigation",'Irrigation inputs&amp;calcs_ZAM'!B50)</f>
        <v>7283.625</v>
      </c>
      <c r="AR6" s="301">
        <f>_xlfn.IFS(AR32="No",'Irrigation inputs&amp;calcs_ZIM'!B34,AR32="Mono-cultivation",'Irrigation inputs&amp;calcs_ZIM'!B35,AR32="Crop rotation",'Irrigation inputs&amp;calcs_ZIM'!B42)</f>
        <v>2659.8004999999998</v>
      </c>
      <c r="AS6" s="303">
        <f>'Main inputs'!D109*'Main inputs'!D107*'Price margin inputs'!D26</f>
        <v>1517.2739999999994</v>
      </c>
      <c r="AT6" s="303">
        <f>'Main inputs'!E109*'Main inputs'!E107*'Price margin inputs'!E26</f>
        <v>2844.8887499999983</v>
      </c>
      <c r="AU6" s="303">
        <f>'Main inputs'!F109*'Main inputs'!F107*'Price margin inputs'!F26</f>
        <v>682.77329999999961</v>
      </c>
      <c r="AV6" s="301">
        <f>_xlfn.IFS(AV32="No",'Irrigation inputs&amp;calcs_ZIM'!C34,AV32="Mono-cultivation",'Irrigation inputs&amp;calcs_ZIM'!C35,AV32="Crop rotation",'Irrigation inputs&amp;calcs_ZIM'!C42)</f>
        <v>2651.8485714285716</v>
      </c>
      <c r="AW6" s="303">
        <f>'Main inputs'!H109*'Main inputs'!H107*'Price margin inputs'!H26</f>
        <v>2998.05</v>
      </c>
      <c r="AX6" s="303">
        <f>'Main inputs'!I109*'Main inputs'!I107*'Price margin inputs'!I26</f>
        <v>1499.0250000000001</v>
      </c>
      <c r="AY6" s="303">
        <f>'Main inputs'!J109*'Main inputs'!J107*'Price margin inputs'!J26</f>
        <v>5396.49</v>
      </c>
      <c r="AZ6" s="303">
        <f>'Main inputs'!K109*'Main inputs'!K107*'Price margin inputs'!K26</f>
        <v>8679.224400000001</v>
      </c>
      <c r="BA6" s="301">
        <f>_xlfn.IFS(BA32="No",'Irrigation inputs&amp;calcs_ZIM'!D34,BA32="Mono-cultivation",'Irrigation inputs&amp;calcs_ZIM'!D35,BA32="Crop rotation",'Irrigation inputs&amp;calcs_ZIM'!D42)</f>
        <v>2646.17</v>
      </c>
      <c r="BB6" s="303">
        <f>'Main inputs'!M109*'Main inputs'!M107*'Price margin inputs'!M26</f>
        <v>3949.6049999999991</v>
      </c>
      <c r="BC6" s="303">
        <f>'Main inputs'!N109*'Main inputs'!N107*'Price margin inputs'!N26</f>
        <v>4937.0062499999985</v>
      </c>
      <c r="BD6" s="303">
        <f>'Main inputs'!O109*'Main inputs'!O107*'Price margin inputs'!O26</f>
        <v>1382.3617499999996</v>
      </c>
      <c r="BE6" s="301">
        <f>_xlfn.IFS(BE32="Year-round horticulture irrigation",'Irrigation inputs&amp;calcs_ZIM'!B49)</f>
        <v>5080.3990000000003</v>
      </c>
    </row>
    <row r="7" spans="2:57" ht="15.75" customHeight="1" outlineLevel="1" x14ac:dyDescent="0.15">
      <c r="B7" s="300" t="s">
        <v>110</v>
      </c>
      <c r="C7" s="304"/>
      <c r="D7" s="304"/>
      <c r="E7" s="304"/>
      <c r="F7" s="304"/>
      <c r="G7" s="304"/>
      <c r="H7" s="304"/>
      <c r="I7" s="304"/>
      <c r="J7" s="304"/>
      <c r="K7" s="304"/>
      <c r="L7" s="304"/>
      <c r="M7" s="304"/>
      <c r="N7" s="304"/>
      <c r="O7" s="304"/>
      <c r="P7" s="304"/>
      <c r="Q7" s="303"/>
      <c r="AC7" s="303"/>
      <c r="AD7" s="303"/>
      <c r="AE7" s="303"/>
      <c r="AF7" s="303"/>
      <c r="AG7" s="303"/>
      <c r="AH7" s="303"/>
      <c r="AI7" s="303"/>
      <c r="AJ7" s="303"/>
      <c r="AK7" s="303"/>
      <c r="AL7" s="303"/>
      <c r="AM7" s="303"/>
      <c r="AN7" s="303"/>
      <c r="AO7" s="303"/>
      <c r="AP7" s="303"/>
      <c r="AQ7" s="303"/>
      <c r="AR7" s="303"/>
      <c r="AS7" s="303"/>
      <c r="AT7" s="303"/>
      <c r="AU7" s="303"/>
      <c r="AV7" s="303"/>
      <c r="AW7" s="303"/>
      <c r="AX7" s="303"/>
      <c r="AY7" s="303"/>
      <c r="AZ7" s="303"/>
      <c r="BA7" s="303"/>
      <c r="BB7" s="303"/>
      <c r="BC7" s="303"/>
      <c r="BD7" s="303"/>
      <c r="BE7" s="303"/>
    </row>
    <row r="8" spans="2:57" ht="15.75" customHeight="1" outlineLevel="1" x14ac:dyDescent="0.15">
      <c r="Q8" s="303"/>
      <c r="AC8" s="303"/>
      <c r="AD8" s="303"/>
      <c r="AE8" s="303"/>
      <c r="AF8" s="303"/>
      <c r="AG8" s="303"/>
      <c r="AH8" s="303"/>
      <c r="AI8" s="303"/>
      <c r="AJ8" s="303"/>
      <c r="AK8" s="303"/>
      <c r="AL8" s="303"/>
      <c r="AM8" s="303"/>
      <c r="AN8" s="303"/>
      <c r="AO8" s="303"/>
      <c r="AP8" s="303"/>
      <c r="AQ8" s="303"/>
      <c r="AR8" s="303"/>
      <c r="AS8" s="303"/>
      <c r="AT8" s="303"/>
      <c r="AU8" s="303"/>
      <c r="AV8" s="303"/>
      <c r="AW8" s="303"/>
      <c r="AX8" s="303"/>
      <c r="AY8" s="303"/>
      <c r="AZ8" s="303"/>
      <c r="BA8" s="303"/>
      <c r="BB8" s="303"/>
      <c r="BC8" s="303"/>
      <c r="BD8" s="303"/>
      <c r="BE8" s="303"/>
    </row>
    <row r="9" spans="2:57" ht="15.75" customHeight="1" outlineLevel="1" x14ac:dyDescent="0.15">
      <c r="B9" s="305" t="s">
        <v>111</v>
      </c>
      <c r="C9" s="306">
        <f t="shared" ref="C9:Z9" si="0">SUM(C6:C7)</f>
        <v>2440.8000000000002</v>
      </c>
      <c r="D9" s="306">
        <f t="shared" si="0"/>
        <v>1313.9280000000003</v>
      </c>
      <c r="E9" s="306">
        <f t="shared" si="0"/>
        <v>1564.2</v>
      </c>
      <c r="F9" s="306">
        <f t="shared" si="0"/>
        <v>11731.499999999998</v>
      </c>
      <c r="G9" s="306">
        <f t="shared" si="0"/>
        <v>288.92357142857139</v>
      </c>
      <c r="H9" s="306">
        <f t="shared" si="0"/>
        <v>4692.5999999999985</v>
      </c>
      <c r="I9" s="306">
        <f t="shared" si="0"/>
        <v>5865.7499999999991</v>
      </c>
      <c r="J9" s="306">
        <f t="shared" si="0"/>
        <v>7625.4749999999985</v>
      </c>
      <c r="K9" s="306">
        <f t="shared" si="0"/>
        <v>3519.4499999999994</v>
      </c>
      <c r="L9" s="306">
        <f t="shared" si="0"/>
        <v>3324.5783132530123</v>
      </c>
      <c r="M9" s="306">
        <f t="shared" si="0"/>
        <v>1303.5</v>
      </c>
      <c r="N9" s="306">
        <f t="shared" si="0"/>
        <v>970.55783132530144</v>
      </c>
      <c r="O9" s="306">
        <f t="shared" si="0"/>
        <v>3910.5</v>
      </c>
      <c r="P9" s="306">
        <f t="shared" si="0"/>
        <v>3518.4</v>
      </c>
      <c r="Q9" s="306">
        <f t="shared" si="0"/>
        <v>4024.3166175024589</v>
      </c>
      <c r="R9" s="306">
        <f t="shared" si="0"/>
        <v>1850.4595201769914</v>
      </c>
      <c r="S9" s="306">
        <f t="shared" si="0"/>
        <v>4666.53</v>
      </c>
      <c r="T9" s="306">
        <f t="shared" si="0"/>
        <v>3499.8974999999991</v>
      </c>
      <c r="U9" s="306">
        <f t="shared" si="0"/>
        <v>3499.8974999999991</v>
      </c>
      <c r="V9" s="306">
        <f t="shared" si="0"/>
        <v>210.5710071639275</v>
      </c>
      <c r="W9" s="306">
        <f t="shared" si="0"/>
        <v>1657.2214513274355</v>
      </c>
      <c r="X9" s="306">
        <f t="shared" si="0"/>
        <v>4547.9875761367512</v>
      </c>
      <c r="Y9" s="306">
        <f t="shared" si="0"/>
        <v>994.24462500000027</v>
      </c>
      <c r="Z9" s="306">
        <f t="shared" si="0"/>
        <v>3314.1487500000003</v>
      </c>
      <c r="AA9" s="306">
        <f t="shared" ref="AA9" si="1">SUM(AA6:AA7)</f>
        <v>1657.0743750000001</v>
      </c>
      <c r="AB9" s="306">
        <f t="shared" ref="AB9:BE9" si="2">SUM(AB6:AB7)</f>
        <v>7683.9134709931177</v>
      </c>
      <c r="AC9" s="306">
        <f t="shared" si="2"/>
        <v>4158.1875</v>
      </c>
      <c r="AD9" s="306">
        <f t="shared" si="2"/>
        <v>782.1000000000007</v>
      </c>
      <c r="AE9" s="306">
        <f t="shared" si="2"/>
        <v>1407.7800000000011</v>
      </c>
      <c r="AF9" s="306">
        <f t="shared" si="2"/>
        <v>2346.2999999999961</v>
      </c>
      <c r="AG9" s="306">
        <f t="shared" si="2"/>
        <v>322.05514285714281</v>
      </c>
      <c r="AH9" s="306">
        <f t="shared" si="2"/>
        <v>2737.3499999999995</v>
      </c>
      <c r="AI9" s="306">
        <f t="shared" si="2"/>
        <v>7820.9999999999991</v>
      </c>
      <c r="AJ9" s="306">
        <f t="shared" si="2"/>
        <v>6256.7999999999993</v>
      </c>
      <c r="AK9" s="306">
        <f t="shared" si="2"/>
        <v>3128.3999999999996</v>
      </c>
      <c r="AL9" s="306">
        <f t="shared" si="2"/>
        <v>4151.9742857142855</v>
      </c>
      <c r="AM9" s="306">
        <f t="shared" si="2"/>
        <v>1042.8</v>
      </c>
      <c r="AN9" s="306">
        <f t="shared" si="2"/>
        <v>8655.2400000000016</v>
      </c>
      <c r="AO9" s="306">
        <f t="shared" si="2"/>
        <v>1564.2</v>
      </c>
      <c r="AP9" s="306">
        <f t="shared" si="2"/>
        <v>6788.6279999999988</v>
      </c>
      <c r="AQ9" s="306">
        <f t="shared" si="2"/>
        <v>7283.625</v>
      </c>
      <c r="AR9" s="306">
        <f t="shared" si="2"/>
        <v>2659.8004999999998</v>
      </c>
      <c r="AS9" s="306">
        <f t="shared" si="2"/>
        <v>1517.2739999999994</v>
      </c>
      <c r="AT9" s="306">
        <f t="shared" si="2"/>
        <v>2844.8887499999983</v>
      </c>
      <c r="AU9" s="306">
        <f t="shared" si="2"/>
        <v>682.77329999999961</v>
      </c>
      <c r="AV9" s="306">
        <f t="shared" si="2"/>
        <v>2651.8485714285716</v>
      </c>
      <c r="AW9" s="306">
        <f t="shared" si="2"/>
        <v>2998.05</v>
      </c>
      <c r="AX9" s="306">
        <f t="shared" si="2"/>
        <v>1499.0250000000001</v>
      </c>
      <c r="AY9" s="306">
        <f t="shared" si="2"/>
        <v>5396.49</v>
      </c>
      <c r="AZ9" s="306">
        <f t="shared" si="2"/>
        <v>8679.224400000001</v>
      </c>
      <c r="BA9" s="306">
        <f t="shared" si="2"/>
        <v>2646.17</v>
      </c>
      <c r="BB9" s="306">
        <f t="shared" si="2"/>
        <v>3949.6049999999991</v>
      </c>
      <c r="BC9" s="306">
        <f t="shared" si="2"/>
        <v>4937.0062499999985</v>
      </c>
      <c r="BD9" s="306">
        <f t="shared" si="2"/>
        <v>1382.3617499999996</v>
      </c>
      <c r="BE9" s="306">
        <f t="shared" si="2"/>
        <v>5080.3990000000003</v>
      </c>
    </row>
    <row r="10" spans="2:57" ht="15.75" customHeight="1" outlineLevel="1" x14ac:dyDescent="0.15">
      <c r="Q10" s="303"/>
      <c r="AC10" s="303"/>
      <c r="AD10" s="303"/>
      <c r="AE10" s="303"/>
      <c r="AF10" s="303"/>
      <c r="AG10" s="303"/>
      <c r="AH10" s="303"/>
      <c r="AI10" s="303"/>
      <c r="AJ10" s="303"/>
      <c r="AK10" s="303"/>
      <c r="AL10" s="303"/>
      <c r="AM10" s="303"/>
      <c r="AN10" s="303"/>
      <c r="AO10" s="303"/>
      <c r="AP10" s="303"/>
      <c r="AQ10" s="303"/>
      <c r="AR10" s="303"/>
      <c r="AS10" s="303"/>
      <c r="AT10" s="303"/>
      <c r="AU10" s="303"/>
      <c r="AV10" s="303"/>
      <c r="AW10" s="303"/>
      <c r="AX10" s="303"/>
      <c r="AY10" s="303"/>
      <c r="AZ10" s="303"/>
      <c r="BA10" s="303"/>
      <c r="BB10" s="303"/>
      <c r="BC10" s="303"/>
      <c r="BD10" s="303"/>
      <c r="BE10" s="303"/>
    </row>
    <row r="11" spans="2:57" ht="15.75" customHeight="1" outlineLevel="1" x14ac:dyDescent="0.15">
      <c r="B11" s="299" t="s">
        <v>112</v>
      </c>
      <c r="Q11" s="303"/>
      <c r="AC11" s="303"/>
      <c r="AD11" s="303"/>
      <c r="AE11" s="303"/>
      <c r="AF11" s="303"/>
      <c r="AG11" s="303"/>
      <c r="AH11" s="303"/>
      <c r="AI11" s="303"/>
      <c r="AJ11" s="303"/>
      <c r="AK11" s="303"/>
      <c r="AL11" s="303"/>
      <c r="AM11" s="303"/>
      <c r="AN11" s="303"/>
      <c r="AO11" s="303"/>
      <c r="AP11" s="303"/>
      <c r="AQ11" s="303"/>
      <c r="AR11" s="303"/>
      <c r="AS11" s="303"/>
      <c r="AT11" s="303"/>
      <c r="AU11" s="303"/>
      <c r="AV11" s="303"/>
      <c r="AW11" s="303"/>
      <c r="AX11" s="303"/>
      <c r="AY11" s="303"/>
      <c r="AZ11" s="303"/>
      <c r="BA11" s="303"/>
      <c r="BB11" s="303"/>
      <c r="BC11" s="303"/>
      <c r="BD11" s="303"/>
      <c r="BE11" s="303"/>
    </row>
    <row r="12" spans="2:57" ht="15.75" customHeight="1" outlineLevel="1" x14ac:dyDescent="0.15">
      <c r="B12" s="300" t="s">
        <v>113</v>
      </c>
      <c r="C12" s="303">
        <f>('Main inputs'!$C$11*'Main inputs'!$C$9)*('Main inputs'!$C$10*48)</f>
        <v>290.02409638554218</v>
      </c>
      <c r="D12" s="303">
        <f>('Main inputs'!$C$11*'Main inputs'!$C$9)*('Main inputs'!$C$10*48)</f>
        <v>290.02409638554218</v>
      </c>
      <c r="E12" s="303">
        <f>('Main inputs'!$C$11*'Main inputs'!$C$9)*('Main inputs'!$C$10*48)</f>
        <v>290.02409638554218</v>
      </c>
      <c r="F12" s="303">
        <f>('Main inputs'!$C$11*'Main inputs'!$C$9)*('Main inputs'!$C$10*48)</f>
        <v>290.02409638554218</v>
      </c>
      <c r="G12" s="303">
        <f>('Main inputs'!$C$11*'Main inputs'!$C$9)*('Main inputs'!$C$10*48)</f>
        <v>290.02409638554218</v>
      </c>
      <c r="H12" s="303">
        <f>('Main inputs'!$C$11*'Main inputs'!$C$9)*('Main inputs'!$C$10*48)</f>
        <v>290.02409638554218</v>
      </c>
      <c r="I12" s="303">
        <f>('Main inputs'!$C$11*'Main inputs'!$C$9)*('Main inputs'!$C$10*48)</f>
        <v>290.02409638554218</v>
      </c>
      <c r="J12" s="303">
        <f>('Main inputs'!$C$11*'Main inputs'!$C$9)*('Main inputs'!$C$10*48)</f>
        <v>290.02409638554218</v>
      </c>
      <c r="K12" s="303">
        <f>('Main inputs'!$C$11*'Main inputs'!$C$9)*('Main inputs'!$C$10*48)</f>
        <v>290.02409638554218</v>
      </c>
      <c r="L12" s="303">
        <f>('Main inputs'!$C$11*'Main inputs'!$C$9)*('Main inputs'!$C$10*48)</f>
        <v>290.02409638554218</v>
      </c>
      <c r="M12" s="303">
        <f>('Main inputs'!$C$11*'Main inputs'!$C$9)*('Main inputs'!$C$10*48)</f>
        <v>290.02409638554218</v>
      </c>
      <c r="N12" s="303">
        <f>('Main inputs'!$C$11*'Main inputs'!$C$9)*('Main inputs'!$C$10*48)</f>
        <v>290.02409638554218</v>
      </c>
      <c r="O12" s="303">
        <f>('Main inputs'!$C$11*'Main inputs'!$C$9)*('Main inputs'!$C$10*48)</f>
        <v>290.02409638554218</v>
      </c>
      <c r="P12" s="303">
        <f>('Main inputs'!$C$11*'Main inputs'!$C$9)*('Main inputs'!$C$10*48)</f>
        <v>290.02409638554218</v>
      </c>
      <c r="Q12" s="303">
        <f>('Main inputs'!$C$11*'Main inputs'!$C$9)*('Main inputs'!$C$10*48)</f>
        <v>290.02409638554218</v>
      </c>
      <c r="R12" s="303">
        <f>('Main inputs'!$C$11*'Main inputs'!$C$9)*('Main inputs'!$C$10*48)</f>
        <v>290.02409638554218</v>
      </c>
      <c r="S12" s="303">
        <f>('Main inputs'!$C$11*'Main inputs'!$C$9)*('Main inputs'!$C$10*48)</f>
        <v>290.02409638554218</v>
      </c>
      <c r="T12" s="303">
        <f>('Main inputs'!$C$11*'Main inputs'!$C$9)*('Main inputs'!$C$10*48)</f>
        <v>290.02409638554218</v>
      </c>
      <c r="U12" s="303">
        <f>('Main inputs'!$C$11*'Main inputs'!$C$9)*('Main inputs'!$C$10*48)</f>
        <v>290.02409638554218</v>
      </c>
      <c r="V12" s="303">
        <f>('Main inputs'!$C$11*'Main inputs'!$C$9)*('Main inputs'!$C$10*48)</f>
        <v>290.02409638554218</v>
      </c>
      <c r="W12" s="303">
        <f>('Main inputs'!$C$11*'Main inputs'!$C$9)*('Main inputs'!$C$10*48)</f>
        <v>290.02409638554218</v>
      </c>
      <c r="X12" s="303">
        <f>('Main inputs'!$C$11*'Main inputs'!$C$9)*('Main inputs'!$C$10*48)</f>
        <v>290.02409638554218</v>
      </c>
      <c r="Y12" s="303">
        <f>('Main inputs'!$C$11*'Main inputs'!$C$9)*('Main inputs'!$C$10*48)</f>
        <v>290.02409638554218</v>
      </c>
      <c r="Z12" s="303">
        <f>('Main inputs'!$C$11*'Main inputs'!$C$9)*('Main inputs'!$C$10*48)</f>
        <v>290.02409638554218</v>
      </c>
      <c r="AA12" s="303">
        <f>('Main inputs'!$C$11*'Main inputs'!$C$9)*('Main inputs'!$C$10*48)</f>
        <v>290.02409638554218</v>
      </c>
      <c r="AB12" s="303">
        <f>('Main inputs'!$C$11*'Main inputs'!$C$9)*('Main inputs'!$C$10*48)</f>
        <v>290.02409638554218</v>
      </c>
      <c r="AC12" s="303">
        <f>('Main inputs'!$C$11*'Main inputs'!$C$9)*('Main inputs'!$C$10*48)</f>
        <v>290.02409638554218</v>
      </c>
      <c r="AD12" s="303">
        <f>('Main inputs'!$C$11*'Main inputs'!$C$9)*('Main inputs'!$C$10*48)</f>
        <v>290.02409638554218</v>
      </c>
      <c r="AE12" s="303">
        <f>('Main inputs'!$C$11*'Main inputs'!$C$9)*('Main inputs'!$C$10*48)</f>
        <v>290.02409638554218</v>
      </c>
      <c r="AF12" s="303">
        <f>('Main inputs'!$C$11*'Main inputs'!$C$9)*('Main inputs'!$C$10*48)</f>
        <v>290.02409638554218</v>
      </c>
      <c r="AG12" s="303">
        <f>('Main inputs'!$C$11*'Main inputs'!$C$9)*('Main inputs'!$C$10*48)</f>
        <v>290.02409638554218</v>
      </c>
      <c r="AH12" s="303">
        <f>('Main inputs'!$C$11*'Main inputs'!$C$9)*('Main inputs'!$C$10*48)</f>
        <v>290.02409638554218</v>
      </c>
      <c r="AI12" s="303">
        <f>('Main inputs'!$C$11*'Main inputs'!$C$9)*('Main inputs'!$C$10*48)</f>
        <v>290.02409638554218</v>
      </c>
      <c r="AJ12" s="303">
        <f>('Main inputs'!$C$11*'Main inputs'!$C$9)*('Main inputs'!$C$10*48)</f>
        <v>290.02409638554218</v>
      </c>
      <c r="AK12" s="303">
        <f>('Main inputs'!$C$11*'Main inputs'!$C$9)*('Main inputs'!$C$10*48)</f>
        <v>290.02409638554218</v>
      </c>
      <c r="AL12" s="303">
        <f>('Main inputs'!$C$11*'Main inputs'!$C$9)*('Main inputs'!$C$10*48)</f>
        <v>290.02409638554218</v>
      </c>
      <c r="AM12" s="303">
        <f>('Main inputs'!$C$11*'Main inputs'!$C$9)*('Main inputs'!$C$10*48)</f>
        <v>290.02409638554218</v>
      </c>
      <c r="AN12" s="303">
        <f>('Main inputs'!$C$11*'Main inputs'!$C$9)*('Main inputs'!$C$10*48)</f>
        <v>290.02409638554218</v>
      </c>
      <c r="AO12" s="303">
        <f>('Main inputs'!$C$11*'Main inputs'!$C$9)*('Main inputs'!$C$10*48)</f>
        <v>290.02409638554218</v>
      </c>
      <c r="AP12" s="303">
        <f>('Main inputs'!$C$11*'Main inputs'!$C$9)*('Main inputs'!$C$10*48)</f>
        <v>290.02409638554218</v>
      </c>
      <c r="AQ12" s="303">
        <f>('Main inputs'!$C$11*'Main inputs'!$C$9)*('Main inputs'!$C$10*48)</f>
        <v>290.02409638554218</v>
      </c>
      <c r="AR12" s="303">
        <f>('Main inputs'!$C$11*'Main inputs'!$C$9)*('Main inputs'!$C$10*48)</f>
        <v>290.02409638554218</v>
      </c>
      <c r="AS12" s="303">
        <f>('Main inputs'!$C$11*'Main inputs'!$C$9)*('Main inputs'!$C$10*48)</f>
        <v>290.02409638554218</v>
      </c>
      <c r="AT12" s="303">
        <f>('Main inputs'!$C$11*'Main inputs'!$C$9)*('Main inputs'!$C$10*48)</f>
        <v>290.02409638554218</v>
      </c>
      <c r="AU12" s="303">
        <f>('Main inputs'!$C$11*'Main inputs'!$C$9)*('Main inputs'!$C$10*48)</f>
        <v>290.02409638554218</v>
      </c>
      <c r="AV12" s="303">
        <f>('Main inputs'!$C$11*'Main inputs'!$C$9)*('Main inputs'!$C$10*48)</f>
        <v>290.02409638554218</v>
      </c>
      <c r="AW12" s="303">
        <f>('Main inputs'!$C$11*'Main inputs'!$C$9)*('Main inputs'!$C$10*48)</f>
        <v>290.02409638554218</v>
      </c>
      <c r="AX12" s="303">
        <f>('Main inputs'!$C$11*'Main inputs'!$C$9)*('Main inputs'!$C$10*48)</f>
        <v>290.02409638554218</v>
      </c>
      <c r="AY12" s="303">
        <f>('Main inputs'!$C$11*'Main inputs'!$C$9)*('Main inputs'!$C$10*48)</f>
        <v>290.02409638554218</v>
      </c>
      <c r="AZ12" s="303">
        <f>('Main inputs'!$C$11*'Main inputs'!$C$9)*('Main inputs'!$C$10*48)</f>
        <v>290.02409638554218</v>
      </c>
      <c r="BA12" s="303">
        <f>('Main inputs'!$C$11*'Main inputs'!$C$9)*('Main inputs'!$C$10*48)</f>
        <v>290.02409638554218</v>
      </c>
      <c r="BB12" s="303">
        <f>('Main inputs'!$C$11*'Main inputs'!$C$9)*('Main inputs'!$C$10*48)</f>
        <v>290.02409638554218</v>
      </c>
      <c r="BC12" s="303">
        <f>('Main inputs'!$C$11*'Main inputs'!$C$9)*('Main inputs'!$C$10*48)</f>
        <v>290.02409638554218</v>
      </c>
      <c r="BD12" s="303">
        <f>('Main inputs'!$C$11*'Main inputs'!$C$9)*('Main inputs'!$C$10*48)</f>
        <v>290.02409638554218</v>
      </c>
      <c r="BE12" s="303">
        <f>('Main inputs'!$C$11*'Main inputs'!$C$9)*('Main inputs'!$C$10*48)</f>
        <v>290.02409638554218</v>
      </c>
    </row>
    <row r="13" spans="2:57" ht="15.75" customHeight="1" outlineLevel="1" x14ac:dyDescent="0.15">
      <c r="B13" s="300" t="s">
        <v>114</v>
      </c>
      <c r="C13" s="303">
        <f>'Main inputs'!C24</f>
        <v>469.87951807228916</v>
      </c>
      <c r="D13" s="303">
        <f>'Main inputs'!D24</f>
        <v>313.25301204819277</v>
      </c>
      <c r="E13" s="303">
        <f>'Main inputs'!E24</f>
        <v>313.25301204819277</v>
      </c>
      <c r="F13" s="303">
        <f>'Main inputs'!F24</f>
        <v>939.75903614457832</v>
      </c>
      <c r="G13" s="303">
        <f>'Main inputs'!G24</f>
        <v>939.75903614457832</v>
      </c>
      <c r="H13" s="303">
        <f>'Main inputs'!H24</f>
        <v>1879.5180722891566</v>
      </c>
      <c r="I13" s="303">
        <f>'Main inputs'!I24</f>
        <v>1879.5180722891566</v>
      </c>
      <c r="J13" s="303">
        <f>'Main inputs'!J24</f>
        <v>1879.5180722891566</v>
      </c>
      <c r="K13" s="303">
        <f>'Main inputs'!K24</f>
        <v>1879.5180722891566</v>
      </c>
      <c r="L13" s="303">
        <f>'Main inputs'!L24</f>
        <v>391.56626506024099</v>
      </c>
      <c r="M13" s="303">
        <f>'Main inputs'!M24</f>
        <v>313.25301204819277</v>
      </c>
      <c r="N13" s="303">
        <f>'Main inputs'!N24</f>
        <v>313.25301204819277</v>
      </c>
      <c r="O13" s="303">
        <f>'Main inputs'!O24</f>
        <v>626.50602409638554</v>
      </c>
      <c r="P13" s="303">
        <f>'Main inputs'!P24</f>
        <v>391.56626506024099</v>
      </c>
      <c r="Q13" s="303">
        <f>'Main inputs'!C52</f>
        <v>397.24680432645033</v>
      </c>
      <c r="R13" s="303">
        <f>'Main inputs'!D52</f>
        <v>397.24680432645033</v>
      </c>
      <c r="S13" s="303">
        <f>'Main inputs'!E52</f>
        <v>397.24680432645033</v>
      </c>
      <c r="T13" s="303">
        <f>'Main inputs'!F52</f>
        <v>1191.740412979351</v>
      </c>
      <c r="U13" s="303">
        <f>'Main inputs'!G52</f>
        <v>1191.740412979351</v>
      </c>
      <c r="V13" s="303">
        <f>'Main inputs'!H52</f>
        <v>1191.740412979351</v>
      </c>
      <c r="W13" s="303">
        <f>'Main inputs'!I52</f>
        <v>2383.4808259587021</v>
      </c>
      <c r="X13" s="303">
        <f>'Main inputs'!J52</f>
        <v>297.93510324483776</v>
      </c>
      <c r="Y13" s="303">
        <f>'Main inputs'!K52</f>
        <v>397.24680432645033</v>
      </c>
      <c r="Z13" s="303">
        <f>'Main inputs'!L52</f>
        <v>397.24680432645033</v>
      </c>
      <c r="AA13" s="303">
        <f>'Main inputs'!M52</f>
        <v>397.24680432645033</v>
      </c>
      <c r="AB13" s="303">
        <f>'Main inputs'!N52</f>
        <v>297.93510324483776</v>
      </c>
      <c r="AC13" s="303">
        <f>'Main inputs'!C80</f>
        <v>395.29411764705878</v>
      </c>
      <c r="AD13" s="303">
        <f>'Main inputs'!D80</f>
        <v>112.94117647058823</v>
      </c>
      <c r="AE13" s="303">
        <f>'Main inputs'!E80</f>
        <v>338.8235294117647</v>
      </c>
      <c r="AF13" s="303">
        <f>'Main inputs'!F80</f>
        <v>338.8235294117647</v>
      </c>
      <c r="AG13" s="303">
        <f>'Main inputs'!G80</f>
        <v>677.64705882352939</v>
      </c>
      <c r="AH13" s="303">
        <f>'Main inputs'!H80</f>
        <v>1355.2941176470588</v>
      </c>
      <c r="AI13" s="303">
        <f>'Main inputs'!I80</f>
        <v>1355.2941176470588</v>
      </c>
      <c r="AJ13" s="303">
        <f>'Main inputs'!J80</f>
        <v>1355.2941176470588</v>
      </c>
      <c r="AK13" s="303">
        <f>'Main inputs'!K80</f>
        <v>1355.2941176470588</v>
      </c>
      <c r="AL13" s="303">
        <f>'Main inputs'!L80</f>
        <v>338.8235294117647</v>
      </c>
      <c r="AM13" s="303">
        <f>'Main inputs'!M80</f>
        <v>112.94117647058823</v>
      </c>
      <c r="AN13" s="303">
        <f>'Main inputs'!N80</f>
        <v>903.52941176470586</v>
      </c>
      <c r="AO13" s="303">
        <f>'Main inputs'!O80</f>
        <v>903.52941176470586</v>
      </c>
      <c r="AP13" s="303">
        <f>'Main inputs'!P80</f>
        <v>903.52941176470586</v>
      </c>
      <c r="AQ13" s="303">
        <f>'Main inputs'!Q80</f>
        <v>338.8235294117647</v>
      </c>
      <c r="AR13" s="303">
        <f>'Main inputs'!C108</f>
        <v>676.79558011049721</v>
      </c>
      <c r="AS13" s="303">
        <f>'Main inputs'!D108</f>
        <v>193.37016574585635</v>
      </c>
      <c r="AT13" s="303">
        <f>'Main inputs'!E108</f>
        <v>580.11049723756901</v>
      </c>
      <c r="AU13" s="303">
        <f>'Main inputs'!F108</f>
        <v>580.11049723756901</v>
      </c>
      <c r="AV13" s="303">
        <f>'Main inputs'!G108</f>
        <v>773.48066298342542</v>
      </c>
      <c r="AW13" s="303">
        <f>'Main inputs'!H108</f>
        <v>193.37016574585635</v>
      </c>
      <c r="AX13" s="303">
        <f>'Main inputs'!I108</f>
        <v>193.37016574585635</v>
      </c>
      <c r="AY13" s="303">
        <f>'Main inputs'!J108</f>
        <v>1546.9613259668508</v>
      </c>
      <c r="AZ13" s="303">
        <f>'Main inputs'!K108</f>
        <v>1546.9613259668508</v>
      </c>
      <c r="BA13" s="303">
        <f>'Main inputs'!L108</f>
        <v>676.79558011049721</v>
      </c>
      <c r="BB13" s="303">
        <f>'Main inputs'!M108</f>
        <v>193.37016574585635</v>
      </c>
      <c r="BC13" s="303">
        <f>'Main inputs'!N108</f>
        <v>580.11049723756901</v>
      </c>
      <c r="BD13" s="303">
        <f>'Main inputs'!O108</f>
        <v>580.11049723756901</v>
      </c>
      <c r="BE13" s="303">
        <f>'Main inputs'!P108</f>
        <v>676.79558011049721</v>
      </c>
    </row>
    <row r="14" spans="2:57" ht="15.75" customHeight="1" outlineLevel="1" x14ac:dyDescent="0.15">
      <c r="B14" s="300" t="s">
        <v>115</v>
      </c>
      <c r="C14" s="303">
        <f>'Main inputs'!C12</f>
        <v>33</v>
      </c>
      <c r="D14" s="303">
        <f>'Main inputs'!D12</f>
        <v>15</v>
      </c>
      <c r="E14" s="303">
        <f>'Main inputs'!E12</f>
        <v>50</v>
      </c>
      <c r="F14" s="303">
        <f>'Main inputs'!F12</f>
        <v>50</v>
      </c>
      <c r="G14" s="303">
        <f>'Main inputs'!G12</f>
        <v>33</v>
      </c>
      <c r="H14" s="303">
        <f>'Main inputs'!H12</f>
        <v>94</v>
      </c>
      <c r="I14" s="303">
        <f>'Main inputs'!I12</f>
        <v>94</v>
      </c>
      <c r="J14" s="303">
        <f>'Main inputs'!J12</f>
        <v>94</v>
      </c>
      <c r="K14" s="303">
        <f>'Main inputs'!K12</f>
        <v>94</v>
      </c>
      <c r="L14" s="303">
        <f>'Main inputs'!L12</f>
        <v>33</v>
      </c>
      <c r="M14" s="303">
        <f>'Main inputs'!M12</f>
        <v>24</v>
      </c>
      <c r="N14" s="303">
        <f>'Main inputs'!N12</f>
        <v>8</v>
      </c>
      <c r="O14" s="303">
        <f>'Main inputs'!O12</f>
        <v>80</v>
      </c>
      <c r="P14" s="303">
        <f>'Main inputs'!P12</f>
        <v>33</v>
      </c>
      <c r="Q14" s="303">
        <f>'Main inputs'!C40</f>
        <v>33</v>
      </c>
      <c r="R14" s="303">
        <f>'Main inputs'!D40</f>
        <v>15</v>
      </c>
      <c r="S14" s="303">
        <f>'Main inputs'!E40</f>
        <v>25</v>
      </c>
      <c r="T14" s="303">
        <f>'Main inputs'!F40</f>
        <v>45</v>
      </c>
      <c r="U14" s="303">
        <f>'Main inputs'!G40</f>
        <v>25</v>
      </c>
      <c r="V14" s="303">
        <f>'Main inputs'!H40</f>
        <v>33</v>
      </c>
      <c r="W14" s="303">
        <f>'Main inputs'!I40</f>
        <v>94</v>
      </c>
      <c r="X14" s="303">
        <f>'Main inputs'!J40</f>
        <v>33</v>
      </c>
      <c r="Y14" s="303">
        <f>'Main inputs'!K40</f>
        <v>8</v>
      </c>
      <c r="Z14" s="303">
        <f>'Main inputs'!L40</f>
        <v>33.599999999999994</v>
      </c>
      <c r="AA14" s="303">
        <f>'Main inputs'!M40</f>
        <v>33.599999999999994</v>
      </c>
      <c r="AB14" s="303">
        <f>'Main inputs'!N40</f>
        <v>33</v>
      </c>
      <c r="AC14" s="303">
        <f>'Main inputs'!C68</f>
        <v>33</v>
      </c>
      <c r="AD14" s="303">
        <f>'Main inputs'!D68</f>
        <v>25</v>
      </c>
      <c r="AE14" s="303">
        <f>'Main inputs'!E68</f>
        <v>35</v>
      </c>
      <c r="AF14" s="303">
        <f>'Main inputs'!F68</f>
        <v>45</v>
      </c>
      <c r="AG14" s="303">
        <f>'Main inputs'!G68</f>
        <v>33</v>
      </c>
      <c r="AH14" s="303">
        <f>'Main inputs'!H68</f>
        <v>75.2</v>
      </c>
      <c r="AI14" s="303">
        <f>'Main inputs'!I68</f>
        <v>94</v>
      </c>
      <c r="AJ14" s="303">
        <f>'Main inputs'!J68</f>
        <v>103.4</v>
      </c>
      <c r="AK14" s="303">
        <f>'Main inputs'!K68</f>
        <v>56.4</v>
      </c>
      <c r="AL14" s="303">
        <f>'Main inputs'!L68</f>
        <v>33</v>
      </c>
      <c r="AM14" s="303">
        <f>'Main inputs'!M68</f>
        <v>89</v>
      </c>
      <c r="AN14" s="303">
        <f>'Main inputs'!N68</f>
        <v>103</v>
      </c>
      <c r="AO14" s="303">
        <f>'Main inputs'!O68</f>
        <v>43</v>
      </c>
      <c r="AP14" s="303">
        <f>'Main inputs'!P68</f>
        <v>43</v>
      </c>
      <c r="AQ14" s="303">
        <f>'Main inputs'!Q68</f>
        <v>33</v>
      </c>
      <c r="AR14" s="303">
        <f>'Main inputs'!C96</f>
        <v>33</v>
      </c>
      <c r="AS14" s="303">
        <f>'Main inputs'!D96</f>
        <v>25</v>
      </c>
      <c r="AT14" s="303">
        <f>'Main inputs'!E96</f>
        <v>30</v>
      </c>
      <c r="AU14" s="303">
        <f>'Main inputs'!F96</f>
        <v>25</v>
      </c>
      <c r="AV14" s="303">
        <f>'Main inputs'!G96</f>
        <v>33</v>
      </c>
      <c r="AW14" s="303">
        <f>'Main inputs'!H96</f>
        <v>89</v>
      </c>
      <c r="AX14" s="303">
        <f>'Main inputs'!I96</f>
        <v>45</v>
      </c>
      <c r="AY14" s="303">
        <f>'Main inputs'!J96</f>
        <v>125</v>
      </c>
      <c r="AZ14" s="303">
        <f>'Main inputs'!K96</f>
        <v>30</v>
      </c>
      <c r="BA14" s="303">
        <f>'Main inputs'!L96</f>
        <v>33</v>
      </c>
      <c r="BB14" s="303">
        <f>'Main inputs'!M96</f>
        <v>25</v>
      </c>
      <c r="BC14" s="303">
        <f>'Main inputs'!N96</f>
        <v>30</v>
      </c>
      <c r="BD14" s="303">
        <f>'Main inputs'!O96</f>
        <v>25</v>
      </c>
      <c r="BE14" s="303">
        <f>'Main inputs'!P96</f>
        <v>33</v>
      </c>
    </row>
    <row r="15" spans="2:57" ht="15.75" customHeight="1" outlineLevel="1" x14ac:dyDescent="0.15">
      <c r="B15" s="300" t="s">
        <v>116</v>
      </c>
      <c r="C15" s="303">
        <f t="shared" ref="C15:O15" si="3">_xlfn.IFS(C30="Grid",C16,C30="Mini-grid",C17,C30="Standalone",0)</f>
        <v>0</v>
      </c>
      <c r="D15" s="303">
        <f t="shared" si="3"/>
        <v>18.082152000000001</v>
      </c>
      <c r="E15" s="303">
        <f t="shared" si="3"/>
        <v>165.75306</v>
      </c>
      <c r="F15" s="303">
        <f t="shared" si="3"/>
        <v>6780.8069999999989</v>
      </c>
      <c r="G15" s="303">
        <f t="shared" si="3"/>
        <v>0</v>
      </c>
      <c r="H15" s="303">
        <f t="shared" si="3"/>
        <v>497.25917999999996</v>
      </c>
      <c r="I15" s="303">
        <f t="shared" si="3"/>
        <v>2147.2555499999994</v>
      </c>
      <c r="J15" s="303">
        <f t="shared" si="3"/>
        <v>4972.5917999999992</v>
      </c>
      <c r="K15" s="303">
        <f t="shared" si="3"/>
        <v>339.04034999999993</v>
      </c>
      <c r="L15" s="303">
        <f t="shared" si="3"/>
        <v>0</v>
      </c>
      <c r="M15" s="303">
        <f t="shared" si="3"/>
        <v>56.506724999999989</v>
      </c>
      <c r="N15" s="303">
        <f t="shared" si="3"/>
        <v>18.082152000000001</v>
      </c>
      <c r="O15" s="303">
        <f t="shared" si="3"/>
        <v>2260.2689999999998</v>
      </c>
      <c r="P15" s="303">
        <v>0</v>
      </c>
      <c r="Q15" s="303">
        <f t="shared" ref="Q15:BE15" si="4">_xlfn.IFS(Q30="Grid",Q16,Q30="Mini-grid",Q17,Q30="Standalone",0)</f>
        <v>0</v>
      </c>
      <c r="R15" s="303">
        <f t="shared" si="4"/>
        <v>82.120500000000007</v>
      </c>
      <c r="S15" s="303">
        <f t="shared" si="4"/>
        <v>513.25312500000007</v>
      </c>
      <c r="T15" s="303">
        <f t="shared" si="4"/>
        <v>1026.5062499999999</v>
      </c>
      <c r="U15" s="303">
        <f t="shared" si="4"/>
        <v>410.60249999999996</v>
      </c>
      <c r="V15" s="303">
        <f t="shared" si="4"/>
        <v>0</v>
      </c>
      <c r="W15" s="303">
        <f t="shared" si="4"/>
        <v>903.32550000000003</v>
      </c>
      <c r="X15" s="303">
        <f t="shared" si="4"/>
        <v>0</v>
      </c>
      <c r="Y15" s="303">
        <f t="shared" si="4"/>
        <v>16.424100000000003</v>
      </c>
      <c r="Z15" s="303">
        <f t="shared" si="4"/>
        <v>410.60249999999996</v>
      </c>
      <c r="AA15" s="303">
        <f t="shared" si="4"/>
        <v>164.24099999999999</v>
      </c>
      <c r="AB15" s="303">
        <f t="shared" si="4"/>
        <v>0</v>
      </c>
      <c r="AC15" s="303">
        <f t="shared" si="4"/>
        <v>0</v>
      </c>
      <c r="AD15" s="303">
        <f t="shared" si="4"/>
        <v>43.015500000000003</v>
      </c>
      <c r="AE15" s="303">
        <f t="shared" si="4"/>
        <v>293.28749999999997</v>
      </c>
      <c r="AF15" s="303">
        <f t="shared" si="4"/>
        <v>439.93124999999992</v>
      </c>
      <c r="AG15" s="303">
        <f t="shared" si="4"/>
        <v>0</v>
      </c>
      <c r="AH15" s="303">
        <f t="shared" si="4"/>
        <v>469.25999999999993</v>
      </c>
      <c r="AI15" s="303">
        <f t="shared" si="4"/>
        <v>1759.7249999999997</v>
      </c>
      <c r="AJ15" s="303">
        <f t="shared" si="4"/>
        <v>1759.7249999999997</v>
      </c>
      <c r="AK15" s="303">
        <f t="shared" si="4"/>
        <v>351.94499999999994</v>
      </c>
      <c r="AL15" s="303">
        <f t="shared" si="4"/>
        <v>0</v>
      </c>
      <c r="AM15" s="303">
        <f t="shared" si="4"/>
        <v>58.657499999999992</v>
      </c>
      <c r="AN15" s="303">
        <f t="shared" si="4"/>
        <v>860.31</v>
      </c>
      <c r="AO15" s="303">
        <f t="shared" si="4"/>
        <v>312.83999999999997</v>
      </c>
      <c r="AP15" s="303">
        <f t="shared" si="4"/>
        <v>469.25999999999993</v>
      </c>
      <c r="AQ15" s="303">
        <f t="shared" si="4"/>
        <v>0</v>
      </c>
      <c r="AR15" s="303">
        <f t="shared" si="4"/>
        <v>0</v>
      </c>
      <c r="AS15" s="303">
        <f t="shared" si="4"/>
        <v>28.677000000000007</v>
      </c>
      <c r="AT15" s="303">
        <f t="shared" si="4"/>
        <v>195.52499999999998</v>
      </c>
      <c r="AU15" s="303">
        <f t="shared" si="4"/>
        <v>58.657499999999999</v>
      </c>
      <c r="AV15" s="303">
        <f t="shared" si="4"/>
        <v>0</v>
      </c>
      <c r="AW15" s="303">
        <f t="shared" si="4"/>
        <v>39.104999999999997</v>
      </c>
      <c r="AX15" s="303">
        <f t="shared" si="4"/>
        <v>26.07</v>
      </c>
      <c r="AY15" s="303">
        <f t="shared" si="4"/>
        <v>573.54</v>
      </c>
      <c r="AZ15" s="303">
        <f t="shared" si="4"/>
        <v>417.12</v>
      </c>
      <c r="BA15" s="303">
        <f t="shared" si="4"/>
        <v>0</v>
      </c>
      <c r="BB15" s="303">
        <f t="shared" si="4"/>
        <v>28.677000000000007</v>
      </c>
      <c r="BC15" s="303">
        <f t="shared" si="4"/>
        <v>234.63</v>
      </c>
      <c r="BD15" s="303">
        <f t="shared" si="4"/>
        <v>58.657499999999999</v>
      </c>
      <c r="BE15" s="303">
        <f t="shared" si="4"/>
        <v>0</v>
      </c>
    </row>
    <row r="16" spans="2:57" ht="15.75" customHeight="1" outlineLevel="2" x14ac:dyDescent="0.15">
      <c r="B16" s="300" t="s">
        <v>117</v>
      </c>
      <c r="C16" s="303">
        <f>'Main inputs'!C26*'Main inputs'!C7</f>
        <v>33.813857927710849</v>
      </c>
      <c r="D16" s="303">
        <f>'Main inputs'!D26*'Main inputs'!D7</f>
        <v>2.6836395180722898</v>
      </c>
      <c r="E16" s="303">
        <f>'Main inputs'!E26*'Main inputs'!E7</f>
        <v>24.600028915662655</v>
      </c>
      <c r="F16" s="303">
        <f>'Main inputs'!F26*'Main inputs'!F7</f>
        <v>1006.3648192771084</v>
      </c>
      <c r="G16" s="303">
        <f>'Main inputs'!G26*'Main inputs'!G7</f>
        <v>67.627715855421698</v>
      </c>
      <c r="H16" s="303">
        <f>'Main inputs'!H26*'Main inputs'!H7</f>
        <v>73.800086746987958</v>
      </c>
      <c r="I16" s="303">
        <f>'Main inputs'!I26*'Main inputs'!I7</f>
        <v>318.68219277108432</v>
      </c>
      <c r="J16" s="303">
        <f>'Main inputs'!J26*'Main inputs'!J7</f>
        <v>738.00086746987949</v>
      </c>
      <c r="K16" s="303">
        <f>'Main inputs'!K26*'Main inputs'!K7</f>
        <v>50.318240963855416</v>
      </c>
      <c r="L16" s="303">
        <f>'Main inputs'!L26*'Main inputs'!L7</f>
        <v>28.178214939759041</v>
      </c>
      <c r="M16" s="303">
        <f>'Main inputs'!M26*'Main inputs'!M7</f>
        <v>8.3863734939759027</v>
      </c>
      <c r="N16" s="303">
        <f>'Main inputs'!N26*'Main inputs'!N7</f>
        <v>2.6836395180722898</v>
      </c>
      <c r="O16" s="303">
        <f>'Main inputs'!O26*'Main inputs'!O7</f>
        <v>335.45493975903617</v>
      </c>
      <c r="P16" s="303">
        <f>'Main inputs'!P26*'Main inputs'!P7</f>
        <v>28.178214939759041</v>
      </c>
      <c r="Q16" s="303">
        <f>'Main inputs'!C35*'Main inputs'!C54</f>
        <v>20.146896000000002</v>
      </c>
      <c r="R16" s="303">
        <f>'Main inputs'!D35*'Main inputs'!D54</f>
        <v>35.976600000000005</v>
      </c>
      <c r="S16" s="303">
        <f>'Main inputs'!E35*'Main inputs'!E54</f>
        <v>224.85375000000002</v>
      </c>
      <c r="T16" s="303">
        <f>'Main inputs'!F35*'Main inputs'!F54</f>
        <v>449.70749999999998</v>
      </c>
      <c r="U16" s="303">
        <f>'Main inputs'!G35*'Main inputs'!G54</f>
        <v>179.88299999999998</v>
      </c>
      <c r="V16" s="303">
        <f>'Main inputs'!H35*'Main inputs'!H54</f>
        <v>60.440688000000002</v>
      </c>
      <c r="W16" s="303">
        <f>'Main inputs'!I35*'Main inputs'!I54</f>
        <v>395.74259999999998</v>
      </c>
      <c r="X16" s="303">
        <f>'Main inputs'!J35*'Main inputs'!J54</f>
        <v>15.110172</v>
      </c>
      <c r="Y16" s="303">
        <f>'Main inputs'!K35*'Main inputs'!K54</f>
        <v>7.1953200000000015</v>
      </c>
      <c r="Z16" s="303">
        <f>'Main inputs'!L35*'Main inputs'!L54</f>
        <v>179.88299999999998</v>
      </c>
      <c r="AA16" s="303">
        <f>'Main inputs'!M35*'Main inputs'!M54</f>
        <v>71.953199999999995</v>
      </c>
      <c r="AB16" s="303">
        <f>'Main inputs'!N35*'Main inputs'!N54</f>
        <v>15.110172</v>
      </c>
      <c r="AC16" s="303">
        <f>'Main inputs'!C63*'Main inputs'!C82</f>
        <v>9.8106624</v>
      </c>
      <c r="AD16" s="303">
        <f>'Main inputs'!D63*'Main inputs'!D82</f>
        <v>9.1766400000000008</v>
      </c>
      <c r="AE16" s="303">
        <f>'Main inputs'!E63*'Main inputs'!E82</f>
        <v>62.567999999999991</v>
      </c>
      <c r="AF16" s="303">
        <f>'Main inputs'!F63*'Main inputs'!F82</f>
        <v>93.85199999999999</v>
      </c>
      <c r="AG16" s="303">
        <f>'Main inputs'!G63*'Main inputs'!G82</f>
        <v>16.818278400000001</v>
      </c>
      <c r="AH16" s="303">
        <f>'Main inputs'!H63*'Main inputs'!H82</f>
        <v>100.10879999999999</v>
      </c>
      <c r="AI16" s="303">
        <f>'Main inputs'!I63*'Main inputs'!I82</f>
        <v>375.40799999999996</v>
      </c>
      <c r="AJ16" s="303">
        <f>'Main inputs'!J63*'Main inputs'!J82</f>
        <v>375.40799999999996</v>
      </c>
      <c r="AK16" s="303">
        <f>'Main inputs'!K63*'Main inputs'!K82</f>
        <v>75.081599999999995</v>
      </c>
      <c r="AL16" s="303">
        <f>'Main inputs'!L63*'Main inputs'!L82</f>
        <v>8.4091392000000003</v>
      </c>
      <c r="AM16" s="303">
        <f>'Main inputs'!M63*'Main inputs'!M82</f>
        <v>12.513599999999999</v>
      </c>
      <c r="AN16" s="303">
        <f>'Main inputs'!N63*'Main inputs'!N82</f>
        <v>183.53279999999998</v>
      </c>
      <c r="AO16" s="303">
        <f>'Main inputs'!O63*'Main inputs'!O82</f>
        <v>66.739199999999997</v>
      </c>
      <c r="AP16" s="303">
        <f>'Main inputs'!P63*'Main inputs'!P82</f>
        <v>100.10879999999999</v>
      </c>
      <c r="AQ16" s="303">
        <f>'Main inputs'!Q63*'Main inputs'!Q82</f>
        <v>8.4091392000000003</v>
      </c>
      <c r="AR16" s="303">
        <f>'Main inputs'!C91*'Main inputs'!C110</f>
        <v>101.17245600000001</v>
      </c>
      <c r="AS16" s="303">
        <f>'Main inputs'!D91*'Main inputs'!D110</f>
        <v>17.206200000000003</v>
      </c>
      <c r="AT16" s="303">
        <f>'Main inputs'!E91*'Main inputs'!E110</f>
        <v>117.31499999999998</v>
      </c>
      <c r="AU16" s="303">
        <f>'Main inputs'!F91*'Main inputs'!F110</f>
        <v>35.194499999999998</v>
      </c>
      <c r="AV16" s="303">
        <f>'Main inputs'!G91*'Main inputs'!G110</f>
        <v>115.625664</v>
      </c>
      <c r="AW16" s="303">
        <f>'Main inputs'!H91*'Main inputs'!H110</f>
        <v>23.462999999999997</v>
      </c>
      <c r="AX16" s="303">
        <f>'Main inputs'!I91*'Main inputs'!I110</f>
        <v>15.641999999999999</v>
      </c>
      <c r="AY16" s="303">
        <f>'Main inputs'!J91*'Main inputs'!J110</f>
        <v>344.12399999999997</v>
      </c>
      <c r="AZ16" s="303">
        <f>'Main inputs'!K91*'Main inputs'!K110</f>
        <v>250.27199999999999</v>
      </c>
      <c r="BA16" s="303">
        <f>'Main inputs'!L91*'Main inputs'!L110</f>
        <v>101.17245600000001</v>
      </c>
      <c r="BB16" s="303">
        <f>'Main inputs'!M91*'Main inputs'!M110</f>
        <v>17.206200000000003</v>
      </c>
      <c r="BC16" s="303">
        <f>'Main inputs'!N91*'Main inputs'!N110</f>
        <v>140.77799999999999</v>
      </c>
      <c r="BD16" s="303">
        <f>'Main inputs'!O91*'Main inputs'!O110</f>
        <v>35.194499999999998</v>
      </c>
      <c r="BE16" s="303">
        <f>'Main inputs'!P91*'Main inputs'!P110</f>
        <v>101.17245600000001</v>
      </c>
    </row>
    <row r="17" spans="1:69" ht="15.75" customHeight="1" outlineLevel="2" x14ac:dyDescent="0.15">
      <c r="B17" s="300" t="s">
        <v>118</v>
      </c>
      <c r="C17" s="303">
        <f>'Main inputs'!C26*'Main inputs'!C8</f>
        <v>227.83511519999999</v>
      </c>
      <c r="D17" s="303">
        <f>'Main inputs'!D26*'Main inputs'!D8</f>
        <v>18.082152000000001</v>
      </c>
      <c r="E17" s="303">
        <f>'Main inputs'!E26*'Main inputs'!E8</f>
        <v>165.75306</v>
      </c>
      <c r="F17" s="303">
        <f>'Main inputs'!F26*'Main inputs'!F8</f>
        <v>6780.8069999999989</v>
      </c>
      <c r="G17" s="303">
        <f>'Main inputs'!G26*'Main inputs'!G8</f>
        <v>455.67023039999998</v>
      </c>
      <c r="H17" s="303">
        <f>'Main inputs'!H26*'Main inputs'!H8</f>
        <v>497.25917999999996</v>
      </c>
      <c r="I17" s="303">
        <f>'Main inputs'!I26*'Main inputs'!I8</f>
        <v>2147.2555499999994</v>
      </c>
      <c r="J17" s="303">
        <f>'Main inputs'!J26*'Main inputs'!J8</f>
        <v>4972.5917999999992</v>
      </c>
      <c r="K17" s="303">
        <f>'Main inputs'!K26*'Main inputs'!K8</f>
        <v>339.04034999999993</v>
      </c>
      <c r="L17" s="303">
        <f>'Main inputs'!L26*'Main inputs'!L8</f>
        <v>189.862596</v>
      </c>
      <c r="M17" s="303">
        <f>'Main inputs'!M26*'Main inputs'!M8</f>
        <v>56.506724999999989</v>
      </c>
      <c r="N17" s="303">
        <f>'Main inputs'!N26*'Main inputs'!N8</f>
        <v>18.082152000000001</v>
      </c>
      <c r="O17" s="303">
        <f>'Main inputs'!O26*'Main inputs'!O8</f>
        <v>2260.2689999999998</v>
      </c>
      <c r="P17" s="303">
        <f>'Main inputs'!P26*'Main inputs'!P8</f>
        <v>189.862596</v>
      </c>
      <c r="Q17" s="303">
        <f>'Main inputs'!C36*'Main inputs'!C54</f>
        <v>45.987480000000005</v>
      </c>
      <c r="R17" s="303">
        <f>'Main inputs'!D36*'Main inputs'!D54</f>
        <v>82.120500000000007</v>
      </c>
      <c r="S17" s="303">
        <f>'Main inputs'!E36*'Main inputs'!E54</f>
        <v>513.25312500000007</v>
      </c>
      <c r="T17" s="303">
        <f>'Main inputs'!F36*'Main inputs'!F54</f>
        <v>1026.5062499999999</v>
      </c>
      <c r="U17" s="303">
        <f>'Main inputs'!G36*'Main inputs'!G54</f>
        <v>410.60249999999996</v>
      </c>
      <c r="V17" s="303">
        <f>'Main inputs'!H36*'Main inputs'!H54</f>
        <v>137.96243999999999</v>
      </c>
      <c r="W17" s="303">
        <f>'Main inputs'!I36*'Main inputs'!I54</f>
        <v>903.32550000000003</v>
      </c>
      <c r="X17" s="303">
        <f>'Main inputs'!J36*'Main inputs'!J54</f>
        <v>34.490609999999997</v>
      </c>
      <c r="Y17" s="303">
        <f>'Main inputs'!K36*'Main inputs'!K54</f>
        <v>16.424100000000003</v>
      </c>
      <c r="Z17" s="303">
        <f>'Main inputs'!L36*'Main inputs'!L54</f>
        <v>410.60249999999996</v>
      </c>
      <c r="AA17" s="303">
        <f>'Main inputs'!M36*'Main inputs'!M54</f>
        <v>164.24099999999999</v>
      </c>
      <c r="AB17" s="303">
        <f>'Main inputs'!N36*'Main inputs'!N54</f>
        <v>34.490609999999997</v>
      </c>
      <c r="AC17" s="303">
        <f>'Main inputs'!C64*'Main inputs'!C82</f>
        <v>45.987479999999998</v>
      </c>
      <c r="AD17" s="303">
        <f>'Main inputs'!D64*'Main inputs'!D82</f>
        <v>43.015500000000003</v>
      </c>
      <c r="AE17" s="303">
        <f>'Main inputs'!E64*'Main inputs'!E82</f>
        <v>293.28749999999997</v>
      </c>
      <c r="AF17" s="303">
        <f>'Main inputs'!F64*'Main inputs'!F82</f>
        <v>439.93124999999992</v>
      </c>
      <c r="AG17" s="303">
        <f>'Main inputs'!G64*'Main inputs'!G82</f>
        <v>78.835679999999996</v>
      </c>
      <c r="AH17" s="303">
        <f>'Main inputs'!H64*'Main inputs'!H82</f>
        <v>469.25999999999993</v>
      </c>
      <c r="AI17" s="303">
        <f>'Main inputs'!I64*'Main inputs'!I82</f>
        <v>1759.7249999999997</v>
      </c>
      <c r="AJ17" s="303">
        <f>'Main inputs'!J64*'Main inputs'!J82</f>
        <v>1759.7249999999997</v>
      </c>
      <c r="AK17" s="303">
        <f>'Main inputs'!K64*'Main inputs'!K82</f>
        <v>351.94499999999994</v>
      </c>
      <c r="AL17" s="303">
        <f>'Main inputs'!L64*'Main inputs'!L82</f>
        <v>39.417839999999998</v>
      </c>
      <c r="AM17" s="303">
        <f>'Main inputs'!M64*'Main inputs'!M82</f>
        <v>58.657499999999992</v>
      </c>
      <c r="AN17" s="303">
        <f>'Main inputs'!N64*'Main inputs'!N82</f>
        <v>860.31</v>
      </c>
      <c r="AO17" s="303">
        <f>'Main inputs'!O64*'Main inputs'!O82</f>
        <v>312.83999999999997</v>
      </c>
      <c r="AP17" s="303">
        <f>'Main inputs'!P64*'Main inputs'!P82</f>
        <v>469.25999999999993</v>
      </c>
      <c r="AQ17" s="303">
        <f>'Main inputs'!Q64*'Main inputs'!Q82</f>
        <v>39.417839999999998</v>
      </c>
      <c r="AR17" s="303">
        <f>'Main inputs'!C92*'Main inputs'!C110</f>
        <v>168.62076000000002</v>
      </c>
      <c r="AS17" s="303">
        <f>'Main inputs'!D92*'Main inputs'!D110</f>
        <v>28.677000000000007</v>
      </c>
      <c r="AT17" s="303">
        <f>'Main inputs'!E92*'Main inputs'!E110</f>
        <v>195.52499999999998</v>
      </c>
      <c r="AU17" s="303">
        <f>'Main inputs'!F92*'Main inputs'!F110</f>
        <v>58.657499999999999</v>
      </c>
      <c r="AV17" s="303">
        <f>'Main inputs'!G92*'Main inputs'!G110</f>
        <v>192.70944000000003</v>
      </c>
      <c r="AW17" s="303">
        <f>'Main inputs'!H92*'Main inputs'!H110</f>
        <v>39.104999999999997</v>
      </c>
      <c r="AX17" s="303">
        <f>'Main inputs'!I92*'Main inputs'!I110</f>
        <v>26.07</v>
      </c>
      <c r="AY17" s="303">
        <f>'Main inputs'!J92*'Main inputs'!J110</f>
        <v>573.54</v>
      </c>
      <c r="AZ17" s="303">
        <f>'Main inputs'!K92*'Main inputs'!K110</f>
        <v>417.12</v>
      </c>
      <c r="BA17" s="303">
        <f>'Main inputs'!L92*'Main inputs'!L110</f>
        <v>168.62076000000002</v>
      </c>
      <c r="BB17" s="303">
        <f>'Main inputs'!M92*'Main inputs'!M110</f>
        <v>28.677000000000007</v>
      </c>
      <c r="BC17" s="303">
        <f>'Main inputs'!N92*'Main inputs'!N110</f>
        <v>234.63</v>
      </c>
      <c r="BD17" s="303">
        <f>'Main inputs'!O92*'Main inputs'!O110</f>
        <v>58.657499999999999</v>
      </c>
      <c r="BE17" s="303">
        <f>'Main inputs'!P92*'Main inputs'!P110</f>
        <v>168.62076000000002</v>
      </c>
    </row>
    <row r="18" spans="1:69" ht="15.75" customHeight="1" outlineLevel="2" x14ac:dyDescent="0.15">
      <c r="B18" s="300"/>
      <c r="Q18" s="303"/>
      <c r="AC18" s="303"/>
      <c r="AD18" s="303"/>
      <c r="AE18" s="303"/>
      <c r="AF18" s="303"/>
      <c r="AG18" s="303"/>
      <c r="AH18" s="303"/>
      <c r="AI18" s="303"/>
      <c r="AJ18" s="303"/>
      <c r="AK18" s="303"/>
      <c r="AL18" s="303"/>
      <c r="AM18" s="303"/>
      <c r="AN18" s="303"/>
      <c r="AO18" s="303"/>
      <c r="AP18" s="303"/>
      <c r="AQ18" s="303"/>
      <c r="AR18" s="303"/>
      <c r="AS18" s="303"/>
      <c r="AT18" s="303"/>
      <c r="AU18" s="303"/>
      <c r="AV18" s="303"/>
      <c r="AW18" s="303"/>
      <c r="AX18" s="303"/>
      <c r="AY18" s="303"/>
      <c r="AZ18" s="303"/>
      <c r="BA18" s="303"/>
      <c r="BB18" s="303"/>
      <c r="BC18" s="303"/>
      <c r="BD18" s="303"/>
      <c r="BE18" s="303"/>
    </row>
    <row r="19" spans="1:69" ht="15.75" customHeight="1" outlineLevel="1" x14ac:dyDescent="0.15">
      <c r="B19" s="300"/>
      <c r="Q19" s="303"/>
      <c r="AC19" s="303"/>
      <c r="AD19" s="303"/>
      <c r="AE19" s="303"/>
      <c r="AF19" s="303"/>
      <c r="AG19" s="303"/>
      <c r="AH19" s="303"/>
      <c r="AI19" s="303"/>
      <c r="AJ19" s="303"/>
      <c r="AK19" s="303"/>
      <c r="AL19" s="303"/>
      <c r="AM19" s="303"/>
      <c r="AN19" s="303"/>
      <c r="AO19" s="303"/>
      <c r="AP19" s="303"/>
      <c r="AQ19" s="303"/>
      <c r="AR19" s="303"/>
      <c r="AS19" s="303"/>
      <c r="AT19" s="303"/>
      <c r="AU19" s="303"/>
      <c r="AV19" s="303"/>
      <c r="AW19" s="303"/>
      <c r="AX19" s="303"/>
      <c r="AY19" s="303"/>
      <c r="AZ19" s="303"/>
      <c r="BA19" s="303"/>
      <c r="BB19" s="303"/>
      <c r="BC19" s="303"/>
      <c r="BD19" s="303"/>
      <c r="BE19" s="303"/>
    </row>
    <row r="20" spans="1:69" ht="15.75" customHeight="1" outlineLevel="1" x14ac:dyDescent="0.15">
      <c r="B20" s="307" t="s">
        <v>119</v>
      </c>
      <c r="C20" s="306">
        <f t="shared" ref="C20:Z20" si="5">SUM(C12:C15)</f>
        <v>792.90361445783128</v>
      </c>
      <c r="D20" s="306">
        <f t="shared" si="5"/>
        <v>636.3592604337349</v>
      </c>
      <c r="E20" s="306">
        <f t="shared" si="5"/>
        <v>819.03016843373496</v>
      </c>
      <c r="F20" s="306">
        <f t="shared" si="5"/>
        <v>8060.5901325301193</v>
      </c>
      <c r="G20" s="306">
        <f t="shared" si="5"/>
        <v>1262.7831325301204</v>
      </c>
      <c r="H20" s="306">
        <f t="shared" si="5"/>
        <v>2760.8013486746986</v>
      </c>
      <c r="I20" s="306">
        <f t="shared" si="5"/>
        <v>4410.7977186746975</v>
      </c>
      <c r="J20" s="306">
        <f t="shared" si="5"/>
        <v>7236.1339686746978</v>
      </c>
      <c r="K20" s="306">
        <f t="shared" si="5"/>
        <v>2602.5825186746983</v>
      </c>
      <c r="L20" s="306">
        <f t="shared" si="5"/>
        <v>714.59036144578317</v>
      </c>
      <c r="M20" s="306">
        <f t="shared" si="5"/>
        <v>683.78383343373491</v>
      </c>
      <c r="N20" s="306">
        <f t="shared" si="5"/>
        <v>629.3592604337349</v>
      </c>
      <c r="O20" s="306">
        <f t="shared" si="5"/>
        <v>3256.7991204819273</v>
      </c>
      <c r="P20" s="306">
        <f t="shared" si="5"/>
        <v>714.59036144578317</v>
      </c>
      <c r="Q20" s="306">
        <f t="shared" si="5"/>
        <v>720.27090071199245</v>
      </c>
      <c r="R20" s="306">
        <f t="shared" si="5"/>
        <v>784.39140071199245</v>
      </c>
      <c r="S20" s="306">
        <f t="shared" si="5"/>
        <v>1225.5240257119926</v>
      </c>
      <c r="T20" s="306">
        <f t="shared" si="5"/>
        <v>2553.2707593648929</v>
      </c>
      <c r="U20" s="306">
        <f t="shared" si="5"/>
        <v>1917.3670093648932</v>
      </c>
      <c r="V20" s="306">
        <f t="shared" si="5"/>
        <v>1514.7645093648932</v>
      </c>
      <c r="W20" s="306">
        <f t="shared" si="5"/>
        <v>3670.8304223442442</v>
      </c>
      <c r="X20" s="306">
        <f t="shared" si="5"/>
        <v>620.95919963038</v>
      </c>
      <c r="Y20" s="306">
        <f t="shared" si="5"/>
        <v>711.69500071199241</v>
      </c>
      <c r="Z20" s="306">
        <f t="shared" si="5"/>
        <v>1131.4734007119923</v>
      </c>
      <c r="AA20" s="306">
        <f>SUM(AA12:AA15)</f>
        <v>885.11190071199246</v>
      </c>
      <c r="AB20" s="306">
        <f t="shared" ref="AB20:BE20" si="6">SUM(AB12:AB15)</f>
        <v>620.95919963038</v>
      </c>
      <c r="AC20" s="306">
        <f t="shared" si="6"/>
        <v>718.31821403260096</v>
      </c>
      <c r="AD20" s="306">
        <f t="shared" si="6"/>
        <v>470.98077285613044</v>
      </c>
      <c r="AE20" s="306">
        <f t="shared" si="6"/>
        <v>957.13512579730673</v>
      </c>
      <c r="AF20" s="306">
        <f t="shared" si="6"/>
        <v>1113.7788757973067</v>
      </c>
      <c r="AG20" s="306">
        <f t="shared" si="6"/>
        <v>1000.6711552090716</v>
      </c>
      <c r="AH20" s="306">
        <f t="shared" si="6"/>
        <v>2189.7782140326008</v>
      </c>
      <c r="AI20" s="306">
        <f t="shared" si="6"/>
        <v>3499.0432140326006</v>
      </c>
      <c r="AJ20" s="306">
        <f t="shared" si="6"/>
        <v>3508.4432140326007</v>
      </c>
      <c r="AK20" s="306">
        <f t="shared" si="6"/>
        <v>2053.663214032601</v>
      </c>
      <c r="AL20" s="306">
        <f t="shared" si="6"/>
        <v>661.84762579730682</v>
      </c>
      <c r="AM20" s="306">
        <f t="shared" si="6"/>
        <v>550.62277285613038</v>
      </c>
      <c r="AN20" s="306">
        <f t="shared" si="6"/>
        <v>2156.863508150248</v>
      </c>
      <c r="AO20" s="306">
        <f t="shared" si="6"/>
        <v>1549.393508150248</v>
      </c>
      <c r="AP20" s="306">
        <f t="shared" si="6"/>
        <v>1705.813508150248</v>
      </c>
      <c r="AQ20" s="306">
        <f t="shared" si="6"/>
        <v>661.84762579730682</v>
      </c>
      <c r="AR20" s="306">
        <f t="shared" si="6"/>
        <v>999.81967649603939</v>
      </c>
      <c r="AS20" s="306">
        <f t="shared" si="6"/>
        <v>537.0712621313985</v>
      </c>
      <c r="AT20" s="306">
        <f t="shared" si="6"/>
        <v>1095.659593623111</v>
      </c>
      <c r="AU20" s="306">
        <f t="shared" si="6"/>
        <v>953.79209362311121</v>
      </c>
      <c r="AV20" s="306">
        <f t="shared" si="6"/>
        <v>1096.5047593689676</v>
      </c>
      <c r="AW20" s="306">
        <f t="shared" si="6"/>
        <v>611.49926213139861</v>
      </c>
      <c r="AX20" s="306">
        <f t="shared" si="6"/>
        <v>554.46426213139864</v>
      </c>
      <c r="AY20" s="306">
        <f t="shared" si="6"/>
        <v>2535.525422352393</v>
      </c>
      <c r="AZ20" s="306">
        <f t="shared" si="6"/>
        <v>2284.1054223523929</v>
      </c>
      <c r="BA20" s="306">
        <f t="shared" si="6"/>
        <v>999.81967649603939</v>
      </c>
      <c r="BB20" s="306">
        <f t="shared" si="6"/>
        <v>537.0712621313985</v>
      </c>
      <c r="BC20" s="306">
        <f t="shared" si="6"/>
        <v>1134.7645936231111</v>
      </c>
      <c r="BD20" s="306">
        <f t="shared" si="6"/>
        <v>953.79209362311121</v>
      </c>
      <c r="BE20" s="306">
        <f t="shared" si="6"/>
        <v>999.81967649603939</v>
      </c>
    </row>
    <row r="21" spans="1:69" ht="15.75" customHeight="1" outlineLevel="1" x14ac:dyDescent="0.15">
      <c r="Q21" s="303"/>
      <c r="AC21" s="303"/>
      <c r="AD21" s="303"/>
      <c r="AE21" s="303"/>
      <c r="AF21" s="303"/>
      <c r="AG21" s="303"/>
      <c r="AH21" s="303"/>
      <c r="AI21" s="303"/>
      <c r="AJ21" s="303"/>
      <c r="AK21" s="303"/>
      <c r="AL21" s="303"/>
      <c r="AM21" s="303"/>
      <c r="AN21" s="303"/>
      <c r="AO21" s="303"/>
      <c r="AP21" s="303"/>
      <c r="AQ21" s="303"/>
      <c r="AR21" s="303"/>
      <c r="AS21" s="303"/>
      <c r="AT21" s="303"/>
      <c r="AU21" s="303"/>
      <c r="AV21" s="303"/>
      <c r="AW21" s="303"/>
      <c r="AX21" s="303"/>
      <c r="AY21" s="303"/>
      <c r="AZ21" s="303"/>
      <c r="BA21" s="303"/>
      <c r="BB21" s="303"/>
      <c r="BC21" s="303"/>
      <c r="BD21" s="303"/>
      <c r="BE21" s="303"/>
    </row>
    <row r="22" spans="1:69" ht="15.75" customHeight="1" outlineLevel="1" x14ac:dyDescent="0.15">
      <c r="B22" s="308" t="s">
        <v>120</v>
      </c>
      <c r="C22" s="309">
        <f>C9-C20</f>
        <v>1647.8963855421689</v>
      </c>
      <c r="D22" s="309">
        <f t="shared" ref="D22:Z22" si="7">D9-D20</f>
        <v>677.56873956626544</v>
      </c>
      <c r="E22" s="309">
        <f t="shared" si="7"/>
        <v>745.16983156626509</v>
      </c>
      <c r="F22" s="309">
        <f t="shared" si="7"/>
        <v>3670.9098674698789</v>
      </c>
      <c r="G22" s="309">
        <f t="shared" si="7"/>
        <v>-973.85956110154893</v>
      </c>
      <c r="H22" s="309">
        <f t="shared" si="7"/>
        <v>1931.7986513252999</v>
      </c>
      <c r="I22" s="309">
        <f t="shared" si="7"/>
        <v>1454.9522813253016</v>
      </c>
      <c r="J22" s="309">
        <f t="shared" si="7"/>
        <v>389.34103132530072</v>
      </c>
      <c r="K22" s="309">
        <f t="shared" si="7"/>
        <v>916.86748132530101</v>
      </c>
      <c r="L22" s="309">
        <f t="shared" si="7"/>
        <v>2609.9879518072294</v>
      </c>
      <c r="M22" s="309">
        <f t="shared" si="7"/>
        <v>619.71616656626509</v>
      </c>
      <c r="N22" s="309">
        <f t="shared" si="7"/>
        <v>341.19857089156653</v>
      </c>
      <c r="O22" s="309">
        <f t="shared" si="7"/>
        <v>653.70087951807272</v>
      </c>
      <c r="P22" s="309">
        <f t="shared" si="7"/>
        <v>2803.8096385542167</v>
      </c>
      <c r="Q22" s="309">
        <f t="shared" si="7"/>
        <v>3304.0457167904665</v>
      </c>
      <c r="R22" s="309">
        <f t="shared" si="7"/>
        <v>1066.068119464999</v>
      </c>
      <c r="S22" s="309">
        <f t="shared" si="7"/>
        <v>3441.0059742880071</v>
      </c>
      <c r="T22" s="309">
        <f t="shared" si="7"/>
        <v>946.62674063510622</v>
      </c>
      <c r="U22" s="309">
        <f t="shared" si="7"/>
        <v>1582.5304906351059</v>
      </c>
      <c r="V22" s="309">
        <f t="shared" si="7"/>
        <v>-1304.1935022009657</v>
      </c>
      <c r="W22" s="309">
        <f t="shared" si="7"/>
        <v>-2013.6089710168087</v>
      </c>
      <c r="X22" s="309">
        <f t="shared" si="7"/>
        <v>3927.0283765063714</v>
      </c>
      <c r="Y22" s="309">
        <f t="shared" si="7"/>
        <v>282.54962428800786</v>
      </c>
      <c r="Z22" s="309">
        <f t="shared" si="7"/>
        <v>2182.675349288008</v>
      </c>
      <c r="AA22" s="309">
        <f>AA9-AA20</f>
        <v>771.96247428800768</v>
      </c>
      <c r="AB22" s="309">
        <f t="shared" ref="AB22:BE22" si="8">AB9-AB20</f>
        <v>7062.9542713627379</v>
      </c>
      <c r="AC22" s="309">
        <f t="shared" si="8"/>
        <v>3439.8692859673993</v>
      </c>
      <c r="AD22" s="309">
        <f t="shared" si="8"/>
        <v>311.11922714387026</v>
      </c>
      <c r="AE22" s="309">
        <f t="shared" si="8"/>
        <v>450.64487420269438</v>
      </c>
      <c r="AF22" s="309">
        <f t="shared" si="8"/>
        <v>1232.5211242026894</v>
      </c>
      <c r="AG22" s="309">
        <f t="shared" si="8"/>
        <v>-678.6160123519287</v>
      </c>
      <c r="AH22" s="309">
        <f t="shared" si="8"/>
        <v>547.57178596739868</v>
      </c>
      <c r="AI22" s="309">
        <f t="shared" si="8"/>
        <v>4321.9567859673989</v>
      </c>
      <c r="AJ22" s="309">
        <f t="shared" si="8"/>
        <v>2748.3567859673985</v>
      </c>
      <c r="AK22" s="309">
        <f t="shared" si="8"/>
        <v>1074.7367859673986</v>
      </c>
      <c r="AL22" s="309">
        <f t="shared" si="8"/>
        <v>3490.1266599169785</v>
      </c>
      <c r="AM22" s="309">
        <f t="shared" si="8"/>
        <v>492.17722714386957</v>
      </c>
      <c r="AN22" s="309">
        <f t="shared" si="8"/>
        <v>6498.3764918497536</v>
      </c>
      <c r="AO22" s="309">
        <f t="shared" si="8"/>
        <v>14.806491849752092</v>
      </c>
      <c r="AP22" s="309">
        <f t="shared" si="8"/>
        <v>5082.814491849751</v>
      </c>
      <c r="AQ22" s="309">
        <f t="shared" si="8"/>
        <v>6621.777374202693</v>
      </c>
      <c r="AR22" s="309">
        <f t="shared" si="8"/>
        <v>1659.9808235039604</v>
      </c>
      <c r="AS22" s="309">
        <f t="shared" si="8"/>
        <v>980.20273786860093</v>
      </c>
      <c r="AT22" s="309">
        <f t="shared" si="8"/>
        <v>1749.2291563768872</v>
      </c>
      <c r="AU22" s="309">
        <f t="shared" si="8"/>
        <v>-271.01879362311161</v>
      </c>
      <c r="AV22" s="309">
        <f t="shared" si="8"/>
        <v>1555.343812059604</v>
      </c>
      <c r="AW22" s="309">
        <f t="shared" si="8"/>
        <v>2386.5507378686016</v>
      </c>
      <c r="AX22" s="309">
        <f t="shared" si="8"/>
        <v>944.56073786860145</v>
      </c>
      <c r="AY22" s="309">
        <f t="shared" si="8"/>
        <v>2860.9645776476068</v>
      </c>
      <c r="AZ22" s="309">
        <f t="shared" si="8"/>
        <v>6395.1189776476076</v>
      </c>
      <c r="BA22" s="309">
        <f t="shared" si="8"/>
        <v>1646.3503235039607</v>
      </c>
      <c r="BB22" s="309">
        <f t="shared" si="8"/>
        <v>3412.5337378686008</v>
      </c>
      <c r="BC22" s="309">
        <f t="shared" si="8"/>
        <v>3802.2416563768875</v>
      </c>
      <c r="BD22" s="309">
        <f t="shared" si="8"/>
        <v>428.56965637688836</v>
      </c>
      <c r="BE22" s="309">
        <f t="shared" si="8"/>
        <v>4080.5793235039609</v>
      </c>
    </row>
    <row r="23" spans="1:69" ht="15.75" customHeight="1" outlineLevel="1" x14ac:dyDescent="0.15">
      <c r="B23" s="310"/>
      <c r="Q23" s="303"/>
      <c r="AC23" s="303"/>
      <c r="AD23" s="303"/>
      <c r="AE23" s="303"/>
      <c r="AF23" s="303"/>
      <c r="AG23" s="303"/>
      <c r="AH23" s="303"/>
      <c r="AI23" s="303"/>
      <c r="AJ23" s="303"/>
      <c r="AK23" s="303"/>
      <c r="AL23" s="303"/>
      <c r="AM23" s="303"/>
      <c r="AN23" s="303"/>
      <c r="AO23" s="303"/>
      <c r="AP23" s="311"/>
      <c r="AR23" s="303"/>
      <c r="AS23" s="303"/>
      <c r="AT23" s="303"/>
      <c r="AU23" s="303"/>
      <c r="AV23" s="303"/>
      <c r="AW23" s="303"/>
      <c r="AX23" s="303"/>
      <c r="AY23" s="303"/>
      <c r="AZ23" s="303"/>
      <c r="BA23" s="303"/>
      <c r="BB23" s="303"/>
      <c r="BC23" s="303"/>
      <c r="BD23" s="303"/>
      <c r="BE23" s="303"/>
    </row>
    <row r="24" spans="1:69" ht="15.75" customHeight="1" outlineLevel="1" x14ac:dyDescent="0.15">
      <c r="B24" s="312" t="s">
        <v>121</v>
      </c>
      <c r="C24" s="313"/>
      <c r="D24" s="313"/>
      <c r="E24" s="313"/>
      <c r="F24" s="313"/>
      <c r="G24" s="313"/>
      <c r="H24" s="313"/>
      <c r="I24" s="313"/>
      <c r="J24" s="313"/>
      <c r="K24" s="313"/>
      <c r="L24" s="313"/>
      <c r="M24" s="313"/>
      <c r="N24" s="313"/>
      <c r="O24" s="313"/>
      <c r="P24" s="313"/>
      <c r="Q24" s="314"/>
      <c r="R24" s="313"/>
      <c r="S24" s="313"/>
      <c r="T24" s="313"/>
      <c r="U24" s="313"/>
      <c r="V24" s="313"/>
      <c r="W24" s="313"/>
      <c r="X24" s="313"/>
      <c r="Y24" s="313"/>
      <c r="Z24" s="313"/>
      <c r="AA24" s="313"/>
      <c r="AB24" s="313"/>
      <c r="AC24" s="314"/>
      <c r="AD24" s="314"/>
      <c r="AE24" s="314"/>
      <c r="AF24" s="314"/>
      <c r="AG24" s="314"/>
      <c r="AH24" s="314"/>
      <c r="AI24" s="314"/>
      <c r="AJ24" s="314"/>
      <c r="AK24" s="314"/>
      <c r="AL24" s="314"/>
      <c r="AM24" s="314"/>
      <c r="AN24" s="314"/>
      <c r="AO24" s="314"/>
      <c r="AP24" s="314"/>
      <c r="AQ24" s="314"/>
      <c r="AR24" s="314"/>
      <c r="AS24" s="314"/>
      <c r="AT24" s="314"/>
      <c r="AU24" s="314"/>
      <c r="AV24" s="314"/>
      <c r="AW24" s="314"/>
      <c r="AX24" s="314"/>
      <c r="AY24" s="314"/>
      <c r="AZ24" s="314"/>
      <c r="BA24" s="314"/>
      <c r="BB24" s="314"/>
      <c r="BC24" s="314"/>
      <c r="BD24" s="314"/>
      <c r="BE24" s="303"/>
    </row>
    <row r="25" spans="1:69" ht="15.75" customHeight="1" outlineLevel="1" x14ac:dyDescent="0.15">
      <c r="B25" s="315" t="s">
        <v>122</v>
      </c>
      <c r="C25" s="306">
        <f>IF(C30="Standalone",'Main inputs'!C15)</f>
        <v>2361</v>
      </c>
      <c r="D25" s="306">
        <f>IF(D30="Mini-grid",'Main inputs'!D18)</f>
        <v>1566</v>
      </c>
      <c r="E25" s="306">
        <f>IF(E30="Mini-grid",'Main inputs'!E18)</f>
        <v>2420</v>
      </c>
      <c r="F25" s="306">
        <f>IF(F30="Mini-grid",'Main inputs'!F18)</f>
        <v>3000</v>
      </c>
      <c r="G25" s="306">
        <f>IF(G30="Standalone",'Main inputs'!G15)</f>
        <v>2361</v>
      </c>
      <c r="H25" s="306">
        <f>IF(H30="Mini-grid",'Main inputs'!H18)</f>
        <v>3250</v>
      </c>
      <c r="I25" s="306">
        <f>IF(I30="Mini-grid",'Main inputs'!I18)</f>
        <v>2000</v>
      </c>
      <c r="J25" s="306">
        <f>IF(J30="Mini-grid",'Main inputs'!J18)</f>
        <v>285</v>
      </c>
      <c r="K25" s="306">
        <f>IF(K30="Mini-grid",'Main inputs'!K18)</f>
        <v>2000</v>
      </c>
      <c r="L25" s="306">
        <f>IF(L30="Standalone",'Main inputs'!L15)</f>
        <v>2361</v>
      </c>
      <c r="M25" s="306">
        <f>IF(M30="Mini-grid",'Main inputs'!M18)</f>
        <v>1473</v>
      </c>
      <c r="N25" s="306">
        <f>IF(N30="Mini-grid",'Main inputs'!N18)</f>
        <v>3614</v>
      </c>
      <c r="O25" s="306">
        <f>IF(O30="Mini-grid",'Main inputs'!O18)</f>
        <v>1807</v>
      </c>
      <c r="P25" s="306">
        <f>IF(P30="Standalone",'Main inputs'!P15)</f>
        <v>2361</v>
      </c>
      <c r="Q25" s="306">
        <f>IF(Q30="Standalone",'Main inputs'!C43)</f>
        <v>738</v>
      </c>
      <c r="R25" s="306">
        <f>IF(R30="Mini-grid",'Main inputs'!D46)</f>
        <v>1660</v>
      </c>
      <c r="S25" s="306">
        <f>IF(S30="Mini-grid",'Main inputs'!E46)</f>
        <v>2500</v>
      </c>
      <c r="T25" s="306">
        <f>IF(T30="Mini-grid",'Main inputs'!F46)</f>
        <v>2662</v>
      </c>
      <c r="U25" s="306">
        <f>IF(U30="Mini-grid",'Main inputs'!G46)</f>
        <v>1597</v>
      </c>
      <c r="V25" s="306">
        <f>IF(V30="Standalone",'Main inputs'!H43)</f>
        <v>738</v>
      </c>
      <c r="W25" s="306">
        <f>IF(W30="Mini-grid",'Main inputs'!I46)</f>
        <v>885</v>
      </c>
      <c r="X25" s="306">
        <f>IF(X30="Standalone",'Main inputs'!J43)</f>
        <v>738</v>
      </c>
      <c r="Y25" s="306">
        <f>IF(Y30="Mini-grid",'Main inputs'!K46)</f>
        <v>1200</v>
      </c>
      <c r="Z25" s="306">
        <f>IF(Z30="Mini-grid",'Main inputs'!L46)</f>
        <v>2263</v>
      </c>
      <c r="AA25" s="306">
        <f>IF(AA30="Mini-grid",'Main inputs'!M46)</f>
        <v>879</v>
      </c>
      <c r="AB25" s="306">
        <f>IF(AB30="Standalone",'Main inputs'!N43)</f>
        <v>738</v>
      </c>
      <c r="AC25" s="306">
        <f>IF(AC30="Standalone",'Main inputs'!C71)</f>
        <v>738</v>
      </c>
      <c r="AD25" s="306">
        <f>IF(AD30="Mini-grid",'Main inputs'!D74)</f>
        <v>1118</v>
      </c>
      <c r="AE25" s="306">
        <f>IF(AE30="Mini-grid",'Main inputs'!E74)</f>
        <v>894</v>
      </c>
      <c r="AF25" s="306">
        <f>IF(AF30="Mini-grid",'Main inputs'!F74)</f>
        <v>1888</v>
      </c>
      <c r="AG25" s="306">
        <f>IF(AG30="Standalone",'Main inputs'!G71)</f>
        <v>738</v>
      </c>
      <c r="AH25" s="306">
        <f>IF(AH30="Mini-grid",'Main inputs'!H74)</f>
        <v>2329</v>
      </c>
      <c r="AI25" s="306">
        <f>IF(AI30="Mini-grid",'Main inputs'!I74)</f>
        <v>4550</v>
      </c>
      <c r="AJ25" s="306">
        <f>IF(AJ30="Mini-grid",'Main inputs'!J74)</f>
        <v>1888</v>
      </c>
      <c r="AK25" s="306">
        <f>IF(AK30="Mini-grid",'Main inputs'!K74)</f>
        <v>2329</v>
      </c>
      <c r="AL25" s="306">
        <f>IF(AL30="Standalone",'Main inputs'!L71)</f>
        <v>738</v>
      </c>
      <c r="AM25" s="306">
        <f>IF(AM30="Mini-grid",'Main inputs'!M74)</f>
        <v>1778</v>
      </c>
      <c r="AN25" s="306">
        <f>IF(AN30="Mini-grid",'Main inputs'!N74)</f>
        <v>2059</v>
      </c>
      <c r="AO25" s="306">
        <f>IF(AO30="Mini-grid",'Main inputs'!O74)</f>
        <v>900</v>
      </c>
      <c r="AP25" s="306">
        <f>IF(AP30="Mini-grid",'Main inputs'!P74)</f>
        <v>2000</v>
      </c>
      <c r="AQ25" s="306">
        <f>IF(AQ30="Standalone",'Main inputs'!Q71)</f>
        <v>738</v>
      </c>
      <c r="AR25" s="306">
        <f>IF(AR30="Standalone",'Main inputs'!C99)</f>
        <v>690</v>
      </c>
      <c r="AS25" s="306">
        <f>IF(AS30="Mini-grid",'Main inputs'!D102)</f>
        <v>1880</v>
      </c>
      <c r="AT25" s="306">
        <f>IF(AT30="Mini-grid",'Main inputs'!E102)</f>
        <v>2400</v>
      </c>
      <c r="AU25" s="306">
        <f>IF(AU30="Mini-grid",'Main inputs'!F102)</f>
        <v>285</v>
      </c>
      <c r="AV25" s="306">
        <f>IF(AV30="Standalone",'Main inputs'!G99)</f>
        <v>690</v>
      </c>
      <c r="AW25" s="306">
        <f>IF(AW30="Mini-grid",'Main inputs'!H102)</f>
        <v>1675</v>
      </c>
      <c r="AX25" s="306">
        <f>IF(AX30="Mini-grid",'Main inputs'!I102)</f>
        <v>900</v>
      </c>
      <c r="AY25" s="306">
        <f>IF(AY30="Mini-grid",'Main inputs'!J102)</f>
        <v>2500</v>
      </c>
      <c r="AZ25" s="306">
        <f>IF(AZ30="Mini-grid",'Main inputs'!K102)</f>
        <v>2000</v>
      </c>
      <c r="BA25" s="306">
        <f>IF(BA30="Standalone",'Main inputs'!L99)</f>
        <v>690</v>
      </c>
      <c r="BB25" s="306">
        <f>IF(BB30="Mini-grid",'Main inputs'!M102)</f>
        <v>1880</v>
      </c>
      <c r="BC25" s="306">
        <f>IF(BC30="Mini-grid",'Main inputs'!N102)</f>
        <v>2000</v>
      </c>
      <c r="BD25" s="306">
        <f>IF(BD30="Mini-grid",'Main inputs'!O102)</f>
        <v>285</v>
      </c>
      <c r="BE25" s="306">
        <f>IF(BE30="Standalone",'Main inputs'!P99)</f>
        <v>690</v>
      </c>
      <c r="BF25" s="305"/>
      <c r="BG25" s="305"/>
      <c r="BH25" s="305"/>
      <c r="BI25" s="305"/>
      <c r="BJ25" s="305"/>
      <c r="BK25" s="305"/>
      <c r="BL25" s="305"/>
      <c r="BM25" s="305"/>
      <c r="BN25" s="305"/>
      <c r="BO25" s="305"/>
      <c r="BP25" s="305"/>
      <c r="BQ25" s="305"/>
    </row>
    <row r="26" spans="1:69" ht="15.75" customHeight="1" outlineLevel="1" x14ac:dyDescent="0.15">
      <c r="B26" s="300" t="s">
        <v>123</v>
      </c>
      <c r="C26" s="316">
        <f t="shared" ref="C26:Z26" si="9">C25/C22</f>
        <v>1.4327357112463204</v>
      </c>
      <c r="D26" s="183">
        <f t="shared" si="9"/>
        <v>2.3112046181505499</v>
      </c>
      <c r="E26" s="183">
        <f t="shared" si="9"/>
        <v>3.2475818229428666</v>
      </c>
      <c r="F26" s="183">
        <f t="shared" si="9"/>
        <v>0.81723608269023129</v>
      </c>
      <c r="G26" s="183">
        <f t="shared" si="9"/>
        <v>-2.4243742057935265</v>
      </c>
      <c r="H26" s="183">
        <f t="shared" si="9"/>
        <v>1.6823699497721232</v>
      </c>
      <c r="I26" s="183">
        <f t="shared" si="9"/>
        <v>1.3746155290936553</v>
      </c>
      <c r="J26" s="183">
        <f t="shared" si="9"/>
        <v>0.73200607454568001</v>
      </c>
      <c r="K26" s="183">
        <f t="shared" si="9"/>
        <v>2.1813403144247929</v>
      </c>
      <c r="L26" s="183">
        <f t="shared" si="9"/>
        <v>0.90460187694168359</v>
      </c>
      <c r="M26" s="183">
        <f t="shared" si="9"/>
        <v>2.3768945841152185</v>
      </c>
      <c r="N26" s="183">
        <f t="shared" si="9"/>
        <v>10.592072500645189</v>
      </c>
      <c r="O26" s="183">
        <f t="shared" si="9"/>
        <v>2.7642612341781962</v>
      </c>
      <c r="P26" s="316">
        <f t="shared" si="9"/>
        <v>0.84206857966914217</v>
      </c>
      <c r="Q26" s="183">
        <f t="shared" si="9"/>
        <v>0.22336252681058225</v>
      </c>
      <c r="R26" s="183">
        <f t="shared" si="9"/>
        <v>1.5571237613156117</v>
      </c>
      <c r="S26" s="183">
        <f t="shared" si="9"/>
        <v>0.72653172318809633</v>
      </c>
      <c r="T26" s="183">
        <f t="shared" si="9"/>
        <v>2.8120904319838078</v>
      </c>
      <c r="U26" s="183">
        <f t="shared" si="9"/>
        <v>1.0091432736686716</v>
      </c>
      <c r="V26" s="183">
        <f t="shared" si="9"/>
        <v>-0.56586695053651648</v>
      </c>
      <c r="W26" s="183">
        <f t="shared" si="9"/>
        <v>-0.43950936489575881</v>
      </c>
      <c r="X26" s="183">
        <f t="shared" si="9"/>
        <v>0.18792835937094804</v>
      </c>
      <c r="Y26" s="183">
        <f t="shared" si="9"/>
        <v>4.2470415702157105</v>
      </c>
      <c r="Z26" s="183">
        <f t="shared" si="9"/>
        <v>1.0368010069560707</v>
      </c>
      <c r="AA26" s="183">
        <f t="shared" ref="AA26" si="10">AA25/AA22</f>
        <v>1.1386563845745412</v>
      </c>
      <c r="AB26" s="183">
        <f t="shared" ref="AB26:BE26" si="11">AB25/AB22</f>
        <v>0.10448885433001806</v>
      </c>
      <c r="AC26" s="183">
        <f t="shared" si="11"/>
        <v>0.21454303598412788</v>
      </c>
      <c r="AD26" s="183">
        <f t="shared" si="11"/>
        <v>3.5934776846273322</v>
      </c>
      <c r="AE26" s="183">
        <f t="shared" si="11"/>
        <v>1.9838237405489496</v>
      </c>
      <c r="AF26" s="183">
        <f t="shared" si="11"/>
        <v>1.5318195874503457</v>
      </c>
      <c r="AG26" s="183">
        <f t="shared" si="11"/>
        <v>-1.0875074955014101</v>
      </c>
      <c r="AH26" s="183">
        <f t="shared" si="11"/>
        <v>4.2533236000926165</v>
      </c>
      <c r="AI26" s="183">
        <f t="shared" si="11"/>
        <v>1.0527638811135307</v>
      </c>
      <c r="AJ26" s="183">
        <f t="shared" si="11"/>
        <v>0.6869559329559316</v>
      </c>
      <c r="AK26" s="183">
        <f t="shared" si="11"/>
        <v>2.1670422287663729</v>
      </c>
      <c r="AL26" s="183">
        <f t="shared" si="11"/>
        <v>0.21145364392521937</v>
      </c>
      <c r="AM26" s="183">
        <f t="shared" si="11"/>
        <v>3.6125198443614059</v>
      </c>
      <c r="AN26" s="183">
        <f t="shared" si="11"/>
        <v>0.31684837014020228</v>
      </c>
      <c r="AO26" s="183">
        <f t="shared" si="11"/>
        <v>60.784148543266774</v>
      </c>
      <c r="AP26" s="183">
        <f t="shared" si="11"/>
        <v>0.39348278462788339</v>
      </c>
      <c r="AQ26" s="183">
        <f t="shared" si="11"/>
        <v>0.1114504397074902</v>
      </c>
      <c r="AR26" s="183">
        <f t="shared" si="11"/>
        <v>0.41566745243690084</v>
      </c>
      <c r="AS26" s="183">
        <f t="shared" si="11"/>
        <v>1.9179705660565289</v>
      </c>
      <c r="AT26" s="183">
        <f t="shared" si="11"/>
        <v>1.3720329273329916</v>
      </c>
      <c r="AU26" s="183">
        <f t="shared" si="11"/>
        <v>-1.0515875898862246</v>
      </c>
      <c r="AV26" s="183">
        <f t="shared" si="11"/>
        <v>0.44363181609749303</v>
      </c>
      <c r="AW26" s="183">
        <f t="shared" si="11"/>
        <v>0.70184973376929816</v>
      </c>
      <c r="AX26" s="183">
        <f t="shared" si="11"/>
        <v>0.95282385125476143</v>
      </c>
      <c r="AY26" s="183">
        <f t="shared" si="11"/>
        <v>0.87383116153629359</v>
      </c>
      <c r="AZ26" s="183">
        <f t="shared" si="11"/>
        <v>0.31273851307386991</v>
      </c>
      <c r="BA26" s="183">
        <f t="shared" si="11"/>
        <v>0.41910885559973593</v>
      </c>
      <c r="BB26" s="183">
        <f t="shared" si="11"/>
        <v>0.55091030431078158</v>
      </c>
      <c r="BC26" s="183">
        <f t="shared" si="11"/>
        <v>0.52600549379751338</v>
      </c>
      <c r="BD26" s="183">
        <f t="shared" si="11"/>
        <v>0.66500274986656593</v>
      </c>
      <c r="BE26" s="183">
        <f t="shared" si="11"/>
        <v>0.16909363727489127</v>
      </c>
    </row>
    <row r="27" spans="1:69" ht="15.75" customHeight="1" outlineLevel="1" x14ac:dyDescent="0.15">
      <c r="B27" s="317" t="s">
        <v>124</v>
      </c>
      <c r="C27" s="183">
        <f t="shared" ref="C27:Z27" si="12">C26*12</f>
        <v>17.192828534955844</v>
      </c>
      <c r="D27" s="183">
        <f t="shared" si="12"/>
        <v>27.734455417806601</v>
      </c>
      <c r="E27" s="183">
        <f t="shared" si="12"/>
        <v>38.970981875314401</v>
      </c>
      <c r="F27" s="183">
        <f t="shared" si="12"/>
        <v>9.8068329922827751</v>
      </c>
      <c r="G27" s="183">
        <f t="shared" si="12"/>
        <v>-29.092490469522318</v>
      </c>
      <c r="H27" s="183">
        <f t="shared" si="12"/>
        <v>20.188439397265476</v>
      </c>
      <c r="I27" s="183">
        <f t="shared" si="12"/>
        <v>16.495386349123862</v>
      </c>
      <c r="J27" s="183">
        <f t="shared" si="12"/>
        <v>8.7840728945481601</v>
      </c>
      <c r="K27" s="183">
        <f t="shared" si="12"/>
        <v>26.176083773097517</v>
      </c>
      <c r="L27" s="183">
        <f t="shared" si="12"/>
        <v>10.855222523300203</v>
      </c>
      <c r="M27" s="183">
        <f t="shared" si="12"/>
        <v>28.522735009382622</v>
      </c>
      <c r="N27" s="183">
        <f t="shared" si="12"/>
        <v>127.10487000774228</v>
      </c>
      <c r="O27" s="183">
        <f t="shared" si="12"/>
        <v>33.171134810138355</v>
      </c>
      <c r="P27" s="183">
        <f t="shared" si="12"/>
        <v>10.104822956029706</v>
      </c>
      <c r="Q27" s="183">
        <f t="shared" si="12"/>
        <v>2.6803503217269871</v>
      </c>
      <c r="R27" s="183">
        <f t="shared" si="12"/>
        <v>18.685485135787339</v>
      </c>
      <c r="S27" s="183">
        <f t="shared" si="12"/>
        <v>8.7183806782571551</v>
      </c>
      <c r="T27" s="183">
        <f t="shared" si="12"/>
        <v>33.745085183805692</v>
      </c>
      <c r="U27" s="183">
        <f t="shared" si="12"/>
        <v>12.10971928402406</v>
      </c>
      <c r="V27" s="183">
        <f t="shared" si="12"/>
        <v>-6.7904034064381982</v>
      </c>
      <c r="W27" s="183">
        <f t="shared" si="12"/>
        <v>-5.2741123787491055</v>
      </c>
      <c r="X27" s="183">
        <f t="shared" si="12"/>
        <v>2.2551403124513767</v>
      </c>
      <c r="Y27" s="183">
        <f t="shared" si="12"/>
        <v>50.964498842588526</v>
      </c>
      <c r="Z27" s="183">
        <f t="shared" si="12"/>
        <v>12.441612083472847</v>
      </c>
      <c r="AA27" s="183">
        <f t="shared" ref="AA27" si="13">AA26*12</f>
        <v>13.663876614894495</v>
      </c>
      <c r="AB27" s="183">
        <f t="shared" ref="AB27:BE27" si="14">AB26*12</f>
        <v>1.2538662519602166</v>
      </c>
      <c r="AC27" s="183">
        <f t="shared" si="14"/>
        <v>2.5745164318095348</v>
      </c>
      <c r="AD27" s="183">
        <f t="shared" si="14"/>
        <v>43.121732215527985</v>
      </c>
      <c r="AE27" s="183">
        <f t="shared" si="14"/>
        <v>23.805884886587396</v>
      </c>
      <c r="AF27" s="183">
        <f t="shared" si="14"/>
        <v>18.381835049404149</v>
      </c>
      <c r="AG27" s="183">
        <f t="shared" si="14"/>
        <v>-13.050089946016922</v>
      </c>
      <c r="AH27" s="183">
        <f t="shared" si="14"/>
        <v>51.039883201111394</v>
      </c>
      <c r="AI27" s="183">
        <f t="shared" si="14"/>
        <v>12.633166573362368</v>
      </c>
      <c r="AJ27" s="183">
        <f t="shared" si="14"/>
        <v>8.2434711954711801</v>
      </c>
      <c r="AK27" s="183">
        <f t="shared" si="14"/>
        <v>26.004506745196473</v>
      </c>
      <c r="AL27" s="183">
        <f t="shared" si="14"/>
        <v>2.5374437271026324</v>
      </c>
      <c r="AM27" s="183">
        <f t="shared" si="14"/>
        <v>43.35023813233687</v>
      </c>
      <c r="AN27" s="183">
        <f t="shared" si="14"/>
        <v>3.8021804416824274</v>
      </c>
      <c r="AO27" s="183">
        <f t="shared" si="14"/>
        <v>729.40978251920126</v>
      </c>
      <c r="AP27" s="183">
        <f t="shared" si="14"/>
        <v>4.7217934155346004</v>
      </c>
      <c r="AQ27" s="183">
        <f t="shared" si="14"/>
        <v>1.3374052764898825</v>
      </c>
      <c r="AR27" s="183">
        <f t="shared" si="14"/>
        <v>4.9880094292428101</v>
      </c>
      <c r="AS27" s="183">
        <f t="shared" si="14"/>
        <v>23.015646792678346</v>
      </c>
      <c r="AT27" s="183">
        <f t="shared" si="14"/>
        <v>16.4643951279959</v>
      </c>
      <c r="AU27" s="183">
        <f t="shared" si="14"/>
        <v>-12.619051078634694</v>
      </c>
      <c r="AV27" s="183">
        <f t="shared" si="14"/>
        <v>5.3235817931699163</v>
      </c>
      <c r="AW27" s="183">
        <f t="shared" si="14"/>
        <v>8.4221968052315788</v>
      </c>
      <c r="AX27" s="183">
        <f t="shared" si="14"/>
        <v>11.433886215057138</v>
      </c>
      <c r="AY27" s="183">
        <f t="shared" si="14"/>
        <v>10.485973938435523</v>
      </c>
      <c r="AZ27" s="183">
        <f t="shared" si="14"/>
        <v>3.7528621568864389</v>
      </c>
      <c r="BA27" s="183">
        <f t="shared" si="14"/>
        <v>5.0293062671968309</v>
      </c>
      <c r="BB27" s="183">
        <f t="shared" si="14"/>
        <v>6.6109236517293795</v>
      </c>
      <c r="BC27" s="183">
        <f t="shared" si="14"/>
        <v>6.3120659255701606</v>
      </c>
      <c r="BD27" s="183">
        <f t="shared" si="14"/>
        <v>7.9800329983987908</v>
      </c>
      <c r="BE27" s="183">
        <f t="shared" si="14"/>
        <v>2.0291236472986953</v>
      </c>
      <c r="BF27" s="305"/>
      <c r="BG27" s="305"/>
      <c r="BH27" s="305"/>
      <c r="BI27" s="305"/>
      <c r="BJ27" s="305"/>
      <c r="BK27" s="305"/>
      <c r="BL27" s="305"/>
      <c r="BM27" s="305"/>
      <c r="BN27" s="305"/>
      <c r="BO27" s="305"/>
      <c r="BP27" s="305"/>
      <c r="BQ27" s="305"/>
    </row>
    <row r="28" spans="1:69" ht="15.75" customHeight="1" outlineLevel="1" x14ac:dyDescent="0.15">
      <c r="B28" s="317" t="s">
        <v>125</v>
      </c>
      <c r="C28" s="318">
        <f>C22/'Main inputs'!C26</f>
        <v>4.180585200868868</v>
      </c>
      <c r="D28" s="318">
        <f>D22/'Main inputs'!D26</f>
        <v>21.658635071163065</v>
      </c>
      <c r="E28" s="318">
        <f>E22/'Main inputs'!E26</f>
        <v>2.5984929789248001</v>
      </c>
      <c r="F28" s="318">
        <f>F22/'Main inputs'!F26</f>
        <v>0.31291052870220171</v>
      </c>
      <c r="G28" s="318">
        <f>G22/'Main inputs'!G26</f>
        <v>-1.2353030519956814</v>
      </c>
      <c r="H28" s="318">
        <f>H22/'Main inputs'!H26</f>
        <v>2.2454680886253793</v>
      </c>
      <c r="I28" s="318">
        <f>I22/'Main inputs'!I26</f>
        <v>0.39164524157640407</v>
      </c>
      <c r="J28" s="318">
        <f>J22/'Main inputs'!J26</f>
        <v>4.5255899771628923E-2</v>
      </c>
      <c r="K28" s="318">
        <f>K22/'Main inputs'!K26</f>
        <v>1.5630865299838914</v>
      </c>
      <c r="L28" s="318">
        <f>L22/'Main inputs'!L26</f>
        <v>7.9456041786375788</v>
      </c>
      <c r="M28" s="318">
        <f>M22/'Main inputs'!M26</f>
        <v>6.3389967172102306</v>
      </c>
      <c r="N28" s="318">
        <f>N22/'Main inputs'!N26</f>
        <v>10.906488009575709</v>
      </c>
      <c r="O28" s="318">
        <f>O22/'Main inputs'!O26</f>
        <v>0.16716554903927189</v>
      </c>
      <c r="P28" s="318">
        <f>P22/'Main inputs'!P26</f>
        <v>8.5356568656858407</v>
      </c>
      <c r="Q28" s="318">
        <f>Q22/'Main inputs'!C54</f>
        <v>37.719483679362185</v>
      </c>
      <c r="R28" s="318">
        <f>R22/'Main inputs'!D54</f>
        <v>6.8154207867599981</v>
      </c>
      <c r="S28" s="318">
        <f>S22/'Main inputs'!E54</f>
        <v>3.5197606181184065</v>
      </c>
      <c r="T28" s="318">
        <f>T22/'Main inputs'!F54</f>
        <v>0.48414614020463181</v>
      </c>
      <c r="U28" s="318">
        <f>U22/'Main inputs'!G54</f>
        <v>2.023437527982491</v>
      </c>
      <c r="V28" s="318">
        <f>V22/'Main inputs'!H54</f>
        <v>-4.9629565021864428</v>
      </c>
      <c r="W28" s="318">
        <f>W22/'Main inputs'!I54</f>
        <v>-1.1702810446332188</v>
      </c>
      <c r="X28" s="318">
        <f>X22/'Main inputs'!J54</f>
        <v>59.775396772218443</v>
      </c>
      <c r="Y28" s="318">
        <f>Y22/'Main inputs'!K54</f>
        <v>9.0317614207904295</v>
      </c>
      <c r="Z28" s="318">
        <f>Z22/'Main inputs'!L54</f>
        <v>2.7907880696688507</v>
      </c>
      <c r="AA28" s="318">
        <f>AA22/'Main inputs'!M54</f>
        <v>2.4675951741721254</v>
      </c>
      <c r="AB28" s="318">
        <f>AB22/'Main inputs'!N54</f>
        <v>107.50900005727465</v>
      </c>
      <c r="AC28" s="318">
        <f>AC22/'Main inputs'!C79</f>
        <v>2.6928045262498919</v>
      </c>
      <c r="AD28" s="318">
        <f>AD22/'Main inputs'!D79</f>
        <v>4.7735976546815539</v>
      </c>
      <c r="AE28" s="318">
        <f>AE22/'Main inputs'!E79</f>
        <v>2.3047941398935912</v>
      </c>
      <c r="AF28" s="318">
        <f>AF22/'Main inputs'!F79</f>
        <v>6.3036497849517428</v>
      </c>
      <c r="AG28" s="318">
        <f>AG22/'Main inputs'!G79</f>
        <v>-0.30988730540117665</v>
      </c>
      <c r="AH28" s="318">
        <f>AH22/'Main inputs'!H79</f>
        <v>0.70013014444111843</v>
      </c>
      <c r="AI28" s="318">
        <f>AI22/'Main inputs'!I79</f>
        <v>5.5260922976184625</v>
      </c>
      <c r="AJ28" s="318">
        <f>AJ22/'Main inputs'!J79</f>
        <v>3.5140733742071331</v>
      </c>
      <c r="AK28" s="318">
        <f>AK22/'Main inputs'!K79</f>
        <v>1.3741679912637754</v>
      </c>
      <c r="AL28" s="318">
        <f>AL22/'Main inputs'!L79</f>
        <v>3.1875049408341813</v>
      </c>
      <c r="AM28" s="318">
        <f>AM22/'Main inputs'!M79</f>
        <v>7.5516260397985357</v>
      </c>
      <c r="AN28" s="318">
        <f>AN22/'Main inputs'!N79</f>
        <v>12.463322769178662</v>
      </c>
      <c r="AO28" s="318">
        <f>AO22/'Main inputs'!O79</f>
        <v>2.8397567797760054E-2</v>
      </c>
      <c r="AP28" s="318">
        <f>AP22/'Main inputs'!P79</f>
        <v>9.7483975677977579</v>
      </c>
      <c r="AQ28" s="318">
        <f>AQ22/'Main inputs'!Q79</f>
        <v>6.0476166494992354</v>
      </c>
      <c r="AR28" s="318">
        <f>AR22/'Main inputs'!C107</f>
        <v>1.2994691086822452</v>
      </c>
      <c r="AS28" s="318">
        <f>AS22/'Main inputs'!D107</f>
        <v>15.039551022149611</v>
      </c>
      <c r="AT28" s="318">
        <f>AT22/'Main inputs'!E107</f>
        <v>8.9463196848325666</v>
      </c>
      <c r="AU28" s="318">
        <f>AU22/'Main inputs'!F107</f>
        <v>-1.3861081376965179</v>
      </c>
      <c r="AV28" s="318">
        <f>AV22/'Main inputs'!G107</f>
        <v>1.0653623568822976</v>
      </c>
      <c r="AW28" s="318">
        <f>AW22/'Main inputs'!H107</f>
        <v>36.617579407266618</v>
      </c>
      <c r="AX28" s="318">
        <f>AX22/'Main inputs'!I107</f>
        <v>14.49268489249868</v>
      </c>
      <c r="AY28" s="318">
        <f>AY22/'Main inputs'!J107</f>
        <v>5.4870820438197292</v>
      </c>
      <c r="AZ28" s="318">
        <f>AZ22/'Main inputs'!K107</f>
        <v>12.265283808299976</v>
      </c>
      <c r="BA28" s="318">
        <f>BA22/'Main inputs'!L107</f>
        <v>1.2887988566919211</v>
      </c>
      <c r="BB28" s="318">
        <f>BB22/'Main inputs'!M107</f>
        <v>52.35955102214961</v>
      </c>
      <c r="BC28" s="318">
        <f>BC22/'Main inputs'!N107</f>
        <v>19.446319684832567</v>
      </c>
      <c r="BD28" s="318">
        <f>BD22/'Main inputs'!O107</f>
        <v>2.1918918623034824</v>
      </c>
      <c r="BE28" s="318">
        <f>BE22/'Main inputs'!P107</f>
        <v>3.1943662850441594</v>
      </c>
      <c r="BF28" s="305"/>
      <c r="BG28" s="305"/>
      <c r="BH28" s="305"/>
      <c r="BI28" s="305"/>
      <c r="BJ28" s="305"/>
      <c r="BK28" s="305"/>
      <c r="BL28" s="305"/>
      <c r="BM28" s="305"/>
      <c r="BN28" s="305"/>
      <c r="BO28" s="305"/>
      <c r="BP28" s="305"/>
      <c r="BQ28" s="305"/>
    </row>
    <row r="30" spans="1:69" ht="15.75" customHeight="1" x14ac:dyDescent="0.15">
      <c r="A30" s="285" t="s">
        <v>365</v>
      </c>
      <c r="B30" s="137" t="s">
        <v>126</v>
      </c>
      <c r="C30" s="51" t="s">
        <v>127</v>
      </c>
      <c r="D30" s="51" t="s">
        <v>118</v>
      </c>
      <c r="E30" s="51" t="s">
        <v>118</v>
      </c>
      <c r="F30" s="51" t="s">
        <v>118</v>
      </c>
      <c r="G30" s="51" t="s">
        <v>127</v>
      </c>
      <c r="H30" s="51" t="s">
        <v>118</v>
      </c>
      <c r="I30" s="51" t="s">
        <v>118</v>
      </c>
      <c r="J30" s="51" t="s">
        <v>118</v>
      </c>
      <c r="K30" s="51" t="s">
        <v>118</v>
      </c>
      <c r="L30" s="51" t="s">
        <v>127</v>
      </c>
      <c r="M30" s="51" t="s">
        <v>118</v>
      </c>
      <c r="N30" s="51" t="s">
        <v>118</v>
      </c>
      <c r="O30" s="51" t="s">
        <v>118</v>
      </c>
      <c r="P30" s="51" t="s">
        <v>127</v>
      </c>
      <c r="Q30" s="51" t="s">
        <v>127</v>
      </c>
      <c r="R30" s="51" t="s">
        <v>118</v>
      </c>
      <c r="S30" s="51" t="s">
        <v>118</v>
      </c>
      <c r="T30" s="51" t="s">
        <v>118</v>
      </c>
      <c r="U30" s="51" t="s">
        <v>118</v>
      </c>
      <c r="V30" s="51" t="s">
        <v>127</v>
      </c>
      <c r="W30" s="51" t="s">
        <v>118</v>
      </c>
      <c r="X30" s="51" t="s">
        <v>127</v>
      </c>
      <c r="Y30" s="51" t="s">
        <v>118</v>
      </c>
      <c r="Z30" s="51" t="s">
        <v>118</v>
      </c>
      <c r="AA30" s="51" t="s">
        <v>118</v>
      </c>
      <c r="AB30" s="51" t="s">
        <v>127</v>
      </c>
      <c r="AC30" s="51" t="s">
        <v>127</v>
      </c>
      <c r="AD30" s="51" t="s">
        <v>118</v>
      </c>
      <c r="AE30" s="51" t="s">
        <v>118</v>
      </c>
      <c r="AF30" s="51" t="s">
        <v>118</v>
      </c>
      <c r="AG30" s="51" t="s">
        <v>127</v>
      </c>
      <c r="AH30" s="51" t="s">
        <v>118</v>
      </c>
      <c r="AI30" s="51" t="s">
        <v>118</v>
      </c>
      <c r="AJ30" s="51" t="s">
        <v>118</v>
      </c>
      <c r="AK30" s="51" t="s">
        <v>118</v>
      </c>
      <c r="AL30" s="51" t="s">
        <v>127</v>
      </c>
      <c r="AM30" s="51" t="s">
        <v>118</v>
      </c>
      <c r="AN30" s="51" t="s">
        <v>118</v>
      </c>
      <c r="AO30" s="51" t="s">
        <v>118</v>
      </c>
      <c r="AP30" s="51" t="s">
        <v>118</v>
      </c>
      <c r="AQ30" s="51" t="s">
        <v>127</v>
      </c>
      <c r="AR30" s="51" t="s">
        <v>127</v>
      </c>
      <c r="AS30" s="51" t="s">
        <v>118</v>
      </c>
      <c r="AT30" s="51" t="s">
        <v>118</v>
      </c>
      <c r="AU30" s="51" t="s">
        <v>118</v>
      </c>
      <c r="AV30" s="51" t="s">
        <v>127</v>
      </c>
      <c r="AW30" s="51" t="s">
        <v>118</v>
      </c>
      <c r="AX30" s="51" t="s">
        <v>118</v>
      </c>
      <c r="AY30" s="51" t="s">
        <v>118</v>
      </c>
      <c r="AZ30" s="51" t="s">
        <v>118</v>
      </c>
      <c r="BA30" s="51" t="s">
        <v>127</v>
      </c>
      <c r="BB30" s="51" t="s">
        <v>118</v>
      </c>
      <c r="BC30" s="51" t="s">
        <v>118</v>
      </c>
      <c r="BD30" s="51" t="s">
        <v>118</v>
      </c>
      <c r="BE30" s="51" t="s">
        <v>127</v>
      </c>
    </row>
    <row r="31" spans="1:69" ht="15.75" customHeight="1" x14ac:dyDescent="0.15">
      <c r="A31" s="285"/>
      <c r="B31" s="137" t="s">
        <v>128</v>
      </c>
      <c r="C31" s="51" t="s">
        <v>129</v>
      </c>
      <c r="D31" s="51" t="s">
        <v>130</v>
      </c>
      <c r="E31" s="51" t="s">
        <v>130</v>
      </c>
      <c r="F31" s="51" t="s">
        <v>130</v>
      </c>
      <c r="G31" s="51" t="s">
        <v>129</v>
      </c>
      <c r="H31" s="51" t="s">
        <v>130</v>
      </c>
      <c r="I31" s="51" t="s">
        <v>130</v>
      </c>
      <c r="J31" s="51" t="s">
        <v>130</v>
      </c>
      <c r="K31" s="51" t="s">
        <v>130</v>
      </c>
      <c r="L31" s="51" t="s">
        <v>129</v>
      </c>
      <c r="M31" s="51" t="s">
        <v>129</v>
      </c>
      <c r="N31" s="51" t="s">
        <v>129</v>
      </c>
      <c r="O31" s="51" t="s">
        <v>130</v>
      </c>
      <c r="P31" s="51" t="s">
        <v>129</v>
      </c>
      <c r="Q31" s="51" t="s">
        <v>129</v>
      </c>
      <c r="R31" s="51" t="s">
        <v>130</v>
      </c>
      <c r="S31" s="51" t="s">
        <v>130</v>
      </c>
      <c r="T31" s="51" t="s">
        <v>130</v>
      </c>
      <c r="U31" s="51" t="s">
        <v>130</v>
      </c>
      <c r="V31" s="51" t="s">
        <v>129</v>
      </c>
      <c r="W31" s="51" t="s">
        <v>130</v>
      </c>
      <c r="X31" s="51" t="s">
        <v>129</v>
      </c>
      <c r="Y31" s="51" t="s">
        <v>130</v>
      </c>
      <c r="Z31" s="51" t="s">
        <v>130</v>
      </c>
      <c r="AA31" s="51" t="s">
        <v>130</v>
      </c>
      <c r="AB31" s="51" t="s">
        <v>129</v>
      </c>
      <c r="AC31" s="51" t="s">
        <v>129</v>
      </c>
      <c r="AD31" s="51" t="s">
        <v>130</v>
      </c>
      <c r="AE31" s="51" t="s">
        <v>130</v>
      </c>
      <c r="AF31" s="51" t="s">
        <v>130</v>
      </c>
      <c r="AG31" s="51" t="s">
        <v>129</v>
      </c>
      <c r="AH31" s="51" t="s">
        <v>130</v>
      </c>
      <c r="AI31" s="51" t="s">
        <v>130</v>
      </c>
      <c r="AJ31" s="51" t="s">
        <v>130</v>
      </c>
      <c r="AK31" s="51" t="s">
        <v>130</v>
      </c>
      <c r="AL31" s="51" t="s">
        <v>129</v>
      </c>
      <c r="AM31" s="51" t="s">
        <v>130</v>
      </c>
      <c r="AN31" s="51" t="s">
        <v>130</v>
      </c>
      <c r="AO31" s="51" t="s">
        <v>130</v>
      </c>
      <c r="AP31" s="51" t="s">
        <v>130</v>
      </c>
      <c r="AQ31" s="51" t="s">
        <v>129</v>
      </c>
      <c r="AR31" s="51" t="s">
        <v>129</v>
      </c>
      <c r="AS31" s="51" t="s">
        <v>130</v>
      </c>
      <c r="AT31" s="51" t="s">
        <v>130</v>
      </c>
      <c r="AU31" s="51" t="s">
        <v>130</v>
      </c>
      <c r="AV31" s="51" t="s">
        <v>129</v>
      </c>
      <c r="AW31" s="51" t="s">
        <v>130</v>
      </c>
      <c r="AX31" s="51" t="s">
        <v>130</v>
      </c>
      <c r="AY31" s="51" t="s">
        <v>130</v>
      </c>
      <c r="AZ31" s="51" t="s">
        <v>130</v>
      </c>
      <c r="BA31" s="51" t="s">
        <v>129</v>
      </c>
      <c r="BB31" s="51" t="s">
        <v>130</v>
      </c>
      <c r="BC31" s="51" t="s">
        <v>130</v>
      </c>
      <c r="BD31" s="51" t="s">
        <v>130</v>
      </c>
      <c r="BE31" s="51" t="s">
        <v>129</v>
      </c>
    </row>
    <row r="32" spans="1:69" ht="15.75" customHeight="1" x14ac:dyDescent="0.15">
      <c r="A32" s="285"/>
      <c r="B32" s="137" t="s">
        <v>131</v>
      </c>
      <c r="C32" s="51" t="s">
        <v>132</v>
      </c>
      <c r="D32" s="29"/>
      <c r="E32" s="29"/>
      <c r="F32" s="29"/>
      <c r="G32" s="51" t="s">
        <v>132</v>
      </c>
      <c r="H32" s="29"/>
      <c r="I32" s="29"/>
      <c r="J32" s="29"/>
      <c r="K32" s="29"/>
      <c r="L32" s="51" t="s">
        <v>132</v>
      </c>
      <c r="M32" s="29"/>
      <c r="N32" s="29"/>
      <c r="O32" s="29"/>
      <c r="P32" s="51" t="s">
        <v>133</v>
      </c>
      <c r="Q32" s="51" t="s">
        <v>132</v>
      </c>
      <c r="R32" s="29"/>
      <c r="S32" s="29"/>
      <c r="T32" s="29"/>
      <c r="U32" s="29"/>
      <c r="V32" s="51" t="s">
        <v>132</v>
      </c>
      <c r="W32" s="29"/>
      <c r="X32" s="51" t="s">
        <v>132</v>
      </c>
      <c r="Y32" s="29"/>
      <c r="Z32" s="29"/>
      <c r="AA32" s="29"/>
      <c r="AB32" s="51" t="s">
        <v>133</v>
      </c>
      <c r="AC32" s="51" t="s">
        <v>132</v>
      </c>
      <c r="AD32" s="29"/>
      <c r="AE32" s="29"/>
      <c r="AF32" s="29"/>
      <c r="AG32" s="51" t="s">
        <v>132</v>
      </c>
      <c r="AH32" s="29"/>
      <c r="AI32" s="29"/>
      <c r="AJ32" s="29"/>
      <c r="AK32" s="29"/>
      <c r="AL32" s="51" t="s">
        <v>132</v>
      </c>
      <c r="AM32" s="29"/>
      <c r="AN32" s="29"/>
      <c r="AO32" s="29"/>
      <c r="AP32" s="29"/>
      <c r="AQ32" s="51" t="s">
        <v>133</v>
      </c>
      <c r="AR32" s="51" t="s">
        <v>132</v>
      </c>
      <c r="AS32" s="29"/>
      <c r="AT32" s="29"/>
      <c r="AU32" s="29"/>
      <c r="AV32" s="51" t="s">
        <v>132</v>
      </c>
      <c r="AW32" s="29"/>
      <c r="AX32" s="29"/>
      <c r="AY32" s="29"/>
      <c r="AZ32" s="29"/>
      <c r="BA32" s="51" t="s">
        <v>132</v>
      </c>
      <c r="BB32" s="29"/>
      <c r="BC32" s="29"/>
      <c r="BD32" s="29"/>
      <c r="BE32" s="51" t="s">
        <v>133</v>
      </c>
    </row>
    <row r="34" spans="3:9" ht="15.75" customHeight="1" x14ac:dyDescent="0.15">
      <c r="C34" s="282" t="s">
        <v>366</v>
      </c>
      <c r="D34" s="283"/>
      <c r="E34" s="283"/>
      <c r="F34" s="283"/>
      <c r="G34" s="284"/>
      <c r="H34" s="284"/>
      <c r="I34" s="284"/>
    </row>
    <row r="35" spans="3:9" ht="15.75" customHeight="1" x14ac:dyDescent="0.15">
      <c r="C35" s="283"/>
      <c r="D35" s="283"/>
      <c r="E35" s="283"/>
      <c r="F35" s="283"/>
      <c r="G35" s="284"/>
      <c r="H35" s="284"/>
      <c r="I35" s="284"/>
    </row>
    <row r="36" spans="3:9" ht="15.75" customHeight="1" x14ac:dyDescent="0.15">
      <c r="C36" s="283"/>
      <c r="D36" s="283"/>
      <c r="E36" s="283"/>
      <c r="F36" s="283"/>
      <c r="G36" s="284"/>
      <c r="H36" s="284"/>
      <c r="I36" s="284"/>
    </row>
    <row r="37" spans="3:9" ht="15.75" customHeight="1" x14ac:dyDescent="0.15">
      <c r="C37" s="283"/>
      <c r="D37" s="283"/>
      <c r="E37" s="283"/>
      <c r="F37" s="283"/>
      <c r="G37" s="284"/>
      <c r="H37" s="284"/>
      <c r="I37" s="284"/>
    </row>
    <row r="38" spans="3:9" ht="15.75" customHeight="1" x14ac:dyDescent="0.15">
      <c r="C38" s="283"/>
      <c r="D38" s="283"/>
      <c r="E38" s="283"/>
      <c r="F38" s="283"/>
      <c r="G38" s="284"/>
      <c r="H38" s="284"/>
      <c r="I38" s="284"/>
    </row>
    <row r="39" spans="3:9" ht="15.75" customHeight="1" x14ac:dyDescent="0.15">
      <c r="C39" s="283"/>
      <c r="D39" s="283"/>
      <c r="E39" s="283"/>
      <c r="F39" s="283"/>
      <c r="G39" s="284"/>
      <c r="H39" s="284"/>
      <c r="I39" s="284"/>
    </row>
    <row r="40" spans="3:9" ht="15.75" customHeight="1" x14ac:dyDescent="0.15">
      <c r="C40" s="283"/>
      <c r="D40" s="283"/>
      <c r="E40" s="283"/>
      <c r="F40" s="283"/>
      <c r="G40" s="284"/>
      <c r="H40" s="284"/>
      <c r="I40" s="284"/>
    </row>
    <row r="41" spans="3:9" ht="15.75" customHeight="1" x14ac:dyDescent="0.15">
      <c r="C41" s="283"/>
      <c r="D41" s="283"/>
      <c r="E41" s="283"/>
      <c r="F41" s="283"/>
      <c r="G41" s="284"/>
      <c r="H41" s="284"/>
      <c r="I41" s="284"/>
    </row>
    <row r="42" spans="3:9" ht="15.75" customHeight="1" x14ac:dyDescent="0.15">
      <c r="C42" s="283"/>
      <c r="D42" s="283"/>
      <c r="E42" s="283"/>
      <c r="F42" s="283"/>
      <c r="G42" s="284"/>
      <c r="H42" s="284"/>
      <c r="I42" s="284"/>
    </row>
    <row r="43" spans="3:9" ht="15.75" customHeight="1" x14ac:dyDescent="0.15">
      <c r="C43" s="283"/>
      <c r="D43" s="283"/>
      <c r="E43" s="283"/>
      <c r="F43" s="283"/>
      <c r="G43" s="284"/>
      <c r="H43" s="284"/>
      <c r="I43" s="284"/>
    </row>
    <row r="44" spans="3:9" ht="15.75" customHeight="1" x14ac:dyDescent="0.15">
      <c r="C44" s="284"/>
      <c r="D44" s="284"/>
      <c r="E44" s="284"/>
      <c r="F44" s="284"/>
      <c r="G44" s="284"/>
      <c r="H44" s="284"/>
      <c r="I44" s="284"/>
    </row>
    <row r="45" spans="3:9" ht="15.75" customHeight="1" x14ac:dyDescent="0.15">
      <c r="C45" s="284"/>
      <c r="D45" s="284"/>
      <c r="E45" s="284"/>
      <c r="F45" s="284"/>
      <c r="G45" s="284"/>
      <c r="H45" s="284"/>
      <c r="I45" s="284"/>
    </row>
    <row r="46" spans="3:9" ht="15.75" customHeight="1" x14ac:dyDescent="0.15">
      <c r="C46" s="284"/>
      <c r="D46" s="284"/>
      <c r="E46" s="284"/>
      <c r="F46" s="284"/>
      <c r="G46" s="284"/>
      <c r="H46" s="284"/>
      <c r="I46" s="284"/>
    </row>
    <row r="47" spans="3:9" ht="15.75" customHeight="1" x14ac:dyDescent="0.15">
      <c r="C47" s="284"/>
      <c r="D47" s="284"/>
      <c r="E47" s="284"/>
      <c r="F47" s="284"/>
      <c r="G47" s="284"/>
      <c r="H47" s="284"/>
      <c r="I47" s="284"/>
    </row>
  </sheetData>
  <sheetProtection algorithmName="SHA-512" hashValue="2vXsjlB8zqxdg0ItgyyBu0z4/glVYOzkBu4YANuhoeLJ6y9p+a/3FcjpRDZVKBgKJu8WNaOjKGByxIM+8oEuQQ==" saltValue="pkGiFujNF0jEdgbwf9g0MQ==" spinCount="100000" sheet="1" objects="1" scenarios="1"/>
  <mergeCells count="18">
    <mergeCell ref="A30:A32"/>
    <mergeCell ref="C34:I47"/>
    <mergeCell ref="AL2:AP2"/>
    <mergeCell ref="AR2:AU2"/>
    <mergeCell ref="AV2:AZ2"/>
    <mergeCell ref="C1:O1"/>
    <mergeCell ref="Q1:Z1"/>
    <mergeCell ref="AC1:AP1"/>
    <mergeCell ref="AR1:BD1"/>
    <mergeCell ref="C2:F2"/>
    <mergeCell ref="G2:K2"/>
    <mergeCell ref="L2:O2"/>
    <mergeCell ref="BA2:BD2"/>
    <mergeCell ref="Q2:U2"/>
    <mergeCell ref="V2:W2"/>
    <mergeCell ref="X2:AA2"/>
    <mergeCell ref="AC2:AF2"/>
    <mergeCell ref="AG2:AK2"/>
  </mergeCells>
  <conditionalFormatting sqref="C22:BE22">
    <cfRule type="cellIs" dxfId="8" priority="1" operator="lessThan">
      <formula>0</formula>
    </cfRule>
  </conditionalFormatting>
  <conditionalFormatting sqref="C26:BE26">
    <cfRule type="cellIs" dxfId="7" priority="2" operator="between">
      <formula>0</formula>
      <formula>15</formula>
    </cfRule>
    <cfRule type="cellIs" dxfId="6" priority="3" operator="lessThan">
      <formula>0</formula>
    </cfRule>
    <cfRule type="cellIs" dxfId="5" priority="4" operator="greaterThanOrEqual">
      <formula>15</formula>
    </cfRule>
  </conditionalFormatting>
  <conditionalFormatting sqref="C27:BE27">
    <cfRule type="cellIs" dxfId="4" priority="5" operator="between">
      <formula>0</formula>
      <formula>180</formula>
    </cfRule>
    <cfRule type="cellIs" dxfId="3" priority="7" operator="greaterThanOrEqual">
      <formula>180</formula>
    </cfRule>
  </conditionalFormatting>
  <conditionalFormatting sqref="C27:BE28">
    <cfRule type="cellIs" dxfId="2" priority="6" operator="lessThan">
      <formula>0</formula>
    </cfRule>
  </conditionalFormatting>
  <conditionalFormatting sqref="C28:BE28">
    <cfRule type="colorScale" priority="9">
      <colorScale>
        <cfvo type="min"/>
        <cfvo type="max"/>
        <color rgb="FFFFFFFF"/>
        <color rgb="FF57BB8A"/>
      </colorScale>
    </cfRule>
  </conditionalFormatting>
  <dataValidations count="4">
    <dataValidation type="list" allowBlank="1" sqref="P32 AB32 AQ32 BE32" xr:uid="{00000000-0002-0000-0200-000000000000}">
      <formula1>"No,Mono-cultivation,Crop rotation,Year-round horticulture irrigation"</formula1>
    </dataValidation>
    <dataValidation type="list" allowBlank="1" sqref="C31:BE31" xr:uid="{00000000-0002-0000-0200-000001000000}">
      <formula1>"Farm,Village"</formula1>
    </dataValidation>
    <dataValidation type="list" allowBlank="1" sqref="C32 G32 L32 Q32 V32 X32 AC32 AG32 AL32 AR32 AV32 BA32" xr:uid="{00000000-0002-0000-0200-000002000000}">
      <formula1>"No,Mono-cultivation,Crop rotation"</formula1>
    </dataValidation>
    <dataValidation type="list" allowBlank="1" sqref="C30:BE30" xr:uid="{00000000-0002-0000-0200-000003000000}">
      <formula1>"Grid,Mini-grid,Standalone"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D18"/>
  <sheetViews>
    <sheetView workbookViewId="0">
      <pane xSplit="1" topLeftCell="B1" activePane="topRight" state="frozen"/>
      <selection pane="topRight" activeCell="B1" sqref="B1:N1"/>
    </sheetView>
  </sheetViews>
  <sheetFormatPr baseColWidth="10" defaultColWidth="12.6640625" defaultRowHeight="15.75" customHeight="1" x14ac:dyDescent="0.15"/>
  <sheetData>
    <row r="1" spans="1:56" ht="15.75" customHeight="1" x14ac:dyDescent="0.15">
      <c r="B1" s="128" t="str">
        <f>'Main inputs'!A2</f>
        <v>Nigeria</v>
      </c>
      <c r="C1" s="121"/>
      <c r="D1" s="121"/>
      <c r="E1" s="121"/>
      <c r="F1" s="121"/>
      <c r="G1" s="121"/>
      <c r="H1" s="121"/>
      <c r="I1" s="121"/>
      <c r="J1" s="121"/>
      <c r="K1" s="121"/>
      <c r="L1" s="121"/>
      <c r="M1" s="121"/>
      <c r="N1" s="122"/>
      <c r="O1" s="11"/>
      <c r="P1" s="129" t="str">
        <f>'Main inputs'!A30</f>
        <v xml:space="preserve"> Rwanda</v>
      </c>
      <c r="Q1" s="106"/>
      <c r="R1" s="106"/>
      <c r="S1" s="106"/>
      <c r="T1" s="106"/>
      <c r="U1" s="106"/>
      <c r="V1" s="106"/>
      <c r="W1" s="106"/>
      <c r="X1" s="106"/>
      <c r="Y1" s="106"/>
      <c r="Z1" s="12"/>
      <c r="AA1" s="12"/>
      <c r="AB1" s="125" t="str">
        <f>'Main inputs'!A58</f>
        <v>Zambia</v>
      </c>
      <c r="AC1" s="106"/>
      <c r="AD1" s="106"/>
      <c r="AE1" s="106"/>
      <c r="AF1" s="106"/>
      <c r="AG1" s="106"/>
      <c r="AH1" s="106"/>
      <c r="AI1" s="106"/>
      <c r="AJ1" s="106"/>
      <c r="AK1" s="106"/>
      <c r="AL1" s="106"/>
      <c r="AM1" s="106"/>
      <c r="AN1" s="106"/>
      <c r="AO1" s="106"/>
      <c r="AP1" s="3"/>
      <c r="AQ1" s="127" t="str">
        <f>'Main inputs'!A86</f>
        <v xml:space="preserve"> Zimbabwe</v>
      </c>
      <c r="AR1" s="106"/>
      <c r="AS1" s="106"/>
      <c r="AT1" s="106"/>
      <c r="AU1" s="106"/>
      <c r="AV1" s="106"/>
      <c r="AW1" s="106"/>
      <c r="AX1" s="106"/>
      <c r="AY1" s="106"/>
      <c r="AZ1" s="106"/>
      <c r="BA1" s="106"/>
      <c r="BB1" s="106"/>
      <c r="BC1" s="106"/>
      <c r="BD1" s="4"/>
    </row>
    <row r="2" spans="1:56" ht="15.75" customHeight="1" x14ac:dyDescent="0.15">
      <c r="A2" s="1"/>
      <c r="B2" s="130" t="str">
        <f>'Main inputs'!C2</f>
        <v>Maize</v>
      </c>
      <c r="C2" s="121"/>
      <c r="D2" s="121"/>
      <c r="E2" s="122"/>
      <c r="F2" s="120" t="str">
        <f>'Main inputs'!G2</f>
        <v>Cassava</v>
      </c>
      <c r="G2" s="121"/>
      <c r="H2" s="121"/>
      <c r="I2" s="121"/>
      <c r="J2" s="122"/>
      <c r="K2" s="120" t="str">
        <f>'Main inputs'!L2</f>
        <v>Rice</v>
      </c>
      <c r="L2" s="121"/>
      <c r="M2" s="121"/>
      <c r="N2" s="122"/>
      <c r="O2" s="13" t="str">
        <f>'Main inputs'!P2</f>
        <v>Tomato</v>
      </c>
      <c r="P2" s="123" t="str">
        <f>'Main inputs'!C30</f>
        <v>Maize</v>
      </c>
      <c r="Q2" s="121"/>
      <c r="R2" s="121"/>
      <c r="S2" s="121"/>
      <c r="T2" s="122"/>
      <c r="U2" s="123" t="str">
        <f>'Main inputs'!H30</f>
        <v>Cassava</v>
      </c>
      <c r="V2" s="122"/>
      <c r="W2" s="123" t="str">
        <f>'Main inputs'!J30</f>
        <v>Beans</v>
      </c>
      <c r="X2" s="121"/>
      <c r="Y2" s="121"/>
      <c r="Z2" s="122"/>
      <c r="AA2" s="14" t="str">
        <f>'Main inputs'!N30</f>
        <v>Tomato</v>
      </c>
      <c r="AB2" s="126" t="str">
        <f>'Main inputs'!C58</f>
        <v>Maize</v>
      </c>
      <c r="AC2" s="121"/>
      <c r="AD2" s="121"/>
      <c r="AE2" s="122"/>
      <c r="AF2" s="126" t="str">
        <f>'Main inputs'!G58</f>
        <v>Cassava</v>
      </c>
      <c r="AG2" s="121"/>
      <c r="AH2" s="121"/>
      <c r="AI2" s="121"/>
      <c r="AJ2" s="122"/>
      <c r="AK2" s="126" t="str">
        <f>'Main inputs'!L58</f>
        <v>Groundnuts</v>
      </c>
      <c r="AL2" s="121"/>
      <c r="AM2" s="121"/>
      <c r="AN2" s="121"/>
      <c r="AO2" s="122"/>
      <c r="AP2" s="15" t="str">
        <f>'Main inputs'!Q58</f>
        <v>Tomato</v>
      </c>
      <c r="AQ2" s="124" t="str">
        <f>'Main inputs'!C86</f>
        <v>Maize</v>
      </c>
      <c r="AR2" s="121"/>
      <c r="AS2" s="121"/>
      <c r="AT2" s="122"/>
      <c r="AU2" s="124" t="str">
        <f>'Main inputs'!G86</f>
        <v>Groundnuts</v>
      </c>
      <c r="AV2" s="121"/>
      <c r="AW2" s="121"/>
      <c r="AX2" s="121"/>
      <c r="AY2" s="122"/>
      <c r="AZ2" s="124" t="str">
        <f>'Main inputs'!L86</f>
        <v>Sorghum</v>
      </c>
      <c r="BA2" s="121"/>
      <c r="BB2" s="121"/>
      <c r="BC2" s="122"/>
      <c r="BD2" s="16" t="str">
        <f>'Main inputs'!P86</f>
        <v>Tomato</v>
      </c>
    </row>
    <row r="3" spans="1:56" ht="15.75" customHeight="1" x14ac:dyDescent="0.15">
      <c r="A3" s="1"/>
      <c r="B3" s="17" t="str">
        <f>'Main inputs'!C3</f>
        <v>Irrigation</v>
      </c>
      <c r="C3" s="17" t="str">
        <f>'Main inputs'!D3</f>
        <v>Drying</v>
      </c>
      <c r="D3" s="17" t="str">
        <f>'Main inputs'!E3</f>
        <v>Shelling</v>
      </c>
      <c r="E3" s="17" t="str">
        <f>'Main inputs'!F3</f>
        <v>Milling</v>
      </c>
      <c r="F3" s="17" t="str">
        <f>'Main inputs'!G3</f>
        <v>Irrigation</v>
      </c>
      <c r="G3" s="17" t="str">
        <f>'Main inputs'!H3</f>
        <v>Peeling</v>
      </c>
      <c r="H3" s="17" t="str">
        <f>'Main inputs'!I3</f>
        <v>Grating</v>
      </c>
      <c r="I3" s="17" t="str">
        <f>'Main inputs'!J3</f>
        <v>Milling</v>
      </c>
      <c r="J3" s="17" t="str">
        <f>'Main inputs'!K3</f>
        <v>Chipping</v>
      </c>
      <c r="K3" s="6" t="str">
        <f>'Main inputs'!L3</f>
        <v>Irrigation</v>
      </c>
      <c r="L3" s="6" t="str">
        <f>'Main inputs'!M3</f>
        <v>Threshing</v>
      </c>
      <c r="M3" s="6" t="str">
        <f>'Main inputs'!N3</f>
        <v>Drying</v>
      </c>
      <c r="N3" s="6" t="str">
        <f>'Main inputs'!O3</f>
        <v>Milling</v>
      </c>
      <c r="O3" s="6" t="str">
        <f>'Main inputs'!P3</f>
        <v>Irrigation</v>
      </c>
      <c r="P3" s="7" t="str">
        <f>'Main inputs'!C31</f>
        <v>Irrigation</v>
      </c>
      <c r="Q3" s="7" t="str">
        <f>'Main inputs'!D31</f>
        <v>Drying</v>
      </c>
      <c r="R3" s="7" t="str">
        <f>'Main inputs'!E31</f>
        <v>Shelling</v>
      </c>
      <c r="S3" s="7" t="str">
        <f>'Main inputs'!F31</f>
        <v>Dehulling</v>
      </c>
      <c r="T3" s="7" t="str">
        <f>'Main inputs'!G31</f>
        <v>Milling</v>
      </c>
      <c r="U3" s="7" t="str">
        <f>'Main inputs'!H31</f>
        <v>Irrigation</v>
      </c>
      <c r="V3" s="7" t="str">
        <f>'Main inputs'!I31</f>
        <v>Milling</v>
      </c>
      <c r="W3" s="7" t="str">
        <f>'Main inputs'!J31</f>
        <v>Irrigation</v>
      </c>
      <c r="X3" s="7" t="str">
        <f>'Main inputs'!K31</f>
        <v>Drying</v>
      </c>
      <c r="Y3" s="7" t="str">
        <f>'Main inputs'!L31</f>
        <v>Threshing</v>
      </c>
      <c r="Z3" s="7" t="str">
        <f>'Main inputs'!M31</f>
        <v>Grinding</v>
      </c>
      <c r="AA3" s="7" t="str">
        <f>'Main inputs'!N31</f>
        <v>Irrigation</v>
      </c>
      <c r="AB3" s="8" t="str">
        <f>'Main inputs'!C59</f>
        <v>Irrigation</v>
      </c>
      <c r="AC3" s="8" t="str">
        <f>'Main inputs'!D59</f>
        <v>Shelling</v>
      </c>
      <c r="AD3" s="8" t="str">
        <f>'Main inputs'!E59</f>
        <v>Dehulling</v>
      </c>
      <c r="AE3" s="8" t="str">
        <f>'Main inputs'!F59</f>
        <v>Milling</v>
      </c>
      <c r="AF3" s="8" t="str">
        <f>'Main inputs'!G59</f>
        <v>Irrigation</v>
      </c>
      <c r="AG3" s="8" t="str">
        <f>'Main inputs'!H59</f>
        <v>Peeling</v>
      </c>
      <c r="AH3" s="8" t="str">
        <f>'Main inputs'!I59</f>
        <v>Grating</v>
      </c>
      <c r="AI3" s="8" t="str">
        <f>'Main inputs'!J59</f>
        <v>Milling</v>
      </c>
      <c r="AJ3" s="8" t="str">
        <f>'Main inputs'!K59</f>
        <v>Chipping</v>
      </c>
      <c r="AK3" s="8" t="str">
        <f>'Main inputs'!L59</f>
        <v>Irrigation</v>
      </c>
      <c r="AL3" s="8" t="str">
        <f>'Main inputs'!M59</f>
        <v>Shelling</v>
      </c>
      <c r="AM3" s="8" t="str">
        <f>'Main inputs'!N59</f>
        <v>Oil pressing</v>
      </c>
      <c r="AN3" s="8" t="str">
        <f>'Main inputs'!O59</f>
        <v>Crushing</v>
      </c>
      <c r="AO3" s="8" t="str">
        <f>'Main inputs'!P59</f>
        <v>Peanut butter</v>
      </c>
      <c r="AP3" s="8" t="str">
        <f>'Main inputs'!Q59</f>
        <v>Irrigation</v>
      </c>
      <c r="AQ3" s="9" t="str">
        <f>'Main inputs'!C87</f>
        <v>Irrigation</v>
      </c>
      <c r="AR3" s="9" t="str">
        <f>'Main inputs'!D87</f>
        <v>Shelling</v>
      </c>
      <c r="AS3" s="9" t="str">
        <f>'Main inputs'!E87</f>
        <v>Dehulling</v>
      </c>
      <c r="AT3" s="9" t="str">
        <f>'Main inputs'!F87</f>
        <v>Milling</v>
      </c>
      <c r="AU3" s="9" t="str">
        <f>'Main inputs'!G87</f>
        <v>Irrigation</v>
      </c>
      <c r="AV3" s="9" t="str">
        <f>'Main inputs'!H87</f>
        <v>Shelling</v>
      </c>
      <c r="AW3" s="9" t="str">
        <f>'Main inputs'!I87</f>
        <v>De-skinning</v>
      </c>
      <c r="AX3" s="9" t="str">
        <f>'Main inputs'!J87</f>
        <v>Roasting</v>
      </c>
      <c r="AY3" s="9" t="str">
        <f>'Main inputs'!K87</f>
        <v>Peanut butter</v>
      </c>
      <c r="AZ3" s="9" t="str">
        <f>'Main inputs'!L87</f>
        <v>Irrigation</v>
      </c>
      <c r="BA3" s="9" t="str">
        <f>'Main inputs'!M87</f>
        <v>Threshing</v>
      </c>
      <c r="BB3" s="9" t="str">
        <f>'Main inputs'!N87</f>
        <v>Dehulling</v>
      </c>
      <c r="BC3" s="9" t="str">
        <f>'Main inputs'!O87</f>
        <v>Milling</v>
      </c>
      <c r="BD3" s="9" t="str">
        <f>'Main inputs'!P87</f>
        <v>Irrigation</v>
      </c>
    </row>
    <row r="4" spans="1:56" ht="15.75" customHeight="1" x14ac:dyDescent="0.15">
      <c r="A4" s="5" t="s">
        <v>134</v>
      </c>
      <c r="B4" s="18">
        <f>0-'Payback period results'!C25</f>
        <v>-2361</v>
      </c>
      <c r="C4" s="18">
        <f>0-'Payback period results'!D25</f>
        <v>-1566</v>
      </c>
      <c r="D4" s="18">
        <f>0-'Payback period results'!E25</f>
        <v>-2420</v>
      </c>
      <c r="E4" s="18">
        <f>0-'Payback period results'!F25</f>
        <v>-3000</v>
      </c>
      <c r="F4" s="18">
        <f>0-'Payback period results'!G25</f>
        <v>-2361</v>
      </c>
      <c r="G4" s="18">
        <f>0-'Payback period results'!H25</f>
        <v>-3250</v>
      </c>
      <c r="H4" s="18">
        <f>0-'Payback period results'!I25</f>
        <v>-2000</v>
      </c>
      <c r="I4" s="18">
        <f>0-'Payback period results'!J25</f>
        <v>-285</v>
      </c>
      <c r="J4" s="18">
        <f>0-'Payback period results'!K25</f>
        <v>-2000</v>
      </c>
      <c r="K4" s="18">
        <f>0-'Payback period results'!L25</f>
        <v>-2361</v>
      </c>
      <c r="L4" s="18">
        <f>0-'Payback period results'!M25</f>
        <v>-1473</v>
      </c>
      <c r="M4" s="18">
        <f>0-'Payback period results'!N25</f>
        <v>-3614</v>
      </c>
      <c r="N4" s="18">
        <f>0-'Payback period results'!O25</f>
        <v>-1807</v>
      </c>
      <c r="O4" s="18">
        <f>0-'Payback period results'!P25</f>
        <v>-2361</v>
      </c>
      <c r="P4" s="18">
        <f>0-'Payback period results'!Q25</f>
        <v>-738</v>
      </c>
      <c r="Q4" s="18">
        <f>0-'Payback period results'!R25</f>
        <v>-1660</v>
      </c>
      <c r="R4" s="18">
        <f>0-'Payback period results'!S25</f>
        <v>-2500</v>
      </c>
      <c r="S4" s="18">
        <f>0-'Payback period results'!T25</f>
        <v>-2662</v>
      </c>
      <c r="T4" s="18">
        <f>0-'Payback period results'!U25</f>
        <v>-1597</v>
      </c>
      <c r="U4" s="18">
        <f>0-'Payback period results'!V25</f>
        <v>-738</v>
      </c>
      <c r="V4" s="18">
        <f>0-'Payback period results'!W25</f>
        <v>-885</v>
      </c>
      <c r="W4" s="18">
        <f>0-'Payback period results'!X25</f>
        <v>-738</v>
      </c>
      <c r="X4" s="18">
        <f>0-'Payback period results'!Y25</f>
        <v>-1200</v>
      </c>
      <c r="Y4" s="18">
        <f>0-'Payback period results'!Z25</f>
        <v>-2263</v>
      </c>
      <c r="Z4" s="18">
        <f>0-'Payback period results'!AA25</f>
        <v>-879</v>
      </c>
      <c r="AA4" s="18">
        <f>0-'Payback period results'!AB25</f>
        <v>-738</v>
      </c>
      <c r="AB4" s="18">
        <f>0-'Payback period results'!AC25</f>
        <v>-738</v>
      </c>
      <c r="AC4" s="18">
        <f>0-'Payback period results'!AD25</f>
        <v>-1118</v>
      </c>
      <c r="AD4" s="18">
        <f>0-'Payback period results'!AE25</f>
        <v>-894</v>
      </c>
      <c r="AE4" s="18">
        <f>0-'Payback period results'!AF25</f>
        <v>-1888</v>
      </c>
      <c r="AF4" s="18">
        <f>0-'Payback period results'!AG25</f>
        <v>-738</v>
      </c>
      <c r="AG4" s="18">
        <f>0-'Payback period results'!AH25</f>
        <v>-2329</v>
      </c>
      <c r="AH4" s="18">
        <f>0-'Payback period results'!AI25</f>
        <v>-4550</v>
      </c>
      <c r="AI4" s="18">
        <f>0-'Payback period results'!AJ25</f>
        <v>-1888</v>
      </c>
      <c r="AJ4" s="18">
        <f>0-'Payback period results'!AK25</f>
        <v>-2329</v>
      </c>
      <c r="AK4" s="18">
        <f>0-'Payback period results'!AL25</f>
        <v>-738</v>
      </c>
      <c r="AL4" s="18">
        <f>0-'Payback period results'!AM25</f>
        <v>-1778</v>
      </c>
      <c r="AM4" s="18">
        <f>0-'Payback period results'!AN25</f>
        <v>-2059</v>
      </c>
      <c r="AN4" s="18">
        <f>0-'Payback period results'!AO25</f>
        <v>-900</v>
      </c>
      <c r="AO4" s="18">
        <f>0-'Payback period results'!AP25</f>
        <v>-2000</v>
      </c>
      <c r="AP4" s="18">
        <f>0-'Payback period results'!AQ25</f>
        <v>-738</v>
      </c>
      <c r="AQ4" s="18">
        <f>0-'Payback period results'!AR25</f>
        <v>-690</v>
      </c>
      <c r="AR4" s="18">
        <f>0-'Payback period results'!AS25</f>
        <v>-1880</v>
      </c>
      <c r="AS4" s="18">
        <f>0-'Payback period results'!AT25</f>
        <v>-2400</v>
      </c>
      <c r="AT4" s="18">
        <f>0-'Payback period results'!AU25</f>
        <v>-285</v>
      </c>
      <c r="AU4" s="18">
        <f>0-'Payback period results'!AV25</f>
        <v>-690</v>
      </c>
      <c r="AV4" s="18">
        <f>0-'Payback period results'!AW25</f>
        <v>-1675</v>
      </c>
      <c r="AW4" s="18">
        <f>0-'Payback period results'!AX25</f>
        <v>-900</v>
      </c>
      <c r="AX4" s="18">
        <f>0-'Payback period results'!AY25</f>
        <v>-2500</v>
      </c>
      <c r="AY4" s="18">
        <f>0-'Payback period results'!AZ25</f>
        <v>-2000</v>
      </c>
      <c r="AZ4" s="18">
        <f>0-'Payback period results'!BA25</f>
        <v>-690</v>
      </c>
      <c r="BA4" s="18">
        <f>0-'Payback period results'!BB25</f>
        <v>-1880</v>
      </c>
      <c r="BB4" s="18">
        <f>0-'Payback period results'!BC25</f>
        <v>-2000</v>
      </c>
      <c r="BC4" s="18">
        <f>0-'Payback period results'!BD25</f>
        <v>-285</v>
      </c>
      <c r="BD4" s="18">
        <f>0-'Payback period results'!BE25</f>
        <v>-690</v>
      </c>
    </row>
    <row r="5" spans="1:56" ht="15.75" customHeight="1" x14ac:dyDescent="0.15">
      <c r="A5" s="5" t="s">
        <v>135</v>
      </c>
      <c r="B5" s="18">
        <f>'Payback period results'!$C$22</f>
        <v>1647.8963855421689</v>
      </c>
      <c r="C5" s="18">
        <f>'Payback period results'!$D$22</f>
        <v>677.56873956626544</v>
      </c>
      <c r="D5" s="18">
        <f>'Payback period results'!$E$22</f>
        <v>745.16983156626509</v>
      </c>
      <c r="E5" s="18">
        <f>'Payback period results'!$F$22</f>
        <v>3670.9098674698789</v>
      </c>
      <c r="F5" s="18">
        <f>'Payback period results'!$G$22</f>
        <v>-973.85956110154893</v>
      </c>
      <c r="G5" s="18">
        <f>'Payback period results'!$H$22</f>
        <v>1931.7986513252999</v>
      </c>
      <c r="H5" s="18">
        <f>'Payback period results'!$I$22</f>
        <v>1454.9522813253016</v>
      </c>
      <c r="I5" s="18">
        <f>'Payback period results'!$J$22</f>
        <v>389.34103132530072</v>
      </c>
      <c r="J5" s="18">
        <f>'Payback period results'!$K$22</f>
        <v>916.86748132530101</v>
      </c>
      <c r="K5" s="18">
        <f>'Payback period results'!$L$22</f>
        <v>2609.9879518072294</v>
      </c>
      <c r="L5" s="18">
        <f>'Payback period results'!$M$22</f>
        <v>619.71616656626509</v>
      </c>
      <c r="M5" s="18">
        <f>'Payback period results'!$N$22</f>
        <v>341.19857089156653</v>
      </c>
      <c r="N5" s="18">
        <f>'Payback period results'!$O$22</f>
        <v>653.70087951807272</v>
      </c>
      <c r="O5" s="18">
        <f>'Payback period results'!$P$22</f>
        <v>2803.8096385542167</v>
      </c>
      <c r="P5" s="18">
        <f>'Payback period results'!$Q$22</f>
        <v>3304.0457167904665</v>
      </c>
      <c r="Q5" s="18">
        <f>'Payback period results'!$R$22</f>
        <v>1066.068119464999</v>
      </c>
      <c r="R5" s="18">
        <f>'Payback period results'!$S$22</f>
        <v>3441.0059742880071</v>
      </c>
      <c r="S5" s="18">
        <f>'Payback period results'!$T$22</f>
        <v>946.62674063510622</v>
      </c>
      <c r="T5" s="18">
        <f>'Payback period results'!$U$22</f>
        <v>1582.5304906351059</v>
      </c>
      <c r="U5" s="18">
        <f>'Payback period results'!$V$22</f>
        <v>-1304.1935022009657</v>
      </c>
      <c r="V5" s="18">
        <f>'Payback period results'!$W$22</f>
        <v>-2013.6089710168087</v>
      </c>
      <c r="W5" s="18">
        <f>'Payback period results'!$X$22</f>
        <v>3927.0283765063714</v>
      </c>
      <c r="X5" s="18">
        <f>'Payback period results'!$Y$22</f>
        <v>282.54962428800786</v>
      </c>
      <c r="Y5" s="18">
        <f>'Payback period results'!$Z$22</f>
        <v>2182.675349288008</v>
      </c>
      <c r="Z5" s="18">
        <f>'Payback period results'!$AA$22</f>
        <v>771.96247428800768</v>
      </c>
      <c r="AA5" s="18">
        <f>'Payback period results'!$AB$22</f>
        <v>7062.9542713627379</v>
      </c>
      <c r="AB5" s="18">
        <f>'Payback period results'!$AC$22</f>
        <v>3439.8692859673993</v>
      </c>
      <c r="AC5" s="18">
        <f>'Payback period results'!$AD$22</f>
        <v>311.11922714387026</v>
      </c>
      <c r="AD5" s="18">
        <f>'Payback period results'!$AE$22</f>
        <v>450.64487420269438</v>
      </c>
      <c r="AE5" s="18">
        <f>'Payback period results'!$AF$22</f>
        <v>1232.5211242026894</v>
      </c>
      <c r="AF5" s="18">
        <f>'Payback period results'!$AG$22</f>
        <v>-678.6160123519287</v>
      </c>
      <c r="AG5" s="18">
        <f>'Payback period results'!$AH$22</f>
        <v>547.57178596739868</v>
      </c>
      <c r="AH5" s="18">
        <f>'Payback period results'!$AI$22</f>
        <v>4321.9567859673989</v>
      </c>
      <c r="AI5" s="18">
        <f>'Payback period results'!$AJ$22</f>
        <v>2748.3567859673985</v>
      </c>
      <c r="AJ5" s="18">
        <f>'Payback period results'!$AK$22</f>
        <v>1074.7367859673986</v>
      </c>
      <c r="AK5" s="18">
        <f>'Payback period results'!$AL$22</f>
        <v>3490.1266599169785</v>
      </c>
      <c r="AL5" s="18">
        <f>'Payback period results'!$AM$22</f>
        <v>492.17722714386957</v>
      </c>
      <c r="AM5" s="18">
        <f>'Payback period results'!$AN$22</f>
        <v>6498.3764918497536</v>
      </c>
      <c r="AN5" s="18">
        <f>'Payback period results'!$AO$22</f>
        <v>14.806491849752092</v>
      </c>
      <c r="AO5" s="18">
        <f>'Payback period results'!$AP$22</f>
        <v>5082.814491849751</v>
      </c>
      <c r="AP5" s="18">
        <f>'Payback period results'!$AQ$22</f>
        <v>6621.777374202693</v>
      </c>
      <c r="AQ5" s="18">
        <f>'Payback period results'!$AR$22</f>
        <v>1659.9808235039604</v>
      </c>
      <c r="AR5" s="18">
        <f>'Payback period results'!$AS$22</f>
        <v>980.20273786860093</v>
      </c>
      <c r="AS5" s="18">
        <f>'Payback period results'!$AT$22</f>
        <v>1749.2291563768872</v>
      </c>
      <c r="AT5" s="18">
        <f>'Payback period results'!$AU$22</f>
        <v>-271.01879362311161</v>
      </c>
      <c r="AU5" s="18">
        <f>'Payback period results'!$AV$22</f>
        <v>1555.343812059604</v>
      </c>
      <c r="AV5" s="18">
        <f>'Payback period results'!$AW$22</f>
        <v>2386.5507378686016</v>
      </c>
      <c r="AW5" s="18">
        <f>'Payback period results'!$AX$22</f>
        <v>944.56073786860145</v>
      </c>
      <c r="AX5" s="18">
        <f>'Payback period results'!$AY$22</f>
        <v>2860.9645776476068</v>
      </c>
      <c r="AY5" s="18">
        <f>'Payback period results'!$AZ$22</f>
        <v>6395.1189776476076</v>
      </c>
      <c r="AZ5" s="18">
        <f>'Payback period results'!$BA$22</f>
        <v>1646.3503235039607</v>
      </c>
      <c r="BA5" s="18">
        <f>'Payback period results'!$BB$22</f>
        <v>3412.5337378686008</v>
      </c>
      <c r="BB5" s="18">
        <f>'Payback period results'!$BC$22</f>
        <v>3802.2416563768875</v>
      </c>
      <c r="BC5" s="18">
        <f>'Payback period results'!$BD$22</f>
        <v>428.56965637688836</v>
      </c>
      <c r="BD5" s="18">
        <f>'Payback period results'!$BE$22</f>
        <v>4080.5793235039609</v>
      </c>
    </row>
    <row r="6" spans="1:56" ht="15.75" customHeight="1" x14ac:dyDescent="0.15">
      <c r="A6" s="5" t="s">
        <v>136</v>
      </c>
      <c r="B6" s="18">
        <f>'Payback period results'!$C$22</f>
        <v>1647.8963855421689</v>
      </c>
      <c r="C6" s="18">
        <f>'Payback period results'!$D$22</f>
        <v>677.56873956626544</v>
      </c>
      <c r="D6" s="18">
        <f>'Payback period results'!$E$22</f>
        <v>745.16983156626509</v>
      </c>
      <c r="E6" s="18">
        <f>'Payback period results'!$F$22</f>
        <v>3670.9098674698789</v>
      </c>
      <c r="F6" s="18">
        <f>'Payback period results'!$G$22</f>
        <v>-973.85956110154893</v>
      </c>
      <c r="G6" s="18">
        <f>'Payback period results'!$H$22</f>
        <v>1931.7986513252999</v>
      </c>
      <c r="H6" s="18">
        <f>'Payback period results'!$I$22</f>
        <v>1454.9522813253016</v>
      </c>
      <c r="I6" s="18">
        <f>'Payback period results'!$J$22</f>
        <v>389.34103132530072</v>
      </c>
      <c r="J6" s="18">
        <f>'Payback period results'!$K$22</f>
        <v>916.86748132530101</v>
      </c>
      <c r="K6" s="18">
        <f>'Payback period results'!$L$22</f>
        <v>2609.9879518072294</v>
      </c>
      <c r="L6" s="18">
        <f>'Payback period results'!$M$22</f>
        <v>619.71616656626509</v>
      </c>
      <c r="M6" s="18">
        <f>'Payback period results'!$N$22</f>
        <v>341.19857089156653</v>
      </c>
      <c r="N6" s="18">
        <f>'Payback period results'!$O$22</f>
        <v>653.70087951807272</v>
      </c>
      <c r="O6" s="18">
        <f>'Payback period results'!$P$22</f>
        <v>2803.8096385542167</v>
      </c>
      <c r="P6" s="18">
        <f>'Payback period results'!$Q$22</f>
        <v>3304.0457167904665</v>
      </c>
      <c r="Q6" s="18">
        <f>'Payback period results'!$R$22</f>
        <v>1066.068119464999</v>
      </c>
      <c r="R6" s="18">
        <f>'Payback period results'!$S$22</f>
        <v>3441.0059742880071</v>
      </c>
      <c r="S6" s="18">
        <f>'Payback period results'!$T$22</f>
        <v>946.62674063510622</v>
      </c>
      <c r="T6" s="18">
        <f>'Payback period results'!$U$22</f>
        <v>1582.5304906351059</v>
      </c>
      <c r="U6" s="18">
        <f>'Payback period results'!$V$22</f>
        <v>-1304.1935022009657</v>
      </c>
      <c r="V6" s="18">
        <f>'Payback period results'!$W$22</f>
        <v>-2013.6089710168087</v>
      </c>
      <c r="W6" s="18">
        <f>'Payback period results'!$X$22</f>
        <v>3927.0283765063714</v>
      </c>
      <c r="X6" s="18">
        <f>'Payback period results'!$Y$22</f>
        <v>282.54962428800786</v>
      </c>
      <c r="Y6" s="18">
        <f>'Payback period results'!$Z$22</f>
        <v>2182.675349288008</v>
      </c>
      <c r="Z6" s="18">
        <f>'Payback period results'!$AA$22</f>
        <v>771.96247428800768</v>
      </c>
      <c r="AA6" s="18">
        <f>'Payback period results'!$AB$22</f>
        <v>7062.9542713627379</v>
      </c>
      <c r="AB6" s="18">
        <f>'Payback period results'!$AC$22</f>
        <v>3439.8692859673993</v>
      </c>
      <c r="AC6" s="18">
        <f>'Payback period results'!$AD$22</f>
        <v>311.11922714387026</v>
      </c>
      <c r="AD6" s="18">
        <f>'Payback period results'!$AE$22</f>
        <v>450.64487420269438</v>
      </c>
      <c r="AE6" s="18">
        <f>'Payback period results'!$AF$22</f>
        <v>1232.5211242026894</v>
      </c>
      <c r="AF6" s="18">
        <f>'Payback period results'!$AG$22</f>
        <v>-678.6160123519287</v>
      </c>
      <c r="AG6" s="18">
        <f>'Payback period results'!$AH$22</f>
        <v>547.57178596739868</v>
      </c>
      <c r="AH6" s="18">
        <f>'Payback period results'!$AI$22</f>
        <v>4321.9567859673989</v>
      </c>
      <c r="AI6" s="18">
        <f>'Payback period results'!$AJ$22</f>
        <v>2748.3567859673985</v>
      </c>
      <c r="AJ6" s="18">
        <f>'Payback period results'!$AK$22</f>
        <v>1074.7367859673986</v>
      </c>
      <c r="AK6" s="18">
        <f>'Payback period results'!$AL$22</f>
        <v>3490.1266599169785</v>
      </c>
      <c r="AL6" s="18">
        <f>'Payback period results'!$AM$22</f>
        <v>492.17722714386957</v>
      </c>
      <c r="AM6" s="18">
        <f>'Payback period results'!$AN$22</f>
        <v>6498.3764918497536</v>
      </c>
      <c r="AN6" s="18">
        <f>'Payback period results'!$AO$22</f>
        <v>14.806491849752092</v>
      </c>
      <c r="AO6" s="18">
        <f>'Payback period results'!$AP$22</f>
        <v>5082.814491849751</v>
      </c>
      <c r="AP6" s="18">
        <f>'Payback period results'!$AQ$22</f>
        <v>6621.777374202693</v>
      </c>
      <c r="AQ6" s="18">
        <f>'Payback period results'!$AR$22</f>
        <v>1659.9808235039604</v>
      </c>
      <c r="AR6" s="18">
        <f>'Payback period results'!$AS$22</f>
        <v>980.20273786860093</v>
      </c>
      <c r="AS6" s="18">
        <f>'Payback period results'!$AT$22</f>
        <v>1749.2291563768872</v>
      </c>
      <c r="AT6" s="18">
        <f>'Payback period results'!$AU$22</f>
        <v>-271.01879362311161</v>
      </c>
      <c r="AU6" s="18">
        <f>'Payback period results'!$AV$22</f>
        <v>1555.343812059604</v>
      </c>
      <c r="AV6" s="18">
        <f>'Payback period results'!$AW$22</f>
        <v>2386.5507378686016</v>
      </c>
      <c r="AW6" s="18">
        <f>'Payback period results'!$AX$22</f>
        <v>944.56073786860145</v>
      </c>
      <c r="AX6" s="18">
        <f>'Payback period results'!$AY$22</f>
        <v>2860.9645776476068</v>
      </c>
      <c r="AY6" s="18">
        <f>'Payback period results'!$AZ$22</f>
        <v>6395.1189776476076</v>
      </c>
      <c r="AZ6" s="18">
        <f>'Payback period results'!$BA$22</f>
        <v>1646.3503235039607</v>
      </c>
      <c r="BA6" s="18">
        <f>'Payback period results'!$BB$22</f>
        <v>3412.5337378686008</v>
      </c>
      <c r="BB6" s="18">
        <f>'Payback period results'!$BC$22</f>
        <v>3802.2416563768875</v>
      </c>
      <c r="BC6" s="18">
        <f>'Payback period results'!$BD$22</f>
        <v>428.56965637688836</v>
      </c>
      <c r="BD6" s="18">
        <f>'Payback period results'!$BE$22</f>
        <v>4080.5793235039609</v>
      </c>
    </row>
    <row r="7" spans="1:56" ht="15.75" customHeight="1" x14ac:dyDescent="0.15">
      <c r="A7" s="5" t="s">
        <v>137</v>
      </c>
      <c r="B7" s="18">
        <f>'Payback period results'!$C$22</f>
        <v>1647.8963855421689</v>
      </c>
      <c r="C7" s="18">
        <f>'Payback period results'!$D$22</f>
        <v>677.56873956626544</v>
      </c>
      <c r="D7" s="18">
        <f>'Payback period results'!$E$22</f>
        <v>745.16983156626509</v>
      </c>
      <c r="E7" s="18">
        <f>'Payback period results'!$F$22</f>
        <v>3670.9098674698789</v>
      </c>
      <c r="F7" s="18">
        <f>'Payback period results'!$G$22</f>
        <v>-973.85956110154893</v>
      </c>
      <c r="G7" s="18">
        <f>'Payback period results'!$H$22</f>
        <v>1931.7986513252999</v>
      </c>
      <c r="H7" s="18">
        <f>'Payback period results'!$I$22</f>
        <v>1454.9522813253016</v>
      </c>
      <c r="I7" s="18">
        <f>'Payback period results'!$J$22</f>
        <v>389.34103132530072</v>
      </c>
      <c r="J7" s="18">
        <f>'Payback period results'!$K$22</f>
        <v>916.86748132530101</v>
      </c>
      <c r="K7" s="18">
        <f>'Payback period results'!$L$22</f>
        <v>2609.9879518072294</v>
      </c>
      <c r="L7" s="18">
        <f>'Payback period results'!$M$22</f>
        <v>619.71616656626509</v>
      </c>
      <c r="M7" s="18">
        <f>'Payback period results'!$N$22</f>
        <v>341.19857089156653</v>
      </c>
      <c r="N7" s="18">
        <f>'Payback period results'!$O$22</f>
        <v>653.70087951807272</v>
      </c>
      <c r="O7" s="18">
        <f>'Payback period results'!$P$22</f>
        <v>2803.8096385542167</v>
      </c>
      <c r="P7" s="18">
        <f>'Payback period results'!$Q$22</f>
        <v>3304.0457167904665</v>
      </c>
      <c r="Q7" s="18">
        <f>'Payback period results'!$R$22</f>
        <v>1066.068119464999</v>
      </c>
      <c r="R7" s="18">
        <f>'Payback period results'!$S$22</f>
        <v>3441.0059742880071</v>
      </c>
      <c r="S7" s="18">
        <f>'Payback period results'!$T$22</f>
        <v>946.62674063510622</v>
      </c>
      <c r="T7" s="18">
        <f>'Payback period results'!$U$22</f>
        <v>1582.5304906351059</v>
      </c>
      <c r="U7" s="18">
        <f>'Payback period results'!$V$22</f>
        <v>-1304.1935022009657</v>
      </c>
      <c r="V7" s="18">
        <f>'Payback period results'!$W$22</f>
        <v>-2013.6089710168087</v>
      </c>
      <c r="W7" s="18">
        <f>'Payback period results'!$X$22</f>
        <v>3927.0283765063714</v>
      </c>
      <c r="X7" s="18">
        <f>'Payback period results'!$Y$22</f>
        <v>282.54962428800786</v>
      </c>
      <c r="Y7" s="18">
        <f>'Payback period results'!$Z$22</f>
        <v>2182.675349288008</v>
      </c>
      <c r="Z7" s="18">
        <f>'Payback period results'!$AA$22</f>
        <v>771.96247428800768</v>
      </c>
      <c r="AA7" s="18">
        <f>'Payback period results'!$AB$22</f>
        <v>7062.9542713627379</v>
      </c>
      <c r="AB7" s="18">
        <f>'Payback period results'!$AC$22</f>
        <v>3439.8692859673993</v>
      </c>
      <c r="AC7" s="18">
        <f>'Payback period results'!$AD$22</f>
        <v>311.11922714387026</v>
      </c>
      <c r="AD7" s="18">
        <f>'Payback period results'!$AE$22</f>
        <v>450.64487420269438</v>
      </c>
      <c r="AE7" s="18">
        <f>'Payback period results'!$AF$22</f>
        <v>1232.5211242026894</v>
      </c>
      <c r="AF7" s="18">
        <f>'Payback period results'!$AG$22</f>
        <v>-678.6160123519287</v>
      </c>
      <c r="AG7" s="18">
        <f>'Payback period results'!$AH$22</f>
        <v>547.57178596739868</v>
      </c>
      <c r="AH7" s="18">
        <f>'Payback period results'!$AI$22</f>
        <v>4321.9567859673989</v>
      </c>
      <c r="AI7" s="18">
        <f>'Payback period results'!$AJ$22</f>
        <v>2748.3567859673985</v>
      </c>
      <c r="AJ7" s="18">
        <f>'Payback period results'!$AK$22</f>
        <v>1074.7367859673986</v>
      </c>
      <c r="AK7" s="18">
        <f>'Payback period results'!$AL$22</f>
        <v>3490.1266599169785</v>
      </c>
      <c r="AL7" s="18">
        <f>'Payback period results'!$AM$22</f>
        <v>492.17722714386957</v>
      </c>
      <c r="AM7" s="18">
        <f>'Payback period results'!$AN$22</f>
        <v>6498.3764918497536</v>
      </c>
      <c r="AN7" s="18">
        <f>'Payback period results'!$AO$22</f>
        <v>14.806491849752092</v>
      </c>
      <c r="AO7" s="18">
        <f>'Payback period results'!$AP$22</f>
        <v>5082.814491849751</v>
      </c>
      <c r="AP7" s="18">
        <f>'Payback period results'!$AQ$22</f>
        <v>6621.777374202693</v>
      </c>
      <c r="AQ7" s="18">
        <f>'Payback period results'!$AR$22</f>
        <v>1659.9808235039604</v>
      </c>
      <c r="AR7" s="18">
        <f>'Payback period results'!$AS$22</f>
        <v>980.20273786860093</v>
      </c>
      <c r="AS7" s="18">
        <f>'Payback period results'!$AT$22</f>
        <v>1749.2291563768872</v>
      </c>
      <c r="AT7" s="18">
        <f>'Payback period results'!$AU$22</f>
        <v>-271.01879362311161</v>
      </c>
      <c r="AU7" s="18">
        <f>'Payback period results'!$AV$22</f>
        <v>1555.343812059604</v>
      </c>
      <c r="AV7" s="18">
        <f>'Payback period results'!$AW$22</f>
        <v>2386.5507378686016</v>
      </c>
      <c r="AW7" s="18">
        <f>'Payback period results'!$AX$22</f>
        <v>944.56073786860145</v>
      </c>
      <c r="AX7" s="18">
        <f>'Payback period results'!$AY$22</f>
        <v>2860.9645776476068</v>
      </c>
      <c r="AY7" s="18">
        <f>'Payback period results'!$AZ$22</f>
        <v>6395.1189776476076</v>
      </c>
      <c r="AZ7" s="18">
        <f>'Payback period results'!$BA$22</f>
        <v>1646.3503235039607</v>
      </c>
      <c r="BA7" s="18">
        <f>'Payback period results'!$BB$22</f>
        <v>3412.5337378686008</v>
      </c>
      <c r="BB7" s="18">
        <f>'Payback period results'!$BC$22</f>
        <v>3802.2416563768875</v>
      </c>
      <c r="BC7" s="18">
        <f>'Payback period results'!$BD$22</f>
        <v>428.56965637688836</v>
      </c>
      <c r="BD7" s="18">
        <f>'Payback period results'!$BE$22</f>
        <v>4080.5793235039609</v>
      </c>
    </row>
    <row r="8" spans="1:56" ht="15.75" customHeight="1" x14ac:dyDescent="0.15">
      <c r="A8" s="5" t="s">
        <v>138</v>
      </c>
      <c r="B8" s="18">
        <f>'Payback period results'!$C$22</f>
        <v>1647.8963855421689</v>
      </c>
      <c r="C8" s="18">
        <f>'Payback period results'!$D$22</f>
        <v>677.56873956626544</v>
      </c>
      <c r="D8" s="18">
        <f>'Payback period results'!$E$22</f>
        <v>745.16983156626509</v>
      </c>
      <c r="E8" s="18">
        <f>'Payback period results'!$F$22</f>
        <v>3670.9098674698789</v>
      </c>
      <c r="F8" s="18">
        <f>'Payback period results'!$G$22</f>
        <v>-973.85956110154893</v>
      </c>
      <c r="G8" s="18">
        <f>'Payback period results'!$H$22</f>
        <v>1931.7986513252999</v>
      </c>
      <c r="H8" s="18">
        <f>'Payback period results'!$I$22</f>
        <v>1454.9522813253016</v>
      </c>
      <c r="I8" s="18">
        <f>'Payback period results'!$J$22</f>
        <v>389.34103132530072</v>
      </c>
      <c r="J8" s="18">
        <f>'Payback period results'!$K$22</f>
        <v>916.86748132530101</v>
      </c>
      <c r="K8" s="18">
        <f>'Payback period results'!$L$22</f>
        <v>2609.9879518072294</v>
      </c>
      <c r="L8" s="18">
        <f>'Payback period results'!$M$22</f>
        <v>619.71616656626509</v>
      </c>
      <c r="M8" s="18">
        <f>'Payback period results'!$N$22</f>
        <v>341.19857089156653</v>
      </c>
      <c r="N8" s="18">
        <f>'Payback period results'!$O$22</f>
        <v>653.70087951807272</v>
      </c>
      <c r="O8" s="18">
        <f>'Payback period results'!$P$22</f>
        <v>2803.8096385542167</v>
      </c>
      <c r="P8" s="18">
        <f>'Payback period results'!$Q$22</f>
        <v>3304.0457167904665</v>
      </c>
      <c r="Q8" s="18">
        <f>'Payback period results'!$R$22</f>
        <v>1066.068119464999</v>
      </c>
      <c r="R8" s="18">
        <f>'Payback period results'!$S$22</f>
        <v>3441.0059742880071</v>
      </c>
      <c r="S8" s="18">
        <f>'Payback period results'!$T$22</f>
        <v>946.62674063510622</v>
      </c>
      <c r="T8" s="18">
        <f>'Payback period results'!$U$22</f>
        <v>1582.5304906351059</v>
      </c>
      <c r="U8" s="18">
        <f>'Payback period results'!$V$22</f>
        <v>-1304.1935022009657</v>
      </c>
      <c r="V8" s="18">
        <f>'Payback period results'!$W$22</f>
        <v>-2013.6089710168087</v>
      </c>
      <c r="W8" s="18">
        <f>'Payback period results'!$X$22</f>
        <v>3927.0283765063714</v>
      </c>
      <c r="X8" s="18">
        <f>'Payback period results'!$Y$22</f>
        <v>282.54962428800786</v>
      </c>
      <c r="Y8" s="18">
        <f>'Payback period results'!$Z$22</f>
        <v>2182.675349288008</v>
      </c>
      <c r="Z8" s="18">
        <f>'Payback period results'!$AA$22</f>
        <v>771.96247428800768</v>
      </c>
      <c r="AA8" s="18">
        <f>'Payback period results'!$AB$22</f>
        <v>7062.9542713627379</v>
      </c>
      <c r="AB8" s="18">
        <f>'Payback period results'!$AC$22</f>
        <v>3439.8692859673993</v>
      </c>
      <c r="AC8" s="18">
        <f>'Payback period results'!$AD$22</f>
        <v>311.11922714387026</v>
      </c>
      <c r="AD8" s="18">
        <f>'Payback period results'!$AE$22</f>
        <v>450.64487420269438</v>
      </c>
      <c r="AE8" s="18">
        <f>'Payback period results'!$AF$22</f>
        <v>1232.5211242026894</v>
      </c>
      <c r="AF8" s="18">
        <f>'Payback period results'!$AG$22</f>
        <v>-678.6160123519287</v>
      </c>
      <c r="AG8" s="18">
        <f>'Payback period results'!$AH$22</f>
        <v>547.57178596739868</v>
      </c>
      <c r="AH8" s="18">
        <f>'Payback period results'!$AI$22</f>
        <v>4321.9567859673989</v>
      </c>
      <c r="AI8" s="18">
        <f>'Payback period results'!$AJ$22</f>
        <v>2748.3567859673985</v>
      </c>
      <c r="AJ8" s="18">
        <f>'Payback period results'!$AK$22</f>
        <v>1074.7367859673986</v>
      </c>
      <c r="AK8" s="18">
        <f>'Payback period results'!$AL$22</f>
        <v>3490.1266599169785</v>
      </c>
      <c r="AL8" s="18">
        <f>'Payback period results'!$AM$22</f>
        <v>492.17722714386957</v>
      </c>
      <c r="AM8" s="18">
        <f>'Payback period results'!$AN$22</f>
        <v>6498.3764918497536</v>
      </c>
      <c r="AN8" s="18">
        <f>'Payback period results'!$AO$22</f>
        <v>14.806491849752092</v>
      </c>
      <c r="AO8" s="18">
        <f>'Payback period results'!$AP$22</f>
        <v>5082.814491849751</v>
      </c>
      <c r="AP8" s="18">
        <f>'Payback period results'!$AQ$22</f>
        <v>6621.777374202693</v>
      </c>
      <c r="AQ8" s="18">
        <f>'Payback period results'!$AR$22</f>
        <v>1659.9808235039604</v>
      </c>
      <c r="AR8" s="18">
        <f>'Payback period results'!$AS$22</f>
        <v>980.20273786860093</v>
      </c>
      <c r="AS8" s="18">
        <f>'Payback period results'!$AT$22</f>
        <v>1749.2291563768872</v>
      </c>
      <c r="AT8" s="18">
        <f>'Payback period results'!$AU$22</f>
        <v>-271.01879362311161</v>
      </c>
      <c r="AU8" s="18">
        <f>'Payback period results'!$AV$22</f>
        <v>1555.343812059604</v>
      </c>
      <c r="AV8" s="18">
        <f>'Payback period results'!$AW$22</f>
        <v>2386.5507378686016</v>
      </c>
      <c r="AW8" s="18">
        <f>'Payback period results'!$AX$22</f>
        <v>944.56073786860145</v>
      </c>
      <c r="AX8" s="18">
        <f>'Payback period results'!$AY$22</f>
        <v>2860.9645776476068</v>
      </c>
      <c r="AY8" s="18">
        <f>'Payback period results'!$AZ$22</f>
        <v>6395.1189776476076</v>
      </c>
      <c r="AZ8" s="18">
        <f>'Payback period results'!$BA$22</f>
        <v>1646.3503235039607</v>
      </c>
      <c r="BA8" s="18">
        <f>'Payback period results'!$BB$22</f>
        <v>3412.5337378686008</v>
      </c>
      <c r="BB8" s="18">
        <f>'Payback period results'!$BC$22</f>
        <v>3802.2416563768875</v>
      </c>
      <c r="BC8" s="18">
        <f>'Payback period results'!$BD$22</f>
        <v>428.56965637688836</v>
      </c>
      <c r="BD8" s="18">
        <f>'Payback period results'!$BE$22</f>
        <v>4080.5793235039609</v>
      </c>
    </row>
    <row r="9" spans="1:56" ht="15.75" customHeight="1" x14ac:dyDescent="0.15">
      <c r="A9" s="5" t="s">
        <v>139</v>
      </c>
      <c r="B9" s="18">
        <f>'Payback period results'!$C$22</f>
        <v>1647.8963855421689</v>
      </c>
      <c r="C9" s="18">
        <f>'Payback period results'!$D$22</f>
        <v>677.56873956626544</v>
      </c>
      <c r="D9" s="18">
        <f>'Payback period results'!$E$22</f>
        <v>745.16983156626509</v>
      </c>
      <c r="E9" s="18">
        <f>'Payback period results'!$F$22</f>
        <v>3670.9098674698789</v>
      </c>
      <c r="F9" s="18">
        <f>'Payback period results'!$G$22</f>
        <v>-973.85956110154893</v>
      </c>
      <c r="G9" s="18">
        <f>'Payback period results'!$H$22</f>
        <v>1931.7986513252999</v>
      </c>
      <c r="H9" s="18">
        <f>'Payback period results'!$I$22</f>
        <v>1454.9522813253016</v>
      </c>
      <c r="I9" s="18">
        <f>'Payback period results'!$J$22</f>
        <v>389.34103132530072</v>
      </c>
      <c r="J9" s="18">
        <f>'Payback period results'!$K$22</f>
        <v>916.86748132530101</v>
      </c>
      <c r="K9" s="18">
        <f>'Payback period results'!$L$22</f>
        <v>2609.9879518072294</v>
      </c>
      <c r="L9" s="18">
        <f>'Payback period results'!$M$22</f>
        <v>619.71616656626509</v>
      </c>
      <c r="M9" s="18">
        <f>'Payback period results'!$N$22</f>
        <v>341.19857089156653</v>
      </c>
      <c r="N9" s="18">
        <f>'Payback period results'!$O$22</f>
        <v>653.70087951807272</v>
      </c>
      <c r="O9" s="18">
        <f>'Payback period results'!$P$22</f>
        <v>2803.8096385542167</v>
      </c>
      <c r="P9" s="18">
        <f>'Payback period results'!$Q$22</f>
        <v>3304.0457167904665</v>
      </c>
      <c r="Q9" s="18">
        <f>'Payback period results'!$R$22</f>
        <v>1066.068119464999</v>
      </c>
      <c r="R9" s="18">
        <f>'Payback period results'!$S$22</f>
        <v>3441.0059742880071</v>
      </c>
      <c r="S9" s="18">
        <f>'Payback period results'!$T$22</f>
        <v>946.62674063510622</v>
      </c>
      <c r="T9" s="18">
        <f>'Payback period results'!$U$22</f>
        <v>1582.5304906351059</v>
      </c>
      <c r="U9" s="18">
        <f>'Payback period results'!$V$22</f>
        <v>-1304.1935022009657</v>
      </c>
      <c r="V9" s="18">
        <f>'Payback period results'!$W$22</f>
        <v>-2013.6089710168087</v>
      </c>
      <c r="W9" s="18">
        <f>'Payback period results'!$X$22</f>
        <v>3927.0283765063714</v>
      </c>
      <c r="X9" s="18">
        <f>'Payback period results'!$Y$22</f>
        <v>282.54962428800786</v>
      </c>
      <c r="Y9" s="18">
        <f>'Payback period results'!$Z$22</f>
        <v>2182.675349288008</v>
      </c>
      <c r="Z9" s="18">
        <f>'Payback period results'!$AA$22</f>
        <v>771.96247428800768</v>
      </c>
      <c r="AA9" s="18">
        <f>'Payback period results'!$AB$22</f>
        <v>7062.9542713627379</v>
      </c>
      <c r="AB9" s="18">
        <f>'Payback period results'!$AC$22</f>
        <v>3439.8692859673993</v>
      </c>
      <c r="AC9" s="18">
        <f>'Payback period results'!$AD$22</f>
        <v>311.11922714387026</v>
      </c>
      <c r="AD9" s="18">
        <f>'Payback period results'!$AE$22</f>
        <v>450.64487420269438</v>
      </c>
      <c r="AE9" s="18">
        <f>'Payback period results'!$AF$22</f>
        <v>1232.5211242026894</v>
      </c>
      <c r="AF9" s="18">
        <f>'Payback period results'!$AG$22</f>
        <v>-678.6160123519287</v>
      </c>
      <c r="AG9" s="18">
        <f>'Payback period results'!$AH$22</f>
        <v>547.57178596739868</v>
      </c>
      <c r="AH9" s="18">
        <f>'Payback period results'!$AI$22</f>
        <v>4321.9567859673989</v>
      </c>
      <c r="AI9" s="18">
        <f>'Payback period results'!$AJ$22</f>
        <v>2748.3567859673985</v>
      </c>
      <c r="AJ9" s="18">
        <f>'Payback period results'!$AK$22</f>
        <v>1074.7367859673986</v>
      </c>
      <c r="AK9" s="18">
        <f>'Payback period results'!$AL$22</f>
        <v>3490.1266599169785</v>
      </c>
      <c r="AL9" s="18">
        <f>'Payback period results'!$AM$22</f>
        <v>492.17722714386957</v>
      </c>
      <c r="AM9" s="18">
        <f>'Payback period results'!$AN$22</f>
        <v>6498.3764918497536</v>
      </c>
      <c r="AN9" s="18">
        <f>'Payback period results'!$AO$22</f>
        <v>14.806491849752092</v>
      </c>
      <c r="AO9" s="18">
        <f>'Payback period results'!$AP$22</f>
        <v>5082.814491849751</v>
      </c>
      <c r="AP9" s="18">
        <f>'Payback period results'!$AQ$22</f>
        <v>6621.777374202693</v>
      </c>
      <c r="AQ9" s="18">
        <f>'Payback period results'!$AR$22</f>
        <v>1659.9808235039604</v>
      </c>
      <c r="AR9" s="18">
        <f>'Payback period results'!$AS$22</f>
        <v>980.20273786860093</v>
      </c>
      <c r="AS9" s="18">
        <f>'Payback period results'!$AT$22</f>
        <v>1749.2291563768872</v>
      </c>
      <c r="AT9" s="18">
        <f>'Payback period results'!$AU$22</f>
        <v>-271.01879362311161</v>
      </c>
      <c r="AU9" s="18">
        <f>'Payback period results'!$AV$22</f>
        <v>1555.343812059604</v>
      </c>
      <c r="AV9" s="18">
        <f>'Payback period results'!$AW$22</f>
        <v>2386.5507378686016</v>
      </c>
      <c r="AW9" s="18">
        <f>'Payback period results'!$AX$22</f>
        <v>944.56073786860145</v>
      </c>
      <c r="AX9" s="18">
        <f>'Payback period results'!$AY$22</f>
        <v>2860.9645776476068</v>
      </c>
      <c r="AY9" s="18">
        <f>'Payback period results'!$AZ$22</f>
        <v>6395.1189776476076</v>
      </c>
      <c r="AZ9" s="18">
        <f>'Payback period results'!$BA$22</f>
        <v>1646.3503235039607</v>
      </c>
      <c r="BA9" s="18">
        <f>'Payback period results'!$BB$22</f>
        <v>3412.5337378686008</v>
      </c>
      <c r="BB9" s="18">
        <f>'Payback period results'!$BC$22</f>
        <v>3802.2416563768875</v>
      </c>
      <c r="BC9" s="18">
        <f>'Payback period results'!$BD$22</f>
        <v>428.56965637688836</v>
      </c>
      <c r="BD9" s="18">
        <f>'Payback period results'!$BE$22</f>
        <v>4080.5793235039609</v>
      </c>
    </row>
    <row r="10" spans="1:56" ht="15.75" customHeight="1" x14ac:dyDescent="0.15">
      <c r="A10" s="5" t="s">
        <v>140</v>
      </c>
      <c r="B10" s="18">
        <f>'Payback period results'!$C$22</f>
        <v>1647.8963855421689</v>
      </c>
      <c r="C10" s="18">
        <f>'Payback period results'!$D$22</f>
        <v>677.56873956626544</v>
      </c>
      <c r="D10" s="18">
        <f>'Payback period results'!$E$22</f>
        <v>745.16983156626509</v>
      </c>
      <c r="E10" s="18">
        <f>'Payback period results'!$F$22</f>
        <v>3670.9098674698789</v>
      </c>
      <c r="F10" s="18">
        <f>'Payback period results'!$G$22</f>
        <v>-973.85956110154893</v>
      </c>
      <c r="G10" s="18">
        <f>'Payback period results'!$H$22</f>
        <v>1931.7986513252999</v>
      </c>
      <c r="H10" s="18">
        <f>'Payback period results'!$I$22</f>
        <v>1454.9522813253016</v>
      </c>
      <c r="I10" s="18">
        <f>'Payback period results'!$J$22</f>
        <v>389.34103132530072</v>
      </c>
      <c r="J10" s="18">
        <f>'Payback period results'!$K$22</f>
        <v>916.86748132530101</v>
      </c>
      <c r="K10" s="18">
        <f>'Payback period results'!$L$22</f>
        <v>2609.9879518072294</v>
      </c>
      <c r="L10" s="18">
        <f>'Payback period results'!$M$22</f>
        <v>619.71616656626509</v>
      </c>
      <c r="M10" s="18">
        <f>'Payback period results'!$N$22</f>
        <v>341.19857089156653</v>
      </c>
      <c r="N10" s="18">
        <f>'Payback period results'!$O$22</f>
        <v>653.70087951807272</v>
      </c>
      <c r="O10" s="18">
        <f>'Payback period results'!$P$22</f>
        <v>2803.8096385542167</v>
      </c>
      <c r="P10" s="18">
        <f>'Payback period results'!$Q$22</f>
        <v>3304.0457167904665</v>
      </c>
      <c r="Q10" s="18">
        <f>'Payback period results'!$R$22</f>
        <v>1066.068119464999</v>
      </c>
      <c r="R10" s="18">
        <f>'Payback period results'!$S$22</f>
        <v>3441.0059742880071</v>
      </c>
      <c r="S10" s="18">
        <f>'Payback period results'!$T$22</f>
        <v>946.62674063510622</v>
      </c>
      <c r="T10" s="18">
        <f>'Payback period results'!$U$22</f>
        <v>1582.5304906351059</v>
      </c>
      <c r="U10" s="18">
        <f>'Payback period results'!$V$22</f>
        <v>-1304.1935022009657</v>
      </c>
      <c r="V10" s="18">
        <f>'Payback period results'!$W$22</f>
        <v>-2013.6089710168087</v>
      </c>
      <c r="W10" s="18">
        <f>'Payback period results'!$X$22</f>
        <v>3927.0283765063714</v>
      </c>
      <c r="X10" s="18">
        <f>'Payback period results'!$Y$22</f>
        <v>282.54962428800786</v>
      </c>
      <c r="Y10" s="18">
        <f>'Payback period results'!$Z$22</f>
        <v>2182.675349288008</v>
      </c>
      <c r="Z10" s="18">
        <f>'Payback period results'!$AA$22</f>
        <v>771.96247428800768</v>
      </c>
      <c r="AA10" s="18">
        <f>'Payback period results'!$AB$22</f>
        <v>7062.9542713627379</v>
      </c>
      <c r="AB10" s="18">
        <f>'Payback period results'!$AC$22</f>
        <v>3439.8692859673993</v>
      </c>
      <c r="AC10" s="18">
        <f>'Payback period results'!$AD$22</f>
        <v>311.11922714387026</v>
      </c>
      <c r="AD10" s="18">
        <f>'Payback period results'!$AE$22</f>
        <v>450.64487420269438</v>
      </c>
      <c r="AE10" s="18">
        <f>'Payback period results'!$AF$22</f>
        <v>1232.5211242026894</v>
      </c>
      <c r="AF10" s="18">
        <f>'Payback period results'!$AG$22</f>
        <v>-678.6160123519287</v>
      </c>
      <c r="AG10" s="18">
        <f>'Payback period results'!$AH$22</f>
        <v>547.57178596739868</v>
      </c>
      <c r="AH10" s="18">
        <f>'Payback period results'!$AI$22</f>
        <v>4321.9567859673989</v>
      </c>
      <c r="AI10" s="18">
        <f>'Payback period results'!$AJ$22</f>
        <v>2748.3567859673985</v>
      </c>
      <c r="AJ10" s="18">
        <f>'Payback period results'!$AK$22</f>
        <v>1074.7367859673986</v>
      </c>
      <c r="AK10" s="18">
        <f>'Payback period results'!$AL$22</f>
        <v>3490.1266599169785</v>
      </c>
      <c r="AL10" s="18">
        <f>'Payback period results'!$AM$22</f>
        <v>492.17722714386957</v>
      </c>
      <c r="AM10" s="18">
        <f>'Payback period results'!$AN$22</f>
        <v>6498.3764918497536</v>
      </c>
      <c r="AN10" s="18">
        <f>'Payback period results'!$AO$22</f>
        <v>14.806491849752092</v>
      </c>
      <c r="AO10" s="18">
        <f>'Payback period results'!$AP$22</f>
        <v>5082.814491849751</v>
      </c>
      <c r="AP10" s="18">
        <f>'Payback period results'!$AQ$22</f>
        <v>6621.777374202693</v>
      </c>
      <c r="AQ10" s="18">
        <f>'Payback period results'!$AR$22</f>
        <v>1659.9808235039604</v>
      </c>
      <c r="AR10" s="18">
        <f>'Payback period results'!$AS$22</f>
        <v>980.20273786860093</v>
      </c>
      <c r="AS10" s="18">
        <f>'Payback period results'!$AT$22</f>
        <v>1749.2291563768872</v>
      </c>
      <c r="AT10" s="18">
        <f>'Payback period results'!$AU$22</f>
        <v>-271.01879362311161</v>
      </c>
      <c r="AU10" s="18">
        <f>'Payback period results'!$AV$22</f>
        <v>1555.343812059604</v>
      </c>
      <c r="AV10" s="18">
        <f>'Payback period results'!$AW$22</f>
        <v>2386.5507378686016</v>
      </c>
      <c r="AW10" s="18">
        <f>'Payback period results'!$AX$22</f>
        <v>944.56073786860145</v>
      </c>
      <c r="AX10" s="18">
        <f>'Payback period results'!$AY$22</f>
        <v>2860.9645776476068</v>
      </c>
      <c r="AY10" s="18">
        <f>'Payback period results'!$AZ$22</f>
        <v>6395.1189776476076</v>
      </c>
      <c r="AZ10" s="18">
        <f>'Payback period results'!$BA$22</f>
        <v>1646.3503235039607</v>
      </c>
      <c r="BA10" s="18">
        <f>'Payback period results'!$BB$22</f>
        <v>3412.5337378686008</v>
      </c>
      <c r="BB10" s="18">
        <f>'Payback period results'!$BC$22</f>
        <v>3802.2416563768875</v>
      </c>
      <c r="BC10" s="18">
        <f>'Payback period results'!$BD$22</f>
        <v>428.56965637688836</v>
      </c>
      <c r="BD10" s="18">
        <f>'Payback period results'!$BE$22</f>
        <v>4080.5793235039609</v>
      </c>
    </row>
    <row r="11" spans="1:56" ht="15.75" customHeight="1" x14ac:dyDescent="0.15">
      <c r="A11" s="5" t="s">
        <v>141</v>
      </c>
      <c r="B11" s="18">
        <f>'Payback period results'!$C$22</f>
        <v>1647.8963855421689</v>
      </c>
      <c r="C11" s="18">
        <f>'Payback period results'!$D$22</f>
        <v>677.56873956626544</v>
      </c>
      <c r="D11" s="18">
        <f>'Payback period results'!$E$22</f>
        <v>745.16983156626509</v>
      </c>
      <c r="E11" s="18">
        <f>'Payback period results'!$F$22</f>
        <v>3670.9098674698789</v>
      </c>
      <c r="F11" s="18">
        <f>'Payback period results'!$G$22</f>
        <v>-973.85956110154893</v>
      </c>
      <c r="G11" s="18">
        <f>'Payback period results'!$H$22</f>
        <v>1931.7986513252999</v>
      </c>
      <c r="H11" s="18">
        <f>'Payback period results'!$I$22</f>
        <v>1454.9522813253016</v>
      </c>
      <c r="I11" s="18">
        <f>'Payback period results'!$J$22</f>
        <v>389.34103132530072</v>
      </c>
      <c r="J11" s="18">
        <f>'Payback period results'!$K$22</f>
        <v>916.86748132530101</v>
      </c>
      <c r="K11" s="18">
        <f>'Payback period results'!$L$22</f>
        <v>2609.9879518072294</v>
      </c>
      <c r="L11" s="18">
        <f>'Payback period results'!$M$22</f>
        <v>619.71616656626509</v>
      </c>
      <c r="M11" s="18">
        <f>'Payback period results'!$N$22</f>
        <v>341.19857089156653</v>
      </c>
      <c r="N11" s="18">
        <f>'Payback period results'!$O$22</f>
        <v>653.70087951807272</v>
      </c>
      <c r="O11" s="18">
        <f>'Payback period results'!$P$22</f>
        <v>2803.8096385542167</v>
      </c>
      <c r="P11" s="18">
        <f>'Payback period results'!$Q$22</f>
        <v>3304.0457167904665</v>
      </c>
      <c r="Q11" s="18">
        <f>'Payback period results'!$R$22</f>
        <v>1066.068119464999</v>
      </c>
      <c r="R11" s="18">
        <f>'Payback period results'!$S$22</f>
        <v>3441.0059742880071</v>
      </c>
      <c r="S11" s="18">
        <f>'Payback period results'!$T$22</f>
        <v>946.62674063510622</v>
      </c>
      <c r="T11" s="18">
        <f>'Payback period results'!$U$22</f>
        <v>1582.5304906351059</v>
      </c>
      <c r="U11" s="18">
        <f>'Payback period results'!$V$22</f>
        <v>-1304.1935022009657</v>
      </c>
      <c r="V11" s="18">
        <f>'Payback period results'!$W$22</f>
        <v>-2013.6089710168087</v>
      </c>
      <c r="W11" s="18">
        <f>'Payback period results'!$X$22</f>
        <v>3927.0283765063714</v>
      </c>
      <c r="X11" s="18">
        <f>'Payback period results'!$Y$22</f>
        <v>282.54962428800786</v>
      </c>
      <c r="Y11" s="18">
        <f>'Payback period results'!$Z$22</f>
        <v>2182.675349288008</v>
      </c>
      <c r="Z11" s="18">
        <f>'Payback period results'!$AA$22</f>
        <v>771.96247428800768</v>
      </c>
      <c r="AA11" s="18">
        <f>'Payback period results'!$AB$22</f>
        <v>7062.9542713627379</v>
      </c>
      <c r="AB11" s="18">
        <f>'Payback period results'!$AC$22</f>
        <v>3439.8692859673993</v>
      </c>
      <c r="AC11" s="18">
        <f>'Payback period results'!$AD$22</f>
        <v>311.11922714387026</v>
      </c>
      <c r="AD11" s="18">
        <f>'Payback period results'!$AE$22</f>
        <v>450.64487420269438</v>
      </c>
      <c r="AE11" s="18">
        <f>'Payback period results'!$AF$22</f>
        <v>1232.5211242026894</v>
      </c>
      <c r="AF11" s="18">
        <f>'Payback period results'!$AG$22</f>
        <v>-678.6160123519287</v>
      </c>
      <c r="AG11" s="18">
        <f>'Payback period results'!$AH$22</f>
        <v>547.57178596739868</v>
      </c>
      <c r="AH11" s="18">
        <f>'Payback period results'!$AI$22</f>
        <v>4321.9567859673989</v>
      </c>
      <c r="AI11" s="18">
        <f>'Payback period results'!$AJ$22</f>
        <v>2748.3567859673985</v>
      </c>
      <c r="AJ11" s="18">
        <f>'Payback period results'!$AK$22</f>
        <v>1074.7367859673986</v>
      </c>
      <c r="AK11" s="18">
        <f>'Payback period results'!$AL$22</f>
        <v>3490.1266599169785</v>
      </c>
      <c r="AL11" s="18">
        <f>'Payback period results'!$AM$22</f>
        <v>492.17722714386957</v>
      </c>
      <c r="AM11" s="18">
        <f>'Payback period results'!$AN$22</f>
        <v>6498.3764918497536</v>
      </c>
      <c r="AN11" s="18">
        <f>'Payback period results'!$AO$22</f>
        <v>14.806491849752092</v>
      </c>
      <c r="AO11" s="18">
        <f>'Payback period results'!$AP$22</f>
        <v>5082.814491849751</v>
      </c>
      <c r="AP11" s="18">
        <f>'Payback period results'!$AQ$22</f>
        <v>6621.777374202693</v>
      </c>
      <c r="AQ11" s="18">
        <f>'Payback period results'!$AR$22</f>
        <v>1659.9808235039604</v>
      </c>
      <c r="AR11" s="18">
        <f>'Payback period results'!$AS$22</f>
        <v>980.20273786860093</v>
      </c>
      <c r="AS11" s="18">
        <f>'Payback period results'!$AT$22</f>
        <v>1749.2291563768872</v>
      </c>
      <c r="AT11" s="18">
        <f>'Payback period results'!$AU$22</f>
        <v>-271.01879362311161</v>
      </c>
      <c r="AU11" s="18">
        <f>'Payback period results'!$AV$22</f>
        <v>1555.343812059604</v>
      </c>
      <c r="AV11" s="18">
        <f>'Payback period results'!$AW$22</f>
        <v>2386.5507378686016</v>
      </c>
      <c r="AW11" s="18">
        <f>'Payback period results'!$AX$22</f>
        <v>944.56073786860145</v>
      </c>
      <c r="AX11" s="18">
        <f>'Payback period results'!$AY$22</f>
        <v>2860.9645776476068</v>
      </c>
      <c r="AY11" s="18">
        <f>'Payback period results'!$AZ$22</f>
        <v>6395.1189776476076</v>
      </c>
      <c r="AZ11" s="18">
        <f>'Payback period results'!$BA$22</f>
        <v>1646.3503235039607</v>
      </c>
      <c r="BA11" s="18">
        <f>'Payback period results'!$BB$22</f>
        <v>3412.5337378686008</v>
      </c>
      <c r="BB11" s="18">
        <f>'Payback period results'!$BC$22</f>
        <v>3802.2416563768875</v>
      </c>
      <c r="BC11" s="18">
        <f>'Payback period results'!$BD$22</f>
        <v>428.56965637688836</v>
      </c>
      <c r="BD11" s="18">
        <f>'Payback period results'!$BE$22</f>
        <v>4080.5793235039609</v>
      </c>
    </row>
    <row r="12" spans="1:56" ht="15.75" customHeight="1" x14ac:dyDescent="0.15">
      <c r="A12" s="5" t="s">
        <v>142</v>
      </c>
      <c r="B12" s="18">
        <f>'Payback period results'!$C$22</f>
        <v>1647.8963855421689</v>
      </c>
      <c r="C12" s="18">
        <f>'Payback period results'!$D$22</f>
        <v>677.56873956626544</v>
      </c>
      <c r="D12" s="18">
        <f>'Payback period results'!$E$22</f>
        <v>745.16983156626509</v>
      </c>
      <c r="E12" s="18">
        <f>'Payback period results'!$F$22</f>
        <v>3670.9098674698789</v>
      </c>
      <c r="F12" s="18">
        <f>'Payback period results'!$G$22</f>
        <v>-973.85956110154893</v>
      </c>
      <c r="G12" s="18">
        <f>'Payback period results'!$H$22</f>
        <v>1931.7986513252999</v>
      </c>
      <c r="H12" s="18">
        <f>'Payback period results'!$I$22</f>
        <v>1454.9522813253016</v>
      </c>
      <c r="I12" s="18">
        <f>'Payback period results'!$J$22</f>
        <v>389.34103132530072</v>
      </c>
      <c r="J12" s="18">
        <f>'Payback period results'!$K$22</f>
        <v>916.86748132530101</v>
      </c>
      <c r="K12" s="18">
        <f>'Payback period results'!$L$22</f>
        <v>2609.9879518072294</v>
      </c>
      <c r="L12" s="18">
        <f>'Payback period results'!$M$22</f>
        <v>619.71616656626509</v>
      </c>
      <c r="M12" s="18">
        <f>'Payback period results'!$N$22</f>
        <v>341.19857089156653</v>
      </c>
      <c r="N12" s="18">
        <f>'Payback period results'!$O$22</f>
        <v>653.70087951807272</v>
      </c>
      <c r="O12" s="18">
        <f>'Payback period results'!$P$22</f>
        <v>2803.8096385542167</v>
      </c>
      <c r="P12" s="18">
        <f>'Payback period results'!$Q$22</f>
        <v>3304.0457167904665</v>
      </c>
      <c r="Q12" s="18">
        <f>'Payback period results'!$R$22</f>
        <v>1066.068119464999</v>
      </c>
      <c r="R12" s="18">
        <f>'Payback period results'!$S$22</f>
        <v>3441.0059742880071</v>
      </c>
      <c r="S12" s="18">
        <f>'Payback period results'!$T$22</f>
        <v>946.62674063510622</v>
      </c>
      <c r="T12" s="18">
        <f>'Payback period results'!$U$22</f>
        <v>1582.5304906351059</v>
      </c>
      <c r="U12" s="18">
        <f>'Payback period results'!$V$22</f>
        <v>-1304.1935022009657</v>
      </c>
      <c r="V12" s="18">
        <f>'Payback period results'!$W$22</f>
        <v>-2013.6089710168087</v>
      </c>
      <c r="W12" s="18">
        <f>'Payback period results'!$X$22</f>
        <v>3927.0283765063714</v>
      </c>
      <c r="X12" s="18">
        <f>'Payback period results'!$Y$22</f>
        <v>282.54962428800786</v>
      </c>
      <c r="Y12" s="18">
        <f>'Payback period results'!$Z$22</f>
        <v>2182.675349288008</v>
      </c>
      <c r="Z12" s="18">
        <f>'Payback period results'!$AA$22</f>
        <v>771.96247428800768</v>
      </c>
      <c r="AA12" s="18">
        <f>'Payback period results'!$AB$22</f>
        <v>7062.9542713627379</v>
      </c>
      <c r="AB12" s="18">
        <f>'Payback period results'!$AC$22</f>
        <v>3439.8692859673993</v>
      </c>
      <c r="AC12" s="18">
        <f>'Payback period results'!$AD$22</f>
        <v>311.11922714387026</v>
      </c>
      <c r="AD12" s="18">
        <f>'Payback period results'!$AE$22</f>
        <v>450.64487420269438</v>
      </c>
      <c r="AE12" s="18">
        <f>'Payback period results'!$AF$22</f>
        <v>1232.5211242026894</v>
      </c>
      <c r="AF12" s="18">
        <f>'Payback period results'!$AG$22</f>
        <v>-678.6160123519287</v>
      </c>
      <c r="AG12" s="18">
        <f>'Payback period results'!$AH$22</f>
        <v>547.57178596739868</v>
      </c>
      <c r="AH12" s="18">
        <f>'Payback period results'!$AI$22</f>
        <v>4321.9567859673989</v>
      </c>
      <c r="AI12" s="18">
        <f>'Payback period results'!$AJ$22</f>
        <v>2748.3567859673985</v>
      </c>
      <c r="AJ12" s="18">
        <f>'Payback period results'!$AK$22</f>
        <v>1074.7367859673986</v>
      </c>
      <c r="AK12" s="18">
        <f>'Payback period results'!$AL$22</f>
        <v>3490.1266599169785</v>
      </c>
      <c r="AL12" s="18">
        <f>'Payback period results'!$AM$22</f>
        <v>492.17722714386957</v>
      </c>
      <c r="AM12" s="18">
        <f>'Payback period results'!$AN$22</f>
        <v>6498.3764918497536</v>
      </c>
      <c r="AN12" s="18">
        <f>'Payback period results'!$AO$22</f>
        <v>14.806491849752092</v>
      </c>
      <c r="AO12" s="18">
        <f>'Payback period results'!$AP$22</f>
        <v>5082.814491849751</v>
      </c>
      <c r="AP12" s="18">
        <f>'Payback period results'!$AQ$22</f>
        <v>6621.777374202693</v>
      </c>
      <c r="AQ12" s="18">
        <f>'Payback period results'!$AR$22</f>
        <v>1659.9808235039604</v>
      </c>
      <c r="AR12" s="18">
        <f>'Payback period results'!$AS$22</f>
        <v>980.20273786860093</v>
      </c>
      <c r="AS12" s="18">
        <f>'Payback period results'!$AT$22</f>
        <v>1749.2291563768872</v>
      </c>
      <c r="AT12" s="18">
        <f>'Payback period results'!$AU$22</f>
        <v>-271.01879362311161</v>
      </c>
      <c r="AU12" s="18">
        <f>'Payback period results'!$AV$22</f>
        <v>1555.343812059604</v>
      </c>
      <c r="AV12" s="18">
        <f>'Payback period results'!$AW$22</f>
        <v>2386.5507378686016</v>
      </c>
      <c r="AW12" s="18">
        <f>'Payback period results'!$AX$22</f>
        <v>944.56073786860145</v>
      </c>
      <c r="AX12" s="18">
        <f>'Payback period results'!$AY$22</f>
        <v>2860.9645776476068</v>
      </c>
      <c r="AY12" s="18">
        <f>'Payback period results'!$AZ$22</f>
        <v>6395.1189776476076</v>
      </c>
      <c r="AZ12" s="18">
        <f>'Payback period results'!$BA$22</f>
        <v>1646.3503235039607</v>
      </c>
      <c r="BA12" s="18">
        <f>'Payback period results'!$BB$22</f>
        <v>3412.5337378686008</v>
      </c>
      <c r="BB12" s="18">
        <f>'Payback period results'!$BC$22</f>
        <v>3802.2416563768875</v>
      </c>
      <c r="BC12" s="18">
        <f>'Payback period results'!$BD$22</f>
        <v>428.56965637688836</v>
      </c>
      <c r="BD12" s="18">
        <f>'Payback period results'!$BE$22</f>
        <v>4080.5793235039609</v>
      </c>
    </row>
    <row r="13" spans="1:56" ht="15.75" customHeight="1" x14ac:dyDescent="0.15">
      <c r="A13" s="5" t="s">
        <v>143</v>
      </c>
      <c r="B13" s="18">
        <f>'Payback period results'!$C$22</f>
        <v>1647.8963855421689</v>
      </c>
      <c r="C13" s="18">
        <f>'Payback period results'!$D$22</f>
        <v>677.56873956626544</v>
      </c>
      <c r="D13" s="18">
        <f>'Payback period results'!$E$22</f>
        <v>745.16983156626509</v>
      </c>
      <c r="E13" s="18">
        <f>'Payback period results'!$F$22</f>
        <v>3670.9098674698789</v>
      </c>
      <c r="F13" s="18">
        <f>'Payback period results'!$G$22</f>
        <v>-973.85956110154893</v>
      </c>
      <c r="G13" s="18">
        <f>'Payback period results'!$H$22</f>
        <v>1931.7986513252999</v>
      </c>
      <c r="H13" s="18">
        <f>'Payback period results'!$I$22</f>
        <v>1454.9522813253016</v>
      </c>
      <c r="I13" s="18">
        <f>'Payback period results'!$J$22</f>
        <v>389.34103132530072</v>
      </c>
      <c r="J13" s="18">
        <f>'Payback period results'!$K$22</f>
        <v>916.86748132530101</v>
      </c>
      <c r="K13" s="18">
        <f>'Payback period results'!$L$22</f>
        <v>2609.9879518072294</v>
      </c>
      <c r="L13" s="18">
        <f>'Payback period results'!$M$22</f>
        <v>619.71616656626509</v>
      </c>
      <c r="M13" s="18">
        <f>'Payback period results'!$N$22</f>
        <v>341.19857089156653</v>
      </c>
      <c r="N13" s="18">
        <f>'Payback period results'!$O$22</f>
        <v>653.70087951807272</v>
      </c>
      <c r="O13" s="18">
        <f>'Payback period results'!$P$22</f>
        <v>2803.8096385542167</v>
      </c>
      <c r="P13" s="18">
        <f>'Payback period results'!$Q$22</f>
        <v>3304.0457167904665</v>
      </c>
      <c r="Q13" s="18">
        <f>'Payback period results'!$R$22</f>
        <v>1066.068119464999</v>
      </c>
      <c r="R13" s="18">
        <f>'Payback period results'!$S$22</f>
        <v>3441.0059742880071</v>
      </c>
      <c r="S13" s="18">
        <f>'Payback period results'!$T$22</f>
        <v>946.62674063510622</v>
      </c>
      <c r="T13" s="18">
        <f>'Payback period results'!$U$22</f>
        <v>1582.5304906351059</v>
      </c>
      <c r="U13" s="18">
        <f>'Payback period results'!$V$22</f>
        <v>-1304.1935022009657</v>
      </c>
      <c r="V13" s="18">
        <f>'Payback period results'!$W$22</f>
        <v>-2013.6089710168087</v>
      </c>
      <c r="W13" s="18">
        <f>'Payback period results'!$X$22</f>
        <v>3927.0283765063714</v>
      </c>
      <c r="X13" s="18">
        <f>'Payback period results'!$Y$22</f>
        <v>282.54962428800786</v>
      </c>
      <c r="Y13" s="18">
        <f>'Payback period results'!$Z$22</f>
        <v>2182.675349288008</v>
      </c>
      <c r="Z13" s="18">
        <f>'Payback period results'!$AA$22</f>
        <v>771.96247428800768</v>
      </c>
      <c r="AA13" s="18">
        <f>'Payback period results'!$AB$22</f>
        <v>7062.9542713627379</v>
      </c>
      <c r="AB13" s="18">
        <f>'Payback period results'!$AC$22</f>
        <v>3439.8692859673993</v>
      </c>
      <c r="AC13" s="18">
        <f>'Payback period results'!$AD$22</f>
        <v>311.11922714387026</v>
      </c>
      <c r="AD13" s="18">
        <f>'Payback period results'!$AE$22</f>
        <v>450.64487420269438</v>
      </c>
      <c r="AE13" s="18">
        <f>'Payback period results'!$AF$22</f>
        <v>1232.5211242026894</v>
      </c>
      <c r="AF13" s="18">
        <f>'Payback period results'!$AG$22</f>
        <v>-678.6160123519287</v>
      </c>
      <c r="AG13" s="18">
        <f>'Payback period results'!$AH$22</f>
        <v>547.57178596739868</v>
      </c>
      <c r="AH13" s="18">
        <f>'Payback period results'!$AI$22</f>
        <v>4321.9567859673989</v>
      </c>
      <c r="AI13" s="18">
        <f>'Payback period results'!$AJ$22</f>
        <v>2748.3567859673985</v>
      </c>
      <c r="AJ13" s="18">
        <f>'Payback period results'!$AK$22</f>
        <v>1074.7367859673986</v>
      </c>
      <c r="AK13" s="18">
        <f>'Payback period results'!$AL$22</f>
        <v>3490.1266599169785</v>
      </c>
      <c r="AL13" s="18">
        <f>'Payback period results'!$AM$22</f>
        <v>492.17722714386957</v>
      </c>
      <c r="AM13" s="18">
        <f>'Payback period results'!$AN$22</f>
        <v>6498.3764918497536</v>
      </c>
      <c r="AN13" s="18">
        <f>'Payback period results'!$AO$22</f>
        <v>14.806491849752092</v>
      </c>
      <c r="AO13" s="18">
        <f>'Payback period results'!$AP$22</f>
        <v>5082.814491849751</v>
      </c>
      <c r="AP13" s="18">
        <f>'Payback period results'!$AQ$22</f>
        <v>6621.777374202693</v>
      </c>
      <c r="AQ13" s="18">
        <f>'Payback period results'!$AR$22</f>
        <v>1659.9808235039604</v>
      </c>
      <c r="AR13" s="18">
        <f>'Payback period results'!$AS$22</f>
        <v>980.20273786860093</v>
      </c>
      <c r="AS13" s="18">
        <f>'Payback period results'!$AT$22</f>
        <v>1749.2291563768872</v>
      </c>
      <c r="AT13" s="18">
        <f>'Payback period results'!$AU$22</f>
        <v>-271.01879362311161</v>
      </c>
      <c r="AU13" s="18">
        <f>'Payback period results'!$AV$22</f>
        <v>1555.343812059604</v>
      </c>
      <c r="AV13" s="18">
        <f>'Payback period results'!$AW$22</f>
        <v>2386.5507378686016</v>
      </c>
      <c r="AW13" s="18">
        <f>'Payback period results'!$AX$22</f>
        <v>944.56073786860145</v>
      </c>
      <c r="AX13" s="18">
        <f>'Payback period results'!$AY$22</f>
        <v>2860.9645776476068</v>
      </c>
      <c r="AY13" s="18">
        <f>'Payback period results'!$AZ$22</f>
        <v>6395.1189776476076</v>
      </c>
      <c r="AZ13" s="18">
        <f>'Payback period results'!$BA$22</f>
        <v>1646.3503235039607</v>
      </c>
      <c r="BA13" s="18">
        <f>'Payback period results'!$BB$22</f>
        <v>3412.5337378686008</v>
      </c>
      <c r="BB13" s="18">
        <f>'Payback period results'!$BC$22</f>
        <v>3802.2416563768875</v>
      </c>
      <c r="BC13" s="18">
        <f>'Payback period results'!$BD$22</f>
        <v>428.56965637688836</v>
      </c>
      <c r="BD13" s="18">
        <f>'Payback period results'!$BE$22</f>
        <v>4080.5793235039609</v>
      </c>
    </row>
    <row r="14" spans="1:56" ht="15.75" customHeight="1" x14ac:dyDescent="0.15">
      <c r="A14" s="5" t="s">
        <v>144</v>
      </c>
      <c r="B14" s="18">
        <f>'Payback period results'!$C$22</f>
        <v>1647.8963855421689</v>
      </c>
      <c r="C14" s="18">
        <f>'Payback period results'!$D$22</f>
        <v>677.56873956626544</v>
      </c>
      <c r="D14" s="18">
        <f>'Payback period results'!$E$22</f>
        <v>745.16983156626509</v>
      </c>
      <c r="E14" s="18">
        <f>'Payback period results'!$F$22</f>
        <v>3670.9098674698789</v>
      </c>
      <c r="F14" s="18">
        <f>'Payback period results'!$G$22</f>
        <v>-973.85956110154893</v>
      </c>
      <c r="G14" s="18">
        <f>'Payback period results'!$H$22</f>
        <v>1931.7986513252999</v>
      </c>
      <c r="H14" s="18">
        <f>'Payback period results'!$I$22</f>
        <v>1454.9522813253016</v>
      </c>
      <c r="I14" s="18">
        <f>'Payback period results'!$J$22</f>
        <v>389.34103132530072</v>
      </c>
      <c r="J14" s="18">
        <f>'Payback period results'!$K$22</f>
        <v>916.86748132530101</v>
      </c>
      <c r="K14" s="18">
        <f>'Payback period results'!$L$22</f>
        <v>2609.9879518072294</v>
      </c>
      <c r="L14" s="18">
        <f>'Payback period results'!$M$22</f>
        <v>619.71616656626509</v>
      </c>
      <c r="M14" s="18">
        <f>'Payback period results'!$N$22</f>
        <v>341.19857089156653</v>
      </c>
      <c r="N14" s="18">
        <f>'Payback period results'!$O$22</f>
        <v>653.70087951807272</v>
      </c>
      <c r="O14" s="18">
        <f>'Payback period results'!$P$22</f>
        <v>2803.8096385542167</v>
      </c>
      <c r="P14" s="18">
        <f>'Payback period results'!$Q$22</f>
        <v>3304.0457167904665</v>
      </c>
      <c r="Q14" s="18">
        <f>'Payback period results'!$R$22</f>
        <v>1066.068119464999</v>
      </c>
      <c r="R14" s="18">
        <f>'Payback period results'!$S$22</f>
        <v>3441.0059742880071</v>
      </c>
      <c r="S14" s="18">
        <f>'Payback period results'!$T$22</f>
        <v>946.62674063510622</v>
      </c>
      <c r="T14" s="18">
        <f>'Payback period results'!$U$22</f>
        <v>1582.5304906351059</v>
      </c>
      <c r="U14" s="18">
        <f>'Payback period results'!$V$22</f>
        <v>-1304.1935022009657</v>
      </c>
      <c r="V14" s="18">
        <f>'Payback period results'!$W$22</f>
        <v>-2013.6089710168087</v>
      </c>
      <c r="W14" s="18">
        <f>'Payback period results'!$X$22</f>
        <v>3927.0283765063714</v>
      </c>
      <c r="X14" s="18">
        <f>'Payback period results'!$Y$22</f>
        <v>282.54962428800786</v>
      </c>
      <c r="Y14" s="18">
        <f>'Payback period results'!$Z$22</f>
        <v>2182.675349288008</v>
      </c>
      <c r="Z14" s="18">
        <f>'Payback period results'!$AA$22</f>
        <v>771.96247428800768</v>
      </c>
      <c r="AA14" s="18">
        <f>'Payback period results'!$AB$22</f>
        <v>7062.9542713627379</v>
      </c>
      <c r="AB14" s="18">
        <f>'Payback period results'!$AC$22</f>
        <v>3439.8692859673993</v>
      </c>
      <c r="AC14" s="18">
        <f>'Payback period results'!$AD$22</f>
        <v>311.11922714387026</v>
      </c>
      <c r="AD14" s="18">
        <f>'Payback period results'!$AE$22</f>
        <v>450.64487420269438</v>
      </c>
      <c r="AE14" s="18">
        <f>'Payback period results'!$AF$22</f>
        <v>1232.5211242026894</v>
      </c>
      <c r="AF14" s="18">
        <f>'Payback period results'!$AG$22</f>
        <v>-678.6160123519287</v>
      </c>
      <c r="AG14" s="18">
        <f>'Payback period results'!$AH$22</f>
        <v>547.57178596739868</v>
      </c>
      <c r="AH14" s="18">
        <f>'Payback period results'!$AI$22</f>
        <v>4321.9567859673989</v>
      </c>
      <c r="AI14" s="18">
        <f>'Payback period results'!$AJ$22</f>
        <v>2748.3567859673985</v>
      </c>
      <c r="AJ14" s="18">
        <f>'Payback period results'!$AK$22</f>
        <v>1074.7367859673986</v>
      </c>
      <c r="AK14" s="18">
        <f>'Payback period results'!$AL$22</f>
        <v>3490.1266599169785</v>
      </c>
      <c r="AL14" s="18">
        <f>'Payback period results'!$AM$22</f>
        <v>492.17722714386957</v>
      </c>
      <c r="AM14" s="18">
        <f>'Payback period results'!$AN$22</f>
        <v>6498.3764918497536</v>
      </c>
      <c r="AN14" s="18">
        <f>'Payback period results'!$AO$22</f>
        <v>14.806491849752092</v>
      </c>
      <c r="AO14" s="18">
        <f>'Payback period results'!$AP$22</f>
        <v>5082.814491849751</v>
      </c>
      <c r="AP14" s="18">
        <f>'Payback period results'!$AQ$22</f>
        <v>6621.777374202693</v>
      </c>
      <c r="AQ14" s="18">
        <f>'Payback period results'!$AR$22</f>
        <v>1659.9808235039604</v>
      </c>
      <c r="AR14" s="18">
        <f>'Payback period results'!$AS$22</f>
        <v>980.20273786860093</v>
      </c>
      <c r="AS14" s="18">
        <f>'Payback period results'!$AT$22</f>
        <v>1749.2291563768872</v>
      </c>
      <c r="AT14" s="18">
        <f>'Payback period results'!$AU$22</f>
        <v>-271.01879362311161</v>
      </c>
      <c r="AU14" s="18">
        <f>'Payback period results'!$AV$22</f>
        <v>1555.343812059604</v>
      </c>
      <c r="AV14" s="18">
        <f>'Payback period results'!$AW$22</f>
        <v>2386.5507378686016</v>
      </c>
      <c r="AW14" s="18">
        <f>'Payback period results'!$AX$22</f>
        <v>944.56073786860145</v>
      </c>
      <c r="AX14" s="18">
        <f>'Payback period results'!$AY$22</f>
        <v>2860.9645776476068</v>
      </c>
      <c r="AY14" s="18">
        <f>'Payback period results'!$AZ$22</f>
        <v>6395.1189776476076</v>
      </c>
      <c r="AZ14" s="18">
        <f>'Payback period results'!$BA$22</f>
        <v>1646.3503235039607</v>
      </c>
      <c r="BA14" s="18">
        <f>'Payback period results'!$BB$22</f>
        <v>3412.5337378686008</v>
      </c>
      <c r="BB14" s="18">
        <f>'Payback period results'!$BC$22</f>
        <v>3802.2416563768875</v>
      </c>
      <c r="BC14" s="18">
        <f>'Payback period results'!$BD$22</f>
        <v>428.56965637688836</v>
      </c>
      <c r="BD14" s="18">
        <f>'Payback period results'!$BE$22</f>
        <v>4080.5793235039609</v>
      </c>
    </row>
    <row r="16" spans="1:56" ht="15.75" customHeight="1" x14ac:dyDescent="0.15">
      <c r="A16" s="5" t="s">
        <v>145</v>
      </c>
      <c r="B16" s="19">
        <f t="shared" ref="B16:Y16" si="0">NPV(10%,B5:B14)+B4</f>
        <v>7764.609924212049</v>
      </c>
      <c r="C16" s="19">
        <f t="shared" si="0"/>
        <v>2597.3665889926551</v>
      </c>
      <c r="D16" s="19">
        <f t="shared" si="0"/>
        <v>2158.7460352055687</v>
      </c>
      <c r="E16" s="19">
        <f t="shared" si="0"/>
        <v>19556.152019662146</v>
      </c>
      <c r="F16" s="19">
        <f t="shared" si="0"/>
        <v>-8344.9454247205758</v>
      </c>
      <c r="G16" s="19">
        <f t="shared" si="0"/>
        <v>8620.0664477780992</v>
      </c>
      <c r="H16" s="19">
        <f t="shared" si="0"/>
        <v>6940.0519282014302</v>
      </c>
      <c r="I16" s="19">
        <f t="shared" si="0"/>
        <v>2107.332093982578</v>
      </c>
      <c r="J16" s="19">
        <f t="shared" si="0"/>
        <v>3633.7537660417447</v>
      </c>
      <c r="K16" s="19">
        <f t="shared" si="0"/>
        <v>13676.246114960231</v>
      </c>
      <c r="L16" s="19">
        <f t="shared" si="0"/>
        <v>2334.8875719564749</v>
      </c>
      <c r="M16" s="19">
        <f t="shared" si="0"/>
        <v>-1517.4824847862337</v>
      </c>
      <c r="N16" s="19">
        <f t="shared" si="0"/>
        <v>2209.7089212569667</v>
      </c>
      <c r="O16" s="19">
        <f t="shared" si="0"/>
        <v>14867.196475717967</v>
      </c>
      <c r="P16" s="19">
        <f t="shared" si="0"/>
        <v>19563.930627135149</v>
      </c>
      <c r="Q16" s="19">
        <f t="shared" si="0"/>
        <v>4890.5270993050808</v>
      </c>
      <c r="R16" s="19">
        <f t="shared" si="0"/>
        <v>18643.492120143375</v>
      </c>
      <c r="S16" s="19">
        <f t="shared" si="0"/>
        <v>3154.6115318869097</v>
      </c>
      <c r="T16" s="19">
        <f t="shared" si="0"/>
        <v>8126.9647965311615</v>
      </c>
      <c r="U16" s="19">
        <f t="shared" si="0"/>
        <v>-8751.7044930978373</v>
      </c>
      <c r="V16" s="19">
        <f t="shared" si="0"/>
        <v>-13257.755447061732</v>
      </c>
      <c r="W16" s="19">
        <f t="shared" si="0"/>
        <v>23391.8893854499</v>
      </c>
      <c r="X16" s="19">
        <f t="shared" si="0"/>
        <v>536.14512712930923</v>
      </c>
      <c r="Y16" s="19">
        <f t="shared" si="0"/>
        <v>11148.595153667564</v>
      </c>
      <c r="Z16" s="19">
        <f>NPV(10%,Z5:Z14)+Z4</f>
        <v>3864.3752263484857</v>
      </c>
      <c r="AA16" s="19">
        <f t="shared" ref="AA16:BD16" si="1">NPV(10%,AA5:AA14)+AA4</f>
        <v>42660.796484911843</v>
      </c>
      <c r="AB16" s="19">
        <f t="shared" si="1"/>
        <v>20398.507662479125</v>
      </c>
      <c r="AC16" s="19">
        <f t="shared" si="1"/>
        <v>793.69296906048771</v>
      </c>
      <c r="AD16" s="19">
        <f t="shared" si="1"/>
        <v>1875.017670380299</v>
      </c>
      <c r="AE16" s="19">
        <f t="shared" si="1"/>
        <v>5685.3087568619976</v>
      </c>
      <c r="AF16" s="19">
        <f t="shared" si="1"/>
        <v>-4907.8016269021418</v>
      </c>
      <c r="AG16" s="19">
        <f t="shared" si="1"/>
        <v>1035.5915840672415</v>
      </c>
      <c r="AH16" s="19">
        <f t="shared" si="1"/>
        <v>22006.5534993324</v>
      </c>
      <c r="AI16" s="19">
        <f t="shared" si="1"/>
        <v>14999.462701795517</v>
      </c>
      <c r="AJ16" s="19">
        <f t="shared" si="1"/>
        <v>4274.7923023460489</v>
      </c>
      <c r="AK16" s="19">
        <f t="shared" si="1"/>
        <v>20707.317469268812</v>
      </c>
      <c r="AL16" s="19">
        <f t="shared" si="1"/>
        <v>1246.2160000851613</v>
      </c>
      <c r="AM16" s="19">
        <f t="shared" si="1"/>
        <v>37870.710432304571</v>
      </c>
      <c r="AN16" s="19">
        <f t="shared" si="1"/>
        <v>-809.02051722912893</v>
      </c>
      <c r="AO16" s="19">
        <f t="shared" si="1"/>
        <v>29231.694731019033</v>
      </c>
      <c r="AP16" s="19">
        <f t="shared" si="1"/>
        <v>39949.955434825373</v>
      </c>
      <c r="AQ16" s="19">
        <f t="shared" si="1"/>
        <v>9509.8635642030004</v>
      </c>
      <c r="AR16" s="19">
        <f t="shared" si="1"/>
        <v>4142.9215000290715</v>
      </c>
      <c r="AS16" s="19">
        <f t="shared" si="1"/>
        <v>8348.255934612971</v>
      </c>
      <c r="AT16" s="19">
        <f t="shared" si="1"/>
        <v>-1950.2931643243369</v>
      </c>
      <c r="AU16" s="19">
        <f t="shared" si="1"/>
        <v>8866.9144256427644</v>
      </c>
      <c r="AV16" s="19">
        <f t="shared" si="1"/>
        <v>12989.321160002639</v>
      </c>
      <c r="AW16" s="19">
        <f t="shared" si="1"/>
        <v>4903.9168392475485</v>
      </c>
      <c r="AX16" s="19">
        <f t="shared" si="1"/>
        <v>15079.388834399768</v>
      </c>
      <c r="AY16" s="19">
        <f t="shared" si="1"/>
        <v>37295.237707121232</v>
      </c>
      <c r="AZ16" s="19">
        <f t="shared" si="1"/>
        <v>9426.1100422686941</v>
      </c>
      <c r="BA16" s="19">
        <f t="shared" si="1"/>
        <v>19088.542552814837</v>
      </c>
      <c r="BB16" s="19">
        <f t="shared" si="1"/>
        <v>21363.129009713495</v>
      </c>
      <c r="BC16" s="19">
        <f t="shared" si="1"/>
        <v>2348.3750130765866</v>
      </c>
      <c r="BD16" s="19">
        <f t="shared" si="1"/>
        <v>24383.393483421092</v>
      </c>
    </row>
    <row r="17" spans="1:56" ht="15.75" customHeight="1" x14ac:dyDescent="0.15">
      <c r="A17" s="5" t="s">
        <v>146</v>
      </c>
      <c r="B17" s="20">
        <f t="shared" ref="B17:Y17" si="2">IRR(B4:B14)</f>
        <v>0.69438687366909635</v>
      </c>
      <c r="C17" s="20">
        <f t="shared" si="2"/>
        <v>0.41966393906342558</v>
      </c>
      <c r="D17" s="20">
        <f t="shared" si="2"/>
        <v>0.28230440001283452</v>
      </c>
      <c r="E17" s="20">
        <f t="shared" si="2"/>
        <v>1.2232218361236304</v>
      </c>
      <c r="F17" s="20" t="e">
        <f t="shared" si="2"/>
        <v>#NUM!</v>
      </c>
      <c r="G17" s="20">
        <f t="shared" si="2"/>
        <v>0.58859256613962296</v>
      </c>
      <c r="H17" s="20">
        <f t="shared" si="2"/>
        <v>0.72434592100814621</v>
      </c>
      <c r="I17" s="20">
        <f t="shared" si="2"/>
        <v>1.3658602283984456</v>
      </c>
      <c r="J17" s="20">
        <f t="shared" si="2"/>
        <v>0.44704555498918919</v>
      </c>
      <c r="K17" s="20">
        <f t="shared" si="2"/>
        <v>1.1048109272681819</v>
      </c>
      <c r="L17" s="20">
        <f t="shared" si="2"/>
        <v>0.4068666698408816</v>
      </c>
      <c r="M17" s="20">
        <f t="shared" si="2"/>
        <v>-1.0323894401032874E-2</v>
      </c>
      <c r="N17" s="20">
        <f t="shared" si="2"/>
        <v>0.34277648849096076</v>
      </c>
      <c r="O17" s="20">
        <f t="shared" si="2"/>
        <v>1.1870774778665414</v>
      </c>
      <c r="P17" s="20">
        <f t="shared" si="2"/>
        <v>4.4770265322111946</v>
      </c>
      <c r="Q17" s="20">
        <f t="shared" si="2"/>
        <v>0.63757892723411791</v>
      </c>
      <c r="R17" s="20">
        <f t="shared" si="2"/>
        <v>1.3761625152528905</v>
      </c>
      <c r="S17" s="20">
        <f t="shared" si="2"/>
        <v>0.33597418788847744</v>
      </c>
      <c r="T17" s="20">
        <f t="shared" si="2"/>
        <v>0.98992171016513786</v>
      </c>
      <c r="U17" s="20" t="e">
        <f t="shared" si="2"/>
        <v>#NUM!</v>
      </c>
      <c r="V17" s="20" t="e">
        <f t="shared" si="2"/>
        <v>#NUM!</v>
      </c>
      <c r="W17" s="20">
        <f t="shared" si="2"/>
        <v>5.3211766096885391</v>
      </c>
      <c r="X17" s="20">
        <f t="shared" si="2"/>
        <v>0.1962071152316982</v>
      </c>
      <c r="Y17" s="20">
        <f t="shared" si="2"/>
        <v>0.9633721095463248</v>
      </c>
      <c r="Z17" s="20">
        <f>IRR(Z4:Z14)</f>
        <v>0.87660672890326063</v>
      </c>
      <c r="AA17" s="20">
        <f t="shared" ref="AA17:BD17" si="3">IRR(AA4:AA14)</f>
        <v>9.5703987410949303</v>
      </c>
      <c r="AB17" s="20">
        <f t="shared" si="3"/>
        <v>4.6610693553004783</v>
      </c>
      <c r="AC17" s="20">
        <f t="shared" si="3"/>
        <v>0.24789339057370419</v>
      </c>
      <c r="AD17" s="20">
        <f t="shared" si="3"/>
        <v>0.49504127195183534</v>
      </c>
      <c r="AE17" s="20">
        <f t="shared" si="3"/>
        <v>0.6484114623442212</v>
      </c>
      <c r="AF17" s="20" t="e">
        <f t="shared" si="3"/>
        <v>#NUM!</v>
      </c>
      <c r="AG17" s="20">
        <f t="shared" si="3"/>
        <v>0.19577568830527148</v>
      </c>
      <c r="AH17" s="20">
        <f t="shared" si="3"/>
        <v>0.94867760271532608</v>
      </c>
      <c r="AI17" s="20">
        <f t="shared" si="3"/>
        <v>1.4555147892991491</v>
      </c>
      <c r="AJ17" s="20">
        <f t="shared" si="3"/>
        <v>0.45024559668044262</v>
      </c>
      <c r="AK17" s="20">
        <f t="shared" si="3"/>
        <v>4.7291687917485064</v>
      </c>
      <c r="AL17" s="20">
        <f t="shared" si="3"/>
        <v>0.24616476290894296</v>
      </c>
      <c r="AM17" s="20">
        <f t="shared" si="3"/>
        <v>3.1560817219587811</v>
      </c>
      <c r="AN17" s="20">
        <f t="shared" si="3"/>
        <v>-0.2402316362102479</v>
      </c>
      <c r="AO17" s="20">
        <f t="shared" si="3"/>
        <v>2.5413990551386161</v>
      </c>
      <c r="AP17" s="20">
        <f t="shared" si="3"/>
        <v>8.9725980670745411</v>
      </c>
      <c r="AQ17" s="20">
        <f t="shared" si="3"/>
        <v>2.4057578512282158</v>
      </c>
      <c r="AR17" s="20">
        <f t="shared" si="3"/>
        <v>0.51309558219363538</v>
      </c>
      <c r="AS17" s="20">
        <f t="shared" si="3"/>
        <v>0.72573451328641392</v>
      </c>
      <c r="AT17" s="20" t="e">
        <f t="shared" si="3"/>
        <v>#NUM!</v>
      </c>
      <c r="AU17" s="20">
        <f t="shared" si="3"/>
        <v>2.2541045365443502</v>
      </c>
      <c r="AV17" s="20">
        <f t="shared" si="3"/>
        <v>1.4246034795622182</v>
      </c>
      <c r="AW17" s="20">
        <f t="shared" si="3"/>
        <v>1.0487061990533801</v>
      </c>
      <c r="AX17" s="20">
        <f t="shared" si="3"/>
        <v>1.1438277805246782</v>
      </c>
      <c r="AY17" s="20">
        <f t="shared" si="3"/>
        <v>3.1975576058165789</v>
      </c>
      <c r="AZ17" s="20">
        <f t="shared" si="3"/>
        <v>2.386002916791881</v>
      </c>
      <c r="BA17" s="20">
        <f t="shared" si="3"/>
        <v>1.8151194502494716</v>
      </c>
      <c r="BB17" s="20">
        <f t="shared" si="3"/>
        <v>1.9010758067467979</v>
      </c>
      <c r="BC17" s="20">
        <f t="shared" si="3"/>
        <v>1.5035977516337753</v>
      </c>
      <c r="BD17" s="20">
        <f t="shared" si="3"/>
        <v>5.913883053844736</v>
      </c>
    </row>
    <row r="18" spans="1:56" ht="15.75" customHeight="1" x14ac:dyDescent="0.15">
      <c r="A18" s="5" t="s">
        <v>147</v>
      </c>
      <c r="B18" s="2" t="str">
        <f t="shared" ref="B18:Y18" si="4">IF(B16&lt;0,"Loss-making","Profitable")</f>
        <v>Profitable</v>
      </c>
      <c r="C18" s="2" t="str">
        <f t="shared" si="4"/>
        <v>Profitable</v>
      </c>
      <c r="D18" s="2" t="str">
        <f t="shared" si="4"/>
        <v>Profitable</v>
      </c>
      <c r="E18" s="2" t="str">
        <f t="shared" si="4"/>
        <v>Profitable</v>
      </c>
      <c r="F18" s="2" t="str">
        <f t="shared" si="4"/>
        <v>Loss-making</v>
      </c>
      <c r="G18" s="2" t="str">
        <f t="shared" si="4"/>
        <v>Profitable</v>
      </c>
      <c r="H18" s="2" t="str">
        <f t="shared" si="4"/>
        <v>Profitable</v>
      </c>
      <c r="I18" s="2" t="str">
        <f t="shared" si="4"/>
        <v>Profitable</v>
      </c>
      <c r="J18" s="2" t="str">
        <f t="shared" si="4"/>
        <v>Profitable</v>
      </c>
      <c r="K18" s="2" t="str">
        <f t="shared" si="4"/>
        <v>Profitable</v>
      </c>
      <c r="L18" s="2" t="str">
        <f t="shared" si="4"/>
        <v>Profitable</v>
      </c>
      <c r="M18" s="2" t="str">
        <f t="shared" si="4"/>
        <v>Loss-making</v>
      </c>
      <c r="N18" s="2" t="str">
        <f t="shared" si="4"/>
        <v>Profitable</v>
      </c>
      <c r="O18" s="2" t="str">
        <f t="shared" si="4"/>
        <v>Profitable</v>
      </c>
      <c r="P18" s="2" t="str">
        <f t="shared" si="4"/>
        <v>Profitable</v>
      </c>
      <c r="Q18" s="2" t="str">
        <f t="shared" si="4"/>
        <v>Profitable</v>
      </c>
      <c r="R18" s="2" t="str">
        <f t="shared" si="4"/>
        <v>Profitable</v>
      </c>
      <c r="S18" s="2" t="str">
        <f t="shared" si="4"/>
        <v>Profitable</v>
      </c>
      <c r="T18" s="2" t="str">
        <f t="shared" si="4"/>
        <v>Profitable</v>
      </c>
      <c r="U18" s="2" t="str">
        <f t="shared" si="4"/>
        <v>Loss-making</v>
      </c>
      <c r="V18" s="2" t="str">
        <f t="shared" si="4"/>
        <v>Loss-making</v>
      </c>
      <c r="W18" s="2" t="str">
        <f t="shared" si="4"/>
        <v>Profitable</v>
      </c>
      <c r="X18" s="2" t="str">
        <f t="shared" si="4"/>
        <v>Profitable</v>
      </c>
      <c r="Y18" s="2" t="str">
        <f t="shared" si="4"/>
        <v>Profitable</v>
      </c>
      <c r="Z18" s="2" t="str">
        <f t="shared" ref="Z18" si="5">IF(Z16&lt;0,"Loss-making","Profitable")</f>
        <v>Profitable</v>
      </c>
      <c r="AA18" s="2" t="str">
        <f t="shared" ref="AA18:BD18" si="6">IF(AA16&lt;0,"Loss-making","Profitable")</f>
        <v>Profitable</v>
      </c>
      <c r="AB18" s="2" t="str">
        <f t="shared" si="6"/>
        <v>Profitable</v>
      </c>
      <c r="AC18" s="2" t="str">
        <f t="shared" si="6"/>
        <v>Profitable</v>
      </c>
      <c r="AD18" s="2" t="str">
        <f t="shared" si="6"/>
        <v>Profitable</v>
      </c>
      <c r="AE18" s="2" t="str">
        <f t="shared" si="6"/>
        <v>Profitable</v>
      </c>
      <c r="AF18" s="2" t="str">
        <f t="shared" si="6"/>
        <v>Loss-making</v>
      </c>
      <c r="AG18" s="2" t="str">
        <f t="shared" si="6"/>
        <v>Profitable</v>
      </c>
      <c r="AH18" s="2" t="str">
        <f t="shared" si="6"/>
        <v>Profitable</v>
      </c>
      <c r="AI18" s="2" t="str">
        <f t="shared" si="6"/>
        <v>Profitable</v>
      </c>
      <c r="AJ18" s="2" t="str">
        <f t="shared" si="6"/>
        <v>Profitable</v>
      </c>
      <c r="AK18" s="2" t="str">
        <f t="shared" si="6"/>
        <v>Profitable</v>
      </c>
      <c r="AL18" s="2" t="str">
        <f t="shared" si="6"/>
        <v>Profitable</v>
      </c>
      <c r="AM18" s="2" t="str">
        <f t="shared" si="6"/>
        <v>Profitable</v>
      </c>
      <c r="AN18" s="2" t="str">
        <f t="shared" si="6"/>
        <v>Loss-making</v>
      </c>
      <c r="AO18" s="2" t="str">
        <f t="shared" si="6"/>
        <v>Profitable</v>
      </c>
      <c r="AP18" s="2" t="str">
        <f t="shared" si="6"/>
        <v>Profitable</v>
      </c>
      <c r="AQ18" s="2" t="str">
        <f t="shared" si="6"/>
        <v>Profitable</v>
      </c>
      <c r="AR18" s="2" t="str">
        <f t="shared" si="6"/>
        <v>Profitable</v>
      </c>
      <c r="AS18" s="2" t="str">
        <f t="shared" si="6"/>
        <v>Profitable</v>
      </c>
      <c r="AT18" s="2" t="str">
        <f t="shared" si="6"/>
        <v>Loss-making</v>
      </c>
      <c r="AU18" s="2" t="str">
        <f t="shared" si="6"/>
        <v>Profitable</v>
      </c>
      <c r="AV18" s="2" t="str">
        <f t="shared" si="6"/>
        <v>Profitable</v>
      </c>
      <c r="AW18" s="2" t="str">
        <f t="shared" si="6"/>
        <v>Profitable</v>
      </c>
      <c r="AX18" s="2" t="str">
        <f t="shared" si="6"/>
        <v>Profitable</v>
      </c>
      <c r="AY18" s="2" t="str">
        <f t="shared" si="6"/>
        <v>Profitable</v>
      </c>
      <c r="AZ18" s="2" t="str">
        <f t="shared" si="6"/>
        <v>Profitable</v>
      </c>
      <c r="BA18" s="2" t="str">
        <f t="shared" si="6"/>
        <v>Profitable</v>
      </c>
      <c r="BB18" s="2" t="str">
        <f t="shared" si="6"/>
        <v>Profitable</v>
      </c>
      <c r="BC18" s="2" t="str">
        <f t="shared" si="6"/>
        <v>Profitable</v>
      </c>
      <c r="BD18" s="2" t="str">
        <f t="shared" si="6"/>
        <v>Profitable</v>
      </c>
    </row>
  </sheetData>
  <sheetProtection algorithmName="SHA-512" hashValue="5KOYeIAQFWc6C/A5jz6qxch7vS9SoV/OTKQ6ZOEov4bLs1coOSadpE4LemWmmuVbFylHnw6lmAf2ZILktRdJeA==" saltValue="W0FP/eGnGwKF7yqLmetLLQ==" spinCount="100000" sheet="1" objects="1" scenarios="1"/>
  <mergeCells count="16">
    <mergeCell ref="AK2:AO2"/>
    <mergeCell ref="AQ2:AT2"/>
    <mergeCell ref="AU2:AY2"/>
    <mergeCell ref="B1:N1"/>
    <mergeCell ref="P1:Y1"/>
    <mergeCell ref="AB1:AO1"/>
    <mergeCell ref="AQ1:BC1"/>
    <mergeCell ref="B2:E2"/>
    <mergeCell ref="F2:J2"/>
    <mergeCell ref="K2:N2"/>
    <mergeCell ref="AZ2:BC2"/>
    <mergeCell ref="P2:T2"/>
    <mergeCell ref="U2:V2"/>
    <mergeCell ref="W2:Z2"/>
    <mergeCell ref="AB2:AE2"/>
    <mergeCell ref="AF2:AJ2"/>
  </mergeCells>
  <conditionalFormatting sqref="B18:BD18">
    <cfRule type="containsText" dxfId="1" priority="1" operator="containsText" text="Profitable">
      <formula>NOT(ISERROR(SEARCH(("Profitable"),(B18))))</formula>
    </cfRule>
    <cfRule type="notContainsText" dxfId="0" priority="2" operator="notContains" text="Profitable">
      <formula>ISERROR(SEARCH(("Profitable"),(B18)))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50"/>
  <sheetViews>
    <sheetView workbookViewId="0">
      <selection activeCell="I31" sqref="I31"/>
    </sheetView>
  </sheetViews>
  <sheetFormatPr baseColWidth="10" defaultColWidth="12.6640625" defaultRowHeight="15.75" customHeight="1" x14ac:dyDescent="0.15"/>
  <cols>
    <col min="1" max="1" width="53.6640625" style="134" customWidth="1"/>
    <col min="2" max="16384" width="12.6640625" style="134"/>
  </cols>
  <sheetData>
    <row r="1" spans="1:6" ht="15.75" customHeight="1" x14ac:dyDescent="0.15">
      <c r="A1" s="337" t="s">
        <v>148</v>
      </c>
      <c r="B1" s="133"/>
      <c r="C1" s="133"/>
      <c r="D1" s="133"/>
      <c r="E1" s="133"/>
      <c r="F1" s="338"/>
    </row>
    <row r="2" spans="1:6" ht="15.75" customHeight="1" x14ac:dyDescent="0.15">
      <c r="A2" s="299" t="s">
        <v>149</v>
      </c>
      <c r="B2" s="299" t="s">
        <v>9</v>
      </c>
      <c r="D2" s="299" t="s">
        <v>150</v>
      </c>
      <c r="E2" s="299" t="s">
        <v>151</v>
      </c>
      <c r="F2" s="327"/>
    </row>
    <row r="3" spans="1:6" ht="15.75" customHeight="1" x14ac:dyDescent="0.15">
      <c r="A3" s="51" t="s">
        <v>152</v>
      </c>
      <c r="B3" s="51" t="s">
        <v>153</v>
      </c>
      <c r="C3" s="51">
        <v>5</v>
      </c>
      <c r="D3" s="51" t="s">
        <v>154</v>
      </c>
      <c r="E3" s="29"/>
      <c r="F3" s="319"/>
    </row>
    <row r="4" spans="1:6" ht="15.75" customHeight="1" x14ac:dyDescent="0.15">
      <c r="A4" s="51" t="s">
        <v>155</v>
      </c>
      <c r="B4" s="51" t="s">
        <v>153</v>
      </c>
      <c r="C4" s="51">
        <v>5</v>
      </c>
      <c r="D4" s="51" t="s">
        <v>154</v>
      </c>
      <c r="E4" s="29"/>
      <c r="F4" s="319"/>
    </row>
    <row r="5" spans="1:6" ht="15.75" customHeight="1" x14ac:dyDescent="0.15">
      <c r="A5" s="51" t="s">
        <v>156</v>
      </c>
      <c r="B5" s="51" t="s">
        <v>153</v>
      </c>
      <c r="C5" s="51">
        <v>19</v>
      </c>
      <c r="D5" s="51" t="s">
        <v>154</v>
      </c>
      <c r="E5" s="29"/>
      <c r="F5" s="319"/>
    </row>
    <row r="6" spans="1:6" ht="15.75" customHeight="1" x14ac:dyDescent="0.15">
      <c r="A6" s="51" t="s">
        <v>157</v>
      </c>
      <c r="B6" s="320" t="s">
        <v>158</v>
      </c>
      <c r="C6" s="108"/>
      <c r="D6" s="321" t="s">
        <v>159</v>
      </c>
      <c r="E6" s="29"/>
      <c r="F6" s="319"/>
    </row>
    <row r="7" spans="1:6" ht="15.75" customHeight="1" x14ac:dyDescent="0.15">
      <c r="A7" s="51" t="s">
        <v>160</v>
      </c>
      <c r="B7" s="51" t="s">
        <v>39</v>
      </c>
      <c r="C7" s="85">
        <f>'Main inputs'!C16</f>
        <v>0.36</v>
      </c>
      <c r="D7" s="108"/>
      <c r="E7" s="29"/>
      <c r="F7" s="319"/>
    </row>
    <row r="8" spans="1:6" ht="15.75" customHeight="1" x14ac:dyDescent="0.15">
      <c r="A8" s="51" t="s">
        <v>161</v>
      </c>
      <c r="B8" s="51" t="s">
        <v>153</v>
      </c>
      <c r="C8" s="51">
        <v>40</v>
      </c>
      <c r="D8" s="108"/>
      <c r="E8" s="29"/>
      <c r="F8" s="319"/>
    </row>
    <row r="9" spans="1:6" ht="15.75" customHeight="1" x14ac:dyDescent="0.15">
      <c r="A9" s="281" t="s">
        <v>162</v>
      </c>
      <c r="B9" s="281" t="s">
        <v>163</v>
      </c>
      <c r="C9" s="281">
        <v>15</v>
      </c>
      <c r="D9" s="322"/>
      <c r="E9" s="281"/>
      <c r="F9" s="323"/>
    </row>
    <row r="11" spans="1:6" ht="15.75" customHeight="1" x14ac:dyDescent="0.15">
      <c r="A11" s="337" t="s">
        <v>164</v>
      </c>
      <c r="B11" s="133"/>
      <c r="C11" s="133"/>
      <c r="D11" s="133"/>
      <c r="E11" s="338"/>
      <c r="F11" s="349"/>
    </row>
    <row r="12" spans="1:6" ht="15.75" customHeight="1" x14ac:dyDescent="0.15">
      <c r="B12" s="339" t="str">
        <f>'Main inputs'!C2</f>
        <v>Maize</v>
      </c>
      <c r="C12" s="339" t="str">
        <f>'Main inputs'!G2</f>
        <v>Cassava</v>
      </c>
      <c r="D12" s="339" t="str">
        <f>'Main inputs'!L2</f>
        <v>Rice</v>
      </c>
      <c r="E12" s="339"/>
      <c r="F12" s="156"/>
    </row>
    <row r="13" spans="1:6" ht="15.75" customHeight="1" x14ac:dyDescent="0.15">
      <c r="A13" s="137" t="s">
        <v>165</v>
      </c>
      <c r="B13" s="138">
        <f>'Main inputs'!C5</f>
        <v>6</v>
      </c>
      <c r="C13" s="138">
        <f>'Main inputs'!G5</f>
        <v>6</v>
      </c>
      <c r="D13" s="138">
        <f>'Main inputs'!L5</f>
        <v>6</v>
      </c>
      <c r="F13" s="195"/>
    </row>
    <row r="14" spans="1:6" ht="15.75" customHeight="1" x14ac:dyDescent="0.15">
      <c r="A14" s="137"/>
      <c r="B14" s="334" t="s">
        <v>166</v>
      </c>
      <c r="C14" s="133"/>
      <c r="D14" s="133"/>
      <c r="E14" s="195"/>
      <c r="F14" s="195"/>
    </row>
    <row r="15" spans="1:6" ht="15.75" customHeight="1" x14ac:dyDescent="0.15">
      <c r="A15" s="137" t="s">
        <v>167</v>
      </c>
      <c r="B15" s="50">
        <v>7</v>
      </c>
      <c r="C15" s="50">
        <v>12</v>
      </c>
      <c r="D15" s="50">
        <v>4</v>
      </c>
      <c r="E15" s="195"/>
      <c r="F15" s="195"/>
    </row>
    <row r="16" spans="1:6" ht="15.75" customHeight="1" x14ac:dyDescent="0.15">
      <c r="A16" s="137" t="s">
        <v>168</v>
      </c>
      <c r="B16" s="50">
        <v>6</v>
      </c>
      <c r="C16" s="50">
        <v>12</v>
      </c>
      <c r="D16" s="50">
        <v>5</v>
      </c>
      <c r="E16" s="195"/>
      <c r="F16" s="195"/>
    </row>
    <row r="17" spans="1:7" ht="15.75" customHeight="1" x14ac:dyDescent="0.15">
      <c r="A17" s="137" t="s">
        <v>169</v>
      </c>
      <c r="B17" s="32">
        <v>1</v>
      </c>
      <c r="C17" s="32">
        <v>1</v>
      </c>
      <c r="D17" s="32">
        <v>1</v>
      </c>
      <c r="E17" s="195"/>
      <c r="F17" s="195"/>
    </row>
    <row r="18" spans="1:7" ht="15.75" customHeight="1" x14ac:dyDescent="0.15">
      <c r="A18" s="137" t="s">
        <v>170</v>
      </c>
      <c r="B18" s="32">
        <v>2</v>
      </c>
      <c r="C18" s="32">
        <v>1</v>
      </c>
      <c r="D18" s="32">
        <v>2</v>
      </c>
      <c r="E18" s="195"/>
      <c r="F18" s="195"/>
    </row>
    <row r="19" spans="1:7" ht="15.75" customHeight="1" x14ac:dyDescent="0.15">
      <c r="A19" s="195" t="s">
        <v>171</v>
      </c>
      <c r="B19" s="32">
        <v>1704</v>
      </c>
      <c r="C19" s="32">
        <v>5541</v>
      </c>
      <c r="D19" s="32">
        <f>D21*1000</f>
        <v>2300</v>
      </c>
      <c r="E19" s="195"/>
      <c r="F19" s="195"/>
    </row>
    <row r="20" spans="1:7" ht="15.75" customHeight="1" x14ac:dyDescent="0.15">
      <c r="A20" s="137"/>
      <c r="B20" s="50"/>
      <c r="C20" s="50"/>
      <c r="D20" s="50"/>
      <c r="F20" s="195"/>
    </row>
    <row r="21" spans="1:7" ht="15.75" customHeight="1" x14ac:dyDescent="0.15">
      <c r="A21" s="137" t="s">
        <v>172</v>
      </c>
      <c r="B21" s="50">
        <v>5.2</v>
      </c>
      <c r="C21" s="254">
        <v>14</v>
      </c>
      <c r="D21" s="254">
        <v>2.2999999999999998</v>
      </c>
      <c r="F21" s="195"/>
    </row>
    <row r="22" spans="1:7" ht="15.75" customHeight="1" x14ac:dyDescent="0.15">
      <c r="A22" s="137" t="s">
        <v>173</v>
      </c>
      <c r="B22" s="50">
        <v>6</v>
      </c>
      <c r="C22" s="254">
        <v>22</v>
      </c>
      <c r="D22" s="254">
        <v>5</v>
      </c>
      <c r="F22" s="195"/>
    </row>
    <row r="23" spans="1:7" ht="15.75" customHeight="1" x14ac:dyDescent="0.15">
      <c r="A23" s="195" t="s">
        <v>174</v>
      </c>
      <c r="B23" s="324">
        <f t="shared" ref="B23:D23" si="0">B22/B21</f>
        <v>1.1538461538461537</v>
      </c>
      <c r="C23" s="325">
        <f t="shared" si="0"/>
        <v>1.5714285714285714</v>
      </c>
      <c r="D23" s="325">
        <f t="shared" si="0"/>
        <v>2.1739130434782612</v>
      </c>
      <c r="F23" s="195"/>
      <c r="G23" s="195"/>
    </row>
    <row r="24" spans="1:7" ht="15.75" customHeight="1" x14ac:dyDescent="0.15">
      <c r="B24" s="334" t="s">
        <v>175</v>
      </c>
      <c r="C24" s="133"/>
      <c r="D24" s="133"/>
      <c r="F24" s="195"/>
    </row>
    <row r="25" spans="1:7" ht="15.75" customHeight="1" x14ac:dyDescent="0.15">
      <c r="A25" s="335" t="s">
        <v>176</v>
      </c>
      <c r="B25" s="336">
        <f t="shared" ref="B25:C25" si="1">B19*B23</f>
        <v>1966.153846153846</v>
      </c>
      <c r="C25" s="336">
        <f t="shared" si="1"/>
        <v>8707.2857142857138</v>
      </c>
      <c r="D25" s="336">
        <f>D22*1000</f>
        <v>5000</v>
      </c>
      <c r="E25" s="305"/>
      <c r="F25" s="195"/>
    </row>
    <row r="26" spans="1:7" ht="15.75" customHeight="1" x14ac:dyDescent="0.15">
      <c r="B26" s="138"/>
      <c r="C26" s="138"/>
      <c r="D26" s="138"/>
      <c r="E26" s="138"/>
      <c r="F26" s="138"/>
    </row>
    <row r="27" spans="1:7" ht="26" customHeight="1" x14ac:dyDescent="0.15">
      <c r="A27" s="364" t="s">
        <v>177</v>
      </c>
      <c r="B27" s="361"/>
      <c r="C27" s="361"/>
      <c r="D27" s="361"/>
      <c r="E27" s="362"/>
    </row>
    <row r="28" spans="1:7" ht="15.75" customHeight="1" x14ac:dyDescent="0.15">
      <c r="A28" s="195"/>
      <c r="B28" s="339" t="str">
        <f t="shared" ref="B28:D28" si="2">B12</f>
        <v>Maize</v>
      </c>
      <c r="C28" s="339" t="str">
        <f t="shared" si="2"/>
        <v>Cassava</v>
      </c>
      <c r="D28" s="339" t="str">
        <f t="shared" si="2"/>
        <v>Rice</v>
      </c>
      <c r="E28" s="340"/>
    </row>
    <row r="29" spans="1:7" ht="15.75" customHeight="1" x14ac:dyDescent="0.15">
      <c r="A29" s="195" t="s">
        <v>178</v>
      </c>
      <c r="B29" s="341">
        <f>'Price margin inputs'!C6</f>
        <v>0.4</v>
      </c>
      <c r="C29" s="341">
        <f>'Price margin inputs'!G6</f>
        <v>0.05</v>
      </c>
      <c r="D29" s="341">
        <f>'Price margin inputs'!L6</f>
        <v>0.29156626506024097</v>
      </c>
      <c r="E29" s="340"/>
    </row>
    <row r="30" spans="1:7" ht="15.75" customHeight="1" x14ac:dyDescent="0.15">
      <c r="A30" s="195" t="s">
        <v>179</v>
      </c>
      <c r="B30" s="341">
        <f>'Price margin inputs'!C7</f>
        <v>0.52</v>
      </c>
      <c r="C30" s="341">
        <f>'Price margin inputs'!G7</f>
        <v>6.5000000000000002E-2</v>
      </c>
      <c r="D30" s="341">
        <f>'Price margin inputs'!L7</f>
        <v>0.37903614457831325</v>
      </c>
      <c r="E30" s="340" t="s">
        <v>94</v>
      </c>
    </row>
    <row r="31" spans="1:7" ht="15.75" customHeight="1" x14ac:dyDescent="0.15">
      <c r="A31" s="195" t="s">
        <v>180</v>
      </c>
      <c r="B31" s="208">
        <f t="shared" ref="B31:D31" si="3">B19*B17*B29</f>
        <v>681.6</v>
      </c>
      <c r="C31" s="208">
        <f t="shared" si="3"/>
        <v>277.05</v>
      </c>
      <c r="D31" s="208">
        <f t="shared" si="3"/>
        <v>670.60240963855426</v>
      </c>
      <c r="E31" s="340"/>
    </row>
    <row r="32" spans="1:7" ht="15.75" customHeight="1" x14ac:dyDescent="0.15">
      <c r="A32" s="195" t="s">
        <v>181</v>
      </c>
      <c r="B32" s="208">
        <f t="shared" ref="B32:D32" si="4">B25*B18*B30</f>
        <v>2044.8</v>
      </c>
      <c r="C32" s="208">
        <f t="shared" si="4"/>
        <v>565.9735714285714</v>
      </c>
      <c r="D32" s="208">
        <f t="shared" si="4"/>
        <v>3790.3614457831327</v>
      </c>
      <c r="E32" s="340" t="s">
        <v>33</v>
      </c>
    </row>
    <row r="33" spans="1:6" ht="15.75" customHeight="1" x14ac:dyDescent="0.15">
      <c r="A33" s="342" t="s">
        <v>182</v>
      </c>
      <c r="B33" s="343">
        <f t="shared" ref="B33:D33" si="5">(B32/B18)-B31</f>
        <v>340.79999999999995</v>
      </c>
      <c r="C33" s="343">
        <f t="shared" si="5"/>
        <v>288.92357142857139</v>
      </c>
      <c r="D33" s="343">
        <f t="shared" si="5"/>
        <v>1224.5783132530121</v>
      </c>
      <c r="E33" s="340"/>
    </row>
    <row r="34" spans="1:6" ht="15.75" customHeight="1" x14ac:dyDescent="0.15">
      <c r="A34" s="328" t="s">
        <v>183</v>
      </c>
      <c r="B34" s="329">
        <f t="shared" ref="B34:D34" si="6">B32-B31</f>
        <v>1363.1999999999998</v>
      </c>
      <c r="C34" s="329">
        <f t="shared" si="6"/>
        <v>288.92357142857139</v>
      </c>
      <c r="D34" s="329">
        <f t="shared" si="6"/>
        <v>3119.7590361445782</v>
      </c>
      <c r="E34" s="344"/>
    </row>
    <row r="36" spans="1:6" ht="30" customHeight="1" x14ac:dyDescent="0.15">
      <c r="A36" s="364" t="s">
        <v>184</v>
      </c>
      <c r="B36" s="361"/>
      <c r="C36" s="361"/>
      <c r="D36" s="361"/>
      <c r="E36" s="361"/>
      <c r="F36" s="362"/>
    </row>
    <row r="37" spans="1:6" ht="15.75" customHeight="1" x14ac:dyDescent="0.15">
      <c r="A37" s="195"/>
      <c r="B37" s="156" t="str">
        <f t="shared" ref="B37:D37" si="7">B12</f>
        <v>Maize</v>
      </c>
      <c r="C37" s="156" t="str">
        <f t="shared" si="7"/>
        <v>Cassava</v>
      </c>
      <c r="D37" s="156" t="str">
        <f t="shared" si="7"/>
        <v>Rice</v>
      </c>
      <c r="E37" s="299" t="str">
        <f>'Main inputs'!P2</f>
        <v>Tomato</v>
      </c>
      <c r="F37" s="327"/>
    </row>
    <row r="38" spans="1:6" ht="15.75" customHeight="1" x14ac:dyDescent="0.15">
      <c r="A38" s="195" t="s">
        <v>185</v>
      </c>
      <c r="B38" s="345"/>
      <c r="C38" s="346"/>
      <c r="D38" s="346"/>
      <c r="E38" s="347">
        <f t="shared" ref="E38:E39" si="8">B45</f>
        <v>8750</v>
      </c>
      <c r="F38" s="340" t="s">
        <v>186</v>
      </c>
    </row>
    <row r="39" spans="1:6" ht="15.75" customHeight="1" x14ac:dyDescent="0.15">
      <c r="A39" s="195" t="s">
        <v>187</v>
      </c>
      <c r="B39" s="348"/>
      <c r="C39" s="346"/>
      <c r="D39" s="348"/>
      <c r="E39" s="341">
        <f t="shared" si="8"/>
        <v>0.24</v>
      </c>
      <c r="F39" s="340" t="s">
        <v>94</v>
      </c>
    </row>
    <row r="40" spans="1:6" ht="15.75" customHeight="1" x14ac:dyDescent="0.15">
      <c r="A40" s="195" t="s">
        <v>188</v>
      </c>
      <c r="B40" s="208">
        <f>($E$38*$E$39)+(B25*B30)</f>
        <v>3122.4</v>
      </c>
      <c r="C40" s="208">
        <f>C32</f>
        <v>565.9735714285714</v>
      </c>
      <c r="D40" s="208">
        <f>($E$38*$E$39)+(D25*D30)</f>
        <v>3995.1807228915663</v>
      </c>
      <c r="F40" s="340" t="s">
        <v>33</v>
      </c>
    </row>
    <row r="41" spans="1:6" ht="15.75" customHeight="1" x14ac:dyDescent="0.15">
      <c r="A41" s="328" t="s">
        <v>189</v>
      </c>
      <c r="B41" s="329">
        <f t="shared" ref="B41:D41" si="9">B40-B31</f>
        <v>2440.8000000000002</v>
      </c>
      <c r="C41" s="329">
        <f t="shared" si="9"/>
        <v>288.92357142857139</v>
      </c>
      <c r="D41" s="329">
        <f t="shared" si="9"/>
        <v>3324.5783132530123</v>
      </c>
      <c r="E41" s="305"/>
      <c r="F41" s="331"/>
    </row>
    <row r="43" spans="1:6" ht="28" customHeight="1" x14ac:dyDescent="0.15">
      <c r="A43" s="364" t="s">
        <v>190</v>
      </c>
      <c r="B43" s="361"/>
      <c r="C43" s="361"/>
      <c r="D43" s="361"/>
      <c r="E43" s="362"/>
    </row>
    <row r="44" spans="1:6" ht="15.75" customHeight="1" x14ac:dyDescent="0.15">
      <c r="A44" s="342"/>
      <c r="B44" s="342" t="str">
        <f>'Main inputs'!P2</f>
        <v>Tomato</v>
      </c>
      <c r="E44" s="327"/>
    </row>
    <row r="45" spans="1:6" ht="15.75" customHeight="1" x14ac:dyDescent="0.15">
      <c r="A45" s="195" t="s">
        <v>185</v>
      </c>
      <c r="B45" s="32">
        <f>8.75*1000</f>
        <v>8750</v>
      </c>
      <c r="C45" s="332" t="s">
        <v>191</v>
      </c>
      <c r="D45" s="192" t="s">
        <v>186</v>
      </c>
      <c r="E45" s="327"/>
    </row>
    <row r="46" spans="1:6" ht="15.75" customHeight="1" x14ac:dyDescent="0.15">
      <c r="A46" s="195" t="s">
        <v>187</v>
      </c>
      <c r="B46" s="326">
        <v>0.24</v>
      </c>
      <c r="C46" s="333" t="s">
        <v>191</v>
      </c>
      <c r="D46" s="192" t="s">
        <v>94</v>
      </c>
      <c r="E46" s="327"/>
    </row>
    <row r="47" spans="1:6" ht="13" x14ac:dyDescent="0.15">
      <c r="A47" s="195" t="s">
        <v>192</v>
      </c>
      <c r="B47" s="208">
        <f>B45*B46*B18</f>
        <v>4200</v>
      </c>
      <c r="D47" s="192" t="s">
        <v>33</v>
      </c>
      <c r="E47" s="327"/>
    </row>
    <row r="48" spans="1:6" ht="13" x14ac:dyDescent="0.15">
      <c r="A48" s="328" t="s">
        <v>193</v>
      </c>
      <c r="B48" s="329">
        <f>B47-B31</f>
        <v>3518.4</v>
      </c>
      <c r="C48" s="305"/>
      <c r="D48" s="330" t="s">
        <v>33</v>
      </c>
      <c r="E48" s="331"/>
    </row>
    <row r="50" spans="1:2" ht="13" x14ac:dyDescent="0.15">
      <c r="A50" s="137"/>
      <c r="B50" s="137"/>
    </row>
  </sheetData>
  <sheetProtection algorithmName="SHA-512" hashValue="K0SI4Y7wclgbDZjUMXATEiWp+hhGGo4X0AyTsDGwCIUQCWtu0vBowo+3gQX9g1qqCcZVZmldwAhJtiyf9XIuIg==" saltValue="K6HltfRLW6N12rHd96AkXg==" spinCount="100000" sheet="1" objects="1" scenarios="1"/>
  <mergeCells count="9">
    <mergeCell ref="A36:F36"/>
    <mergeCell ref="A43:E43"/>
    <mergeCell ref="A1:F1"/>
    <mergeCell ref="B6:C6"/>
    <mergeCell ref="D6:D9"/>
    <mergeCell ref="A11:E11"/>
    <mergeCell ref="B14:D14"/>
    <mergeCell ref="B24:D24"/>
    <mergeCell ref="A27:E27"/>
  </mergeCells>
  <hyperlinks>
    <hyperlink ref="D6" r:id="rId1" xr:uid="{00000000-0004-0000-04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50"/>
  <sheetViews>
    <sheetView topLeftCell="A5" workbookViewId="0">
      <selection activeCell="I33" sqref="I33"/>
    </sheetView>
  </sheetViews>
  <sheetFormatPr baseColWidth="10" defaultColWidth="12.6640625" defaultRowHeight="15.75" customHeight="1" x14ac:dyDescent="0.15"/>
  <cols>
    <col min="1" max="1" width="52.83203125" style="134" customWidth="1"/>
    <col min="2" max="4" width="12.6640625" style="134"/>
    <col min="5" max="5" width="20.1640625" style="134" customWidth="1"/>
    <col min="6" max="16384" width="12.6640625" style="134"/>
  </cols>
  <sheetData>
    <row r="1" spans="1:7" ht="15.75" customHeight="1" x14ac:dyDescent="0.15">
      <c r="A1" s="337" t="s">
        <v>148</v>
      </c>
      <c r="B1" s="133"/>
      <c r="C1" s="133"/>
      <c r="D1" s="133"/>
      <c r="E1" s="133"/>
      <c r="F1" s="133"/>
      <c r="G1" s="338"/>
    </row>
    <row r="2" spans="1:7" ht="15.75" customHeight="1" x14ac:dyDescent="0.15">
      <c r="A2" s="299" t="s">
        <v>149</v>
      </c>
      <c r="B2" s="299" t="s">
        <v>9</v>
      </c>
      <c r="D2" s="299" t="s">
        <v>150</v>
      </c>
      <c r="E2" s="299" t="s">
        <v>151</v>
      </c>
      <c r="G2" s="327"/>
    </row>
    <row r="3" spans="1:7" ht="15.75" customHeight="1" x14ac:dyDescent="0.15">
      <c r="A3" s="51" t="s">
        <v>152</v>
      </c>
      <c r="B3" s="51" t="s">
        <v>153</v>
      </c>
      <c r="C3" s="51">
        <v>4</v>
      </c>
      <c r="D3" s="51"/>
      <c r="E3" s="29"/>
      <c r="F3" s="29"/>
      <c r="G3" s="319"/>
    </row>
    <row r="4" spans="1:7" ht="15.75" customHeight="1" x14ac:dyDescent="0.15">
      <c r="A4" s="51" t="s">
        <v>155</v>
      </c>
      <c r="B4" s="51" t="s">
        <v>153</v>
      </c>
      <c r="C4" s="51">
        <v>4</v>
      </c>
      <c r="D4" s="51"/>
      <c r="E4" s="29"/>
      <c r="F4" s="29"/>
      <c r="G4" s="319"/>
    </row>
    <row r="5" spans="1:7" ht="15.75" customHeight="1" x14ac:dyDescent="0.15">
      <c r="A5" s="51" t="s">
        <v>194</v>
      </c>
      <c r="B5" s="51" t="s">
        <v>153</v>
      </c>
      <c r="C5" s="51">
        <v>4</v>
      </c>
      <c r="D5" s="51"/>
      <c r="E5" s="29"/>
      <c r="F5" s="29"/>
      <c r="G5" s="319"/>
    </row>
    <row r="6" spans="1:7" ht="15.75" customHeight="1" x14ac:dyDescent="0.15">
      <c r="A6" s="51" t="s">
        <v>157</v>
      </c>
      <c r="B6" s="320" t="s">
        <v>195</v>
      </c>
      <c r="C6" s="108"/>
      <c r="D6" s="350" t="s">
        <v>196</v>
      </c>
      <c r="E6" s="29"/>
      <c r="F6" s="29"/>
      <c r="G6" s="319"/>
    </row>
    <row r="7" spans="1:7" ht="15.75" customHeight="1" x14ac:dyDescent="0.15">
      <c r="A7" s="51" t="s">
        <v>197</v>
      </c>
      <c r="B7" s="51" t="s">
        <v>39</v>
      </c>
      <c r="C7" s="66">
        <f>'Main inputs'!C44</f>
        <v>0.12</v>
      </c>
      <c r="D7" s="108"/>
      <c r="E7" s="29"/>
      <c r="F7" s="29"/>
      <c r="G7" s="319"/>
    </row>
    <row r="8" spans="1:7" ht="15.75" customHeight="1" x14ac:dyDescent="0.15">
      <c r="A8" s="51" t="s">
        <v>161</v>
      </c>
      <c r="B8" s="51" t="s">
        <v>153</v>
      </c>
      <c r="C8" s="51">
        <v>3.6</v>
      </c>
      <c r="D8" s="108"/>
      <c r="E8" s="29"/>
      <c r="F8" s="29"/>
      <c r="G8" s="319"/>
    </row>
    <row r="9" spans="1:7" ht="15.75" customHeight="1" x14ac:dyDescent="0.15">
      <c r="A9" s="281" t="s">
        <v>162</v>
      </c>
      <c r="B9" s="281" t="s">
        <v>163</v>
      </c>
      <c r="C9" s="281"/>
      <c r="D9" s="322"/>
      <c r="E9" s="281"/>
      <c r="F9" s="281"/>
      <c r="G9" s="323"/>
    </row>
    <row r="10" spans="1:7" ht="15.75" customHeight="1" x14ac:dyDescent="0.15">
      <c r="A10" s="349"/>
    </row>
    <row r="11" spans="1:7" ht="15.75" customHeight="1" x14ac:dyDescent="0.15">
      <c r="A11" s="337" t="s">
        <v>198</v>
      </c>
      <c r="B11" s="133"/>
      <c r="C11" s="133"/>
      <c r="D11" s="133"/>
      <c r="E11" s="133"/>
      <c r="F11" s="133"/>
      <c r="G11" s="338"/>
    </row>
    <row r="12" spans="1:7" ht="15.75" customHeight="1" x14ac:dyDescent="0.15">
      <c r="B12" s="135" t="str">
        <f>'Main inputs'!C30</f>
        <v>Maize</v>
      </c>
      <c r="C12" s="135" t="str">
        <f>'Main inputs'!H30</f>
        <v>Cassava</v>
      </c>
      <c r="D12" s="135" t="str">
        <f>'Main inputs'!J30</f>
        <v>Beans</v>
      </c>
      <c r="G12" s="327"/>
    </row>
    <row r="13" spans="1:7" ht="15.75" customHeight="1" x14ac:dyDescent="0.15">
      <c r="A13" s="137" t="s">
        <v>165</v>
      </c>
      <c r="B13" s="138">
        <f>'Main inputs'!C33</f>
        <v>6</v>
      </c>
      <c r="C13" s="138">
        <f>'Main inputs'!H33</f>
        <v>6</v>
      </c>
      <c r="D13" s="138">
        <f>'Main inputs'!J33</f>
        <v>6</v>
      </c>
      <c r="G13" s="327"/>
    </row>
    <row r="14" spans="1:7" ht="15.75" customHeight="1" x14ac:dyDescent="0.15">
      <c r="A14" s="137"/>
      <c r="B14" s="334" t="s">
        <v>166</v>
      </c>
      <c r="C14" s="133"/>
      <c r="D14" s="133"/>
      <c r="G14" s="327"/>
    </row>
    <row r="15" spans="1:7" ht="15.75" customHeight="1" x14ac:dyDescent="0.15">
      <c r="A15" s="137" t="s">
        <v>167</v>
      </c>
      <c r="B15" s="50">
        <v>4</v>
      </c>
      <c r="C15" s="50">
        <v>12</v>
      </c>
      <c r="D15" s="50">
        <v>2</v>
      </c>
      <c r="G15" s="327"/>
    </row>
    <row r="16" spans="1:7" ht="15.75" customHeight="1" x14ac:dyDescent="0.15">
      <c r="A16" s="137" t="s">
        <v>168</v>
      </c>
      <c r="B16" s="50">
        <v>4</v>
      </c>
      <c r="C16" s="50">
        <v>12</v>
      </c>
      <c r="D16" s="50">
        <v>3</v>
      </c>
      <c r="E16" s="137"/>
      <c r="G16" s="327"/>
    </row>
    <row r="17" spans="1:7" ht="15.75" customHeight="1" x14ac:dyDescent="0.15">
      <c r="A17" s="137" t="s">
        <v>169</v>
      </c>
      <c r="B17" s="50">
        <v>1</v>
      </c>
      <c r="C17" s="50">
        <v>1</v>
      </c>
      <c r="D17" s="50">
        <v>1</v>
      </c>
      <c r="G17" s="327"/>
    </row>
    <row r="18" spans="1:7" ht="15.75" customHeight="1" x14ac:dyDescent="0.15">
      <c r="A18" s="137" t="s">
        <v>170</v>
      </c>
      <c r="B18" s="50">
        <v>2</v>
      </c>
      <c r="C18" s="50">
        <v>1</v>
      </c>
      <c r="D18" s="50">
        <v>2</v>
      </c>
      <c r="E18" s="137"/>
      <c r="G18" s="327"/>
    </row>
    <row r="19" spans="1:7" ht="15.75" customHeight="1" x14ac:dyDescent="0.15">
      <c r="A19" s="137" t="s">
        <v>171</v>
      </c>
      <c r="B19" s="50">
        <v>843</v>
      </c>
      <c r="C19" s="50">
        <v>2738</v>
      </c>
      <c r="D19" s="50">
        <v>426</v>
      </c>
      <c r="E19" s="51" t="s">
        <v>199</v>
      </c>
      <c r="G19" s="327"/>
    </row>
    <row r="20" spans="1:7" ht="15.75" customHeight="1" x14ac:dyDescent="0.15">
      <c r="A20" s="137"/>
      <c r="B20" s="32"/>
      <c r="C20" s="32"/>
      <c r="D20" s="32"/>
      <c r="G20" s="327"/>
    </row>
    <row r="21" spans="1:7" ht="15.75" customHeight="1" x14ac:dyDescent="0.15">
      <c r="A21" s="137" t="s">
        <v>172</v>
      </c>
      <c r="B21" s="50">
        <v>5.2</v>
      </c>
      <c r="C21" s="254">
        <v>14</v>
      </c>
      <c r="D21" s="50">
        <v>0.82699999999999996</v>
      </c>
      <c r="G21" s="327"/>
    </row>
    <row r="22" spans="1:7" ht="15.75" customHeight="1" x14ac:dyDescent="0.15">
      <c r="A22" s="137" t="s">
        <v>173</v>
      </c>
      <c r="B22" s="50">
        <v>6</v>
      </c>
      <c r="C22" s="254">
        <v>22</v>
      </c>
      <c r="D22" s="50">
        <v>2.25</v>
      </c>
      <c r="G22" s="327"/>
    </row>
    <row r="23" spans="1:7" ht="15.75" customHeight="1" x14ac:dyDescent="0.15">
      <c r="A23" s="195" t="s">
        <v>174</v>
      </c>
      <c r="B23" s="324">
        <f t="shared" ref="B23:D23" si="0">B22/B21</f>
        <v>1.1538461538461537</v>
      </c>
      <c r="C23" s="325">
        <f t="shared" si="0"/>
        <v>1.5714285714285714</v>
      </c>
      <c r="D23" s="324">
        <f t="shared" si="0"/>
        <v>2.7206771463119712</v>
      </c>
      <c r="G23" s="327"/>
    </row>
    <row r="24" spans="1:7" ht="15.75" customHeight="1" x14ac:dyDescent="0.15">
      <c r="A24" s="195"/>
      <c r="B24" s="32"/>
      <c r="C24" s="32"/>
      <c r="D24" s="32"/>
      <c r="G24" s="327"/>
    </row>
    <row r="25" spans="1:7" ht="15.75" customHeight="1" x14ac:dyDescent="0.15">
      <c r="A25" s="137"/>
      <c r="B25" s="334" t="s">
        <v>175</v>
      </c>
      <c r="C25" s="133"/>
      <c r="D25" s="133"/>
      <c r="G25" s="327"/>
    </row>
    <row r="26" spans="1:7" ht="15.75" customHeight="1" x14ac:dyDescent="0.15">
      <c r="A26" s="137" t="s">
        <v>200</v>
      </c>
      <c r="B26" s="352">
        <f t="shared" ref="B26:C26" si="1">B19*B23</f>
        <v>972.69230769230762</v>
      </c>
      <c r="C26" s="352">
        <f t="shared" si="1"/>
        <v>4302.5714285714284</v>
      </c>
      <c r="D26" s="352">
        <f>D19*'Irrigation inputs&amp;calcs_RWA'!D23</f>
        <v>1159.0084643288997</v>
      </c>
      <c r="G26" s="327"/>
    </row>
    <row r="27" spans="1:7" ht="15.75" customHeight="1" x14ac:dyDescent="0.15">
      <c r="A27" s="305"/>
      <c r="B27" s="353"/>
      <c r="C27" s="354"/>
      <c r="D27" s="305"/>
      <c r="E27" s="305" t="s">
        <v>201</v>
      </c>
      <c r="F27" s="305">
        <v>1017</v>
      </c>
      <c r="G27" s="331"/>
    </row>
    <row r="29" spans="1:7" ht="28" customHeight="1" x14ac:dyDescent="0.15">
      <c r="A29" s="364" t="s">
        <v>202</v>
      </c>
      <c r="B29" s="361"/>
      <c r="C29" s="361"/>
      <c r="D29" s="361"/>
      <c r="E29" s="361"/>
      <c r="F29" s="361"/>
      <c r="G29" s="362"/>
    </row>
    <row r="30" spans="1:7" ht="15.75" customHeight="1" x14ac:dyDescent="0.15">
      <c r="A30" s="195"/>
      <c r="B30" s="156" t="str">
        <f t="shared" ref="B30:D30" si="2">B12</f>
        <v>Maize</v>
      </c>
      <c r="C30" s="156" t="str">
        <f t="shared" si="2"/>
        <v>Cassava</v>
      </c>
      <c r="D30" s="156" t="str">
        <f t="shared" si="2"/>
        <v>Beans</v>
      </c>
      <c r="E30" s="192"/>
      <c r="G30" s="327"/>
    </row>
    <row r="31" spans="1:7" ht="15.75" customHeight="1" x14ac:dyDescent="0.15">
      <c r="A31" s="195" t="s">
        <v>178</v>
      </c>
      <c r="B31" s="341">
        <f>'Price margin inputs'!C12</f>
        <v>0.21632251720747295</v>
      </c>
      <c r="C31" s="341">
        <f>'Price margin inputs'!H12</f>
        <v>7.3746312684365781E-2</v>
      </c>
      <c r="D31" s="341">
        <f>'Price margin inputs'!J12</f>
        <v>0.67800000000000005</v>
      </c>
      <c r="E31" s="192"/>
      <c r="G31" s="327"/>
    </row>
    <row r="32" spans="1:7" ht="15.75" customHeight="1" x14ac:dyDescent="0.15">
      <c r="A32" s="195" t="s">
        <v>179</v>
      </c>
      <c r="B32" s="341">
        <f>'Price margin inputs'!C13</f>
        <v>0.28121927236971483</v>
      </c>
      <c r="C32" s="341">
        <f>'Price margin inputs'!H13</f>
        <v>9.5870206489675522E-2</v>
      </c>
      <c r="D32" s="341">
        <f>'Price margin inputs'!J13</f>
        <v>0.77970000000000006</v>
      </c>
      <c r="E32" s="192" t="s">
        <v>94</v>
      </c>
      <c r="G32" s="327"/>
    </row>
    <row r="33" spans="1:7" ht="15.75" customHeight="1" x14ac:dyDescent="0.15">
      <c r="A33" s="195" t="s">
        <v>180</v>
      </c>
      <c r="B33" s="208">
        <f t="shared" ref="B33:D33" si="3">B17*B19*B31</f>
        <v>182.35988200589969</v>
      </c>
      <c r="C33" s="208">
        <f t="shared" si="3"/>
        <v>201.91740412979351</v>
      </c>
      <c r="D33" s="208">
        <f t="shared" si="3"/>
        <v>288.82800000000003</v>
      </c>
      <c r="E33" s="192"/>
      <c r="G33" s="327"/>
    </row>
    <row r="34" spans="1:7" ht="15.75" customHeight="1" x14ac:dyDescent="0.15">
      <c r="A34" s="195" t="s">
        <v>181</v>
      </c>
      <c r="B34" s="208">
        <f t="shared" ref="B34:D34" si="4">B18*B26*B32</f>
        <v>547.07964601769902</v>
      </c>
      <c r="C34" s="208">
        <f t="shared" si="4"/>
        <v>412.48841129372101</v>
      </c>
      <c r="D34" s="208">
        <f t="shared" si="4"/>
        <v>1807.3577992744863</v>
      </c>
      <c r="E34" s="192" t="s">
        <v>33</v>
      </c>
      <c r="G34" s="327"/>
    </row>
    <row r="35" spans="1:7" ht="15.75" customHeight="1" x14ac:dyDescent="0.15">
      <c r="A35" s="342" t="s">
        <v>182</v>
      </c>
      <c r="B35" s="343">
        <f t="shared" ref="B35:D35" si="5">(B34/B18)-B33</f>
        <v>91.179941002949818</v>
      </c>
      <c r="C35" s="343">
        <f t="shared" si="5"/>
        <v>210.5710071639275</v>
      </c>
      <c r="D35" s="343">
        <f t="shared" si="5"/>
        <v>614.85089963724317</v>
      </c>
      <c r="E35" s="192"/>
      <c r="G35" s="327"/>
    </row>
    <row r="36" spans="1:7" ht="15.75" customHeight="1" x14ac:dyDescent="0.15">
      <c r="A36" s="328" t="s">
        <v>183</v>
      </c>
      <c r="B36" s="329">
        <f t="shared" ref="B36:D36" si="6">B34-B33</f>
        <v>364.71976401179933</v>
      </c>
      <c r="C36" s="329">
        <f t="shared" si="6"/>
        <v>210.5710071639275</v>
      </c>
      <c r="D36" s="329">
        <f t="shared" si="6"/>
        <v>1518.5297992744863</v>
      </c>
      <c r="E36" s="330"/>
      <c r="F36" s="305"/>
      <c r="G36" s="331"/>
    </row>
    <row r="38" spans="1:7" ht="30" customHeight="1" x14ac:dyDescent="0.15">
      <c r="A38" s="364" t="s">
        <v>203</v>
      </c>
      <c r="B38" s="361"/>
      <c r="C38" s="361"/>
      <c r="D38" s="361"/>
      <c r="E38" s="361"/>
      <c r="F38" s="361"/>
      <c r="G38" s="355"/>
    </row>
    <row r="39" spans="1:7" ht="15.75" customHeight="1" x14ac:dyDescent="0.15">
      <c r="A39" s="342" t="s">
        <v>204</v>
      </c>
      <c r="B39" s="156" t="str">
        <f t="shared" ref="B39:D39" si="7">B12</f>
        <v>Maize</v>
      </c>
      <c r="C39" s="156" t="str">
        <f t="shared" si="7"/>
        <v>Cassava</v>
      </c>
      <c r="D39" s="156" t="str">
        <f t="shared" si="7"/>
        <v>Beans</v>
      </c>
      <c r="E39" s="342" t="str">
        <f>'Main inputs'!N30</f>
        <v>Tomato</v>
      </c>
      <c r="G39" s="351"/>
    </row>
    <row r="40" spans="1:7" ht="15.75" customHeight="1" x14ac:dyDescent="0.15">
      <c r="A40" s="195" t="s">
        <v>185</v>
      </c>
      <c r="B40" s="356"/>
      <c r="C40" s="356"/>
      <c r="D40" s="356"/>
      <c r="E40" s="138">
        <f t="shared" ref="E40:E41" si="8">B47</f>
        <v>20000</v>
      </c>
      <c r="F40" s="192" t="s">
        <v>101</v>
      </c>
      <c r="G40" s="351"/>
    </row>
    <row r="41" spans="1:7" ht="15.75" customHeight="1" x14ac:dyDescent="0.15">
      <c r="A41" s="195" t="s">
        <v>187</v>
      </c>
      <c r="B41" s="348"/>
      <c r="C41" s="348"/>
      <c r="D41" s="348"/>
      <c r="E41" s="143">
        <f t="shared" si="8"/>
        <v>0.19665683382497542</v>
      </c>
      <c r="F41" s="192" t="s">
        <v>94</v>
      </c>
      <c r="G41" s="351"/>
    </row>
    <row r="42" spans="1:7" ht="15.75" customHeight="1" x14ac:dyDescent="0.15">
      <c r="A42" s="195" t="s">
        <v>188</v>
      </c>
      <c r="B42" s="341">
        <f>$E$40*$E$41+B26*B32</f>
        <v>4206.6764995083586</v>
      </c>
      <c r="C42" s="341">
        <f>C34</f>
        <v>412.48841129372101</v>
      </c>
      <c r="D42" s="341">
        <f>$E$40*$E$41+D26*D32</f>
        <v>4836.8155761367516</v>
      </c>
      <c r="F42" s="192" t="s">
        <v>33</v>
      </c>
      <c r="G42" s="351"/>
    </row>
    <row r="43" spans="1:7" ht="15.75" customHeight="1" x14ac:dyDescent="0.15">
      <c r="A43" s="328" t="s">
        <v>189</v>
      </c>
      <c r="B43" s="357">
        <f t="shared" ref="B43:D43" si="9">B42-B33</f>
        <v>4024.3166175024589</v>
      </c>
      <c r="C43" s="357">
        <f t="shared" si="9"/>
        <v>210.5710071639275</v>
      </c>
      <c r="D43" s="357">
        <f t="shared" si="9"/>
        <v>4547.9875761367512</v>
      </c>
      <c r="E43" s="305"/>
      <c r="F43" s="330" t="s">
        <v>33</v>
      </c>
      <c r="G43" s="351"/>
    </row>
    <row r="45" spans="1:7" ht="32" customHeight="1" x14ac:dyDescent="0.15">
      <c r="A45" s="364" t="s">
        <v>205</v>
      </c>
      <c r="B45" s="361"/>
      <c r="C45" s="361"/>
      <c r="D45" s="361"/>
      <c r="E45" s="362"/>
      <c r="F45" s="355"/>
      <c r="G45" s="349"/>
    </row>
    <row r="46" spans="1:7" ht="15.75" customHeight="1" x14ac:dyDescent="0.15">
      <c r="A46" s="342" t="s">
        <v>206</v>
      </c>
      <c r="B46" s="342" t="str">
        <f>'Main inputs'!N30</f>
        <v>Tomato</v>
      </c>
      <c r="F46" s="351"/>
      <c r="G46" s="195"/>
    </row>
    <row r="47" spans="1:7" ht="13" x14ac:dyDescent="0.15">
      <c r="A47" s="195" t="s">
        <v>207</v>
      </c>
      <c r="B47" s="32">
        <f>20*1000</f>
        <v>20000</v>
      </c>
      <c r="C47" s="332" t="s">
        <v>191</v>
      </c>
      <c r="D47" s="192" t="s">
        <v>101</v>
      </c>
      <c r="F47" s="351"/>
      <c r="G47" s="195"/>
    </row>
    <row r="48" spans="1:7" ht="13" x14ac:dyDescent="0.15">
      <c r="A48" s="195" t="s">
        <v>187</v>
      </c>
      <c r="B48" s="326">
        <f>200/F27</f>
        <v>0.19665683382497542</v>
      </c>
      <c r="C48" s="332" t="s">
        <v>191</v>
      </c>
      <c r="D48" s="192" t="s">
        <v>94</v>
      </c>
      <c r="F48" s="351"/>
      <c r="G48" s="195"/>
    </row>
    <row r="49" spans="1:7" ht="13" x14ac:dyDescent="0.15">
      <c r="A49" s="195" t="s">
        <v>192</v>
      </c>
      <c r="B49" s="208">
        <f>B48*B47*B18</f>
        <v>7866.2733529990173</v>
      </c>
      <c r="D49" s="192" t="s">
        <v>33</v>
      </c>
      <c r="F49" s="351"/>
      <c r="G49" s="195"/>
    </row>
    <row r="50" spans="1:7" ht="13" x14ac:dyDescent="0.15">
      <c r="A50" s="328" t="s">
        <v>193</v>
      </c>
      <c r="B50" s="329">
        <f>B49-B33</f>
        <v>7683.9134709931177</v>
      </c>
      <c r="C50" s="305"/>
      <c r="D50" s="330" t="s">
        <v>33</v>
      </c>
      <c r="E50" s="305"/>
      <c r="F50" s="351"/>
      <c r="G50" s="195"/>
    </row>
  </sheetData>
  <sheetProtection algorithmName="SHA-512" hashValue="PQ53ADXN8ng9NSGLWDSiPnHCL2c01T5U0aVTK386byr2YTIprb74pJOEPCyHhMezH7pktwIkXzyKZ+zVbkLRAg==" saltValue="7qWlDynasvwQj8trBfpj0Q==" spinCount="100000" sheet="1" objects="1" scenarios="1"/>
  <mergeCells count="9">
    <mergeCell ref="A38:F38"/>
    <mergeCell ref="A45:E45"/>
    <mergeCell ref="A1:G1"/>
    <mergeCell ref="B6:C6"/>
    <mergeCell ref="D6:D9"/>
    <mergeCell ref="A11:G11"/>
    <mergeCell ref="B14:D14"/>
    <mergeCell ref="B25:D25"/>
    <mergeCell ref="A29:G29"/>
  </mergeCells>
  <hyperlinks>
    <hyperlink ref="D6" r:id="rId1" xr:uid="{00000000-0004-0000-0500-000000000000}"/>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52"/>
  <sheetViews>
    <sheetView workbookViewId="0">
      <selection activeCell="F46" sqref="F46"/>
    </sheetView>
  </sheetViews>
  <sheetFormatPr baseColWidth="10" defaultColWidth="12.6640625" defaultRowHeight="15.75" customHeight="1" x14ac:dyDescent="0.15"/>
  <cols>
    <col min="1" max="1" width="53.6640625" style="134" customWidth="1"/>
    <col min="2" max="4" width="12.6640625" style="134"/>
    <col min="5" max="5" width="20.6640625" style="134" customWidth="1"/>
    <col min="6" max="16384" width="12.6640625" style="134"/>
  </cols>
  <sheetData>
    <row r="1" spans="1:7" ht="15.75" customHeight="1" x14ac:dyDescent="0.15">
      <c r="A1" s="337" t="s">
        <v>148</v>
      </c>
      <c r="B1" s="133"/>
      <c r="C1" s="133"/>
      <c r="D1" s="133"/>
      <c r="E1" s="133"/>
      <c r="F1" s="133"/>
      <c r="G1" s="338"/>
    </row>
    <row r="2" spans="1:7" ht="15.75" customHeight="1" x14ac:dyDescent="0.15">
      <c r="A2" s="299" t="s">
        <v>149</v>
      </c>
      <c r="B2" s="299" t="s">
        <v>9</v>
      </c>
      <c r="D2" s="299" t="s">
        <v>150</v>
      </c>
      <c r="E2" s="299" t="s">
        <v>151</v>
      </c>
      <c r="G2" s="327"/>
    </row>
    <row r="3" spans="1:7" ht="15.75" customHeight="1" x14ac:dyDescent="0.15">
      <c r="A3" s="51" t="s">
        <v>152</v>
      </c>
      <c r="B3" s="51" t="s">
        <v>153</v>
      </c>
      <c r="C3" s="51">
        <v>4</v>
      </c>
      <c r="D3" s="51" t="s">
        <v>208</v>
      </c>
      <c r="E3" s="29"/>
      <c r="F3" s="29"/>
      <c r="G3" s="319"/>
    </row>
    <row r="4" spans="1:7" ht="15.75" customHeight="1" x14ac:dyDescent="0.15">
      <c r="A4" s="51" t="s">
        <v>155</v>
      </c>
      <c r="B4" s="51" t="s">
        <v>153</v>
      </c>
      <c r="C4" s="51">
        <v>5</v>
      </c>
      <c r="D4" s="51" t="s">
        <v>209</v>
      </c>
      <c r="E4" s="29"/>
      <c r="F4" s="29"/>
      <c r="G4" s="319"/>
    </row>
    <row r="5" spans="1:7" ht="15.75" customHeight="1" x14ac:dyDescent="0.15">
      <c r="A5" s="51" t="s">
        <v>210</v>
      </c>
      <c r="B5" s="51" t="s">
        <v>153</v>
      </c>
      <c r="C5" s="51">
        <v>4</v>
      </c>
      <c r="D5" s="51" t="s">
        <v>208</v>
      </c>
      <c r="E5" s="29"/>
      <c r="F5" s="29"/>
      <c r="G5" s="319"/>
    </row>
    <row r="6" spans="1:7" ht="15.75" customHeight="1" x14ac:dyDescent="0.15">
      <c r="A6" s="51" t="s">
        <v>157</v>
      </c>
      <c r="B6" s="320" t="s">
        <v>195</v>
      </c>
      <c r="C6" s="108"/>
      <c r="D6" s="350" t="s">
        <v>211</v>
      </c>
      <c r="E6" s="29"/>
      <c r="F6" s="29"/>
      <c r="G6" s="319"/>
    </row>
    <row r="7" spans="1:7" ht="15.75" customHeight="1" x14ac:dyDescent="0.15">
      <c r="A7" s="51" t="s">
        <v>197</v>
      </c>
      <c r="B7" s="51" t="s">
        <v>39</v>
      </c>
      <c r="C7" s="85">
        <f>'Main inputs'!C72</f>
        <v>0.12</v>
      </c>
      <c r="D7" s="108"/>
      <c r="E7" s="29"/>
      <c r="F7" s="29"/>
      <c r="G7" s="319"/>
    </row>
    <row r="8" spans="1:7" ht="15.75" customHeight="1" x14ac:dyDescent="0.15">
      <c r="A8" s="51" t="s">
        <v>161</v>
      </c>
      <c r="B8" s="51" t="s">
        <v>153</v>
      </c>
      <c r="C8" s="51">
        <v>3.6</v>
      </c>
      <c r="D8" s="108"/>
      <c r="E8" s="29"/>
      <c r="F8" s="29"/>
      <c r="G8" s="319"/>
    </row>
    <row r="9" spans="1:7" ht="15.75" customHeight="1" x14ac:dyDescent="0.15">
      <c r="A9" s="281" t="s">
        <v>162</v>
      </c>
      <c r="B9" s="281" t="s">
        <v>163</v>
      </c>
      <c r="C9" s="281"/>
      <c r="D9" s="322"/>
      <c r="E9" s="281"/>
      <c r="F9" s="281"/>
      <c r="G9" s="323"/>
    </row>
    <row r="11" spans="1:7" ht="15.75" customHeight="1" x14ac:dyDescent="0.15">
      <c r="A11" s="337" t="s">
        <v>212</v>
      </c>
      <c r="B11" s="133"/>
      <c r="C11" s="133"/>
      <c r="D11" s="133"/>
      <c r="E11" s="133"/>
      <c r="F11" s="133"/>
      <c r="G11" s="338"/>
    </row>
    <row r="12" spans="1:7" ht="15.75" customHeight="1" x14ac:dyDescent="0.15">
      <c r="B12" s="135" t="str">
        <f>'Main inputs'!C58</f>
        <v>Maize</v>
      </c>
      <c r="C12" s="135" t="str">
        <f>'Main inputs'!G58</f>
        <v>Cassava</v>
      </c>
      <c r="D12" s="135" t="str">
        <f>'Main inputs'!L58</f>
        <v>Groundnuts</v>
      </c>
      <c r="G12" s="327"/>
    </row>
    <row r="13" spans="1:7" ht="15.75" customHeight="1" x14ac:dyDescent="0.15">
      <c r="A13" s="137" t="s">
        <v>165</v>
      </c>
      <c r="B13" s="138">
        <f>'Main inputs'!C61</f>
        <v>6</v>
      </c>
      <c r="C13" s="138">
        <f>'Main inputs'!G61</f>
        <v>6</v>
      </c>
      <c r="D13" s="138">
        <f>'Main inputs'!L61</f>
        <v>6</v>
      </c>
      <c r="G13" s="327"/>
    </row>
    <row r="14" spans="1:7" ht="15.75" customHeight="1" x14ac:dyDescent="0.15">
      <c r="A14" s="137"/>
      <c r="B14" s="334" t="s">
        <v>166</v>
      </c>
      <c r="C14" s="133"/>
      <c r="D14" s="133"/>
      <c r="E14" s="137"/>
      <c r="G14" s="327"/>
    </row>
    <row r="15" spans="1:7" ht="15.75" customHeight="1" x14ac:dyDescent="0.15">
      <c r="A15" s="137" t="s">
        <v>167</v>
      </c>
      <c r="B15" s="50">
        <v>10</v>
      </c>
      <c r="C15" s="50">
        <v>12</v>
      </c>
      <c r="D15" s="50" t="s">
        <v>213</v>
      </c>
      <c r="E15" s="29"/>
      <c r="G15" s="327"/>
    </row>
    <row r="16" spans="1:7" ht="15.75" customHeight="1" x14ac:dyDescent="0.15">
      <c r="A16" s="137" t="s">
        <v>168</v>
      </c>
      <c r="B16" s="50">
        <v>7</v>
      </c>
      <c r="C16" s="50">
        <v>12</v>
      </c>
      <c r="D16" s="50">
        <v>6</v>
      </c>
      <c r="E16" s="51"/>
      <c r="G16" s="327"/>
    </row>
    <row r="17" spans="1:7" ht="15.75" customHeight="1" x14ac:dyDescent="0.15">
      <c r="A17" s="137" t="s">
        <v>169</v>
      </c>
      <c r="B17" s="50">
        <v>1</v>
      </c>
      <c r="C17" s="50">
        <v>1</v>
      </c>
      <c r="D17" s="50">
        <v>1</v>
      </c>
      <c r="E17" s="29"/>
      <c r="G17" s="327"/>
    </row>
    <row r="18" spans="1:7" ht="15.75" customHeight="1" x14ac:dyDescent="0.15">
      <c r="A18" s="137" t="s">
        <v>170</v>
      </c>
      <c r="B18" s="50">
        <v>2</v>
      </c>
      <c r="C18" s="50">
        <v>1</v>
      </c>
      <c r="D18" s="50">
        <v>2</v>
      </c>
      <c r="E18" s="51"/>
      <c r="G18" s="327"/>
    </row>
    <row r="19" spans="1:7" ht="15.75" customHeight="1" x14ac:dyDescent="0.15">
      <c r="A19" s="137" t="s">
        <v>171</v>
      </c>
      <c r="B19" s="50">
        <v>2125</v>
      </c>
      <c r="C19" s="50">
        <v>5147</v>
      </c>
      <c r="D19" s="50">
        <v>717</v>
      </c>
      <c r="E19" s="51" t="s">
        <v>199</v>
      </c>
      <c r="G19" s="327"/>
    </row>
    <row r="20" spans="1:7" ht="15.75" customHeight="1" x14ac:dyDescent="0.15">
      <c r="A20" s="137"/>
      <c r="B20" s="32"/>
      <c r="C20" s="32"/>
      <c r="D20" s="32"/>
      <c r="E20" s="29"/>
      <c r="G20" s="327"/>
    </row>
    <row r="21" spans="1:7" ht="15.75" customHeight="1" x14ac:dyDescent="0.15">
      <c r="A21" s="137" t="s">
        <v>172</v>
      </c>
      <c r="B21" s="50">
        <v>5.2</v>
      </c>
      <c r="C21" s="254">
        <v>14</v>
      </c>
      <c r="D21" s="50">
        <v>2.8</v>
      </c>
      <c r="E21" s="29"/>
      <c r="G21" s="327"/>
    </row>
    <row r="22" spans="1:7" ht="15.75" customHeight="1" x14ac:dyDescent="0.15">
      <c r="A22" s="137" t="s">
        <v>173</v>
      </c>
      <c r="B22" s="50">
        <v>6</v>
      </c>
      <c r="C22" s="254">
        <v>22</v>
      </c>
      <c r="D22" s="50">
        <v>4</v>
      </c>
      <c r="E22" s="29"/>
      <c r="G22" s="327"/>
    </row>
    <row r="23" spans="1:7" ht="15.75" customHeight="1" x14ac:dyDescent="0.15">
      <c r="A23" s="195" t="s">
        <v>174</v>
      </c>
      <c r="B23" s="324">
        <f t="shared" ref="B23:D23" si="0">B22/B21</f>
        <v>1.1538461538461537</v>
      </c>
      <c r="C23" s="325">
        <f t="shared" si="0"/>
        <v>1.5714285714285714</v>
      </c>
      <c r="D23" s="324">
        <f t="shared" si="0"/>
        <v>1.4285714285714286</v>
      </c>
      <c r="E23" s="29"/>
      <c r="G23" s="327"/>
    </row>
    <row r="24" spans="1:7" ht="15.75" customHeight="1" x14ac:dyDescent="0.15">
      <c r="A24" s="137"/>
      <c r="B24" s="32"/>
      <c r="C24" s="32"/>
      <c r="D24" s="32"/>
      <c r="E24" s="29"/>
      <c r="G24" s="327"/>
    </row>
    <row r="25" spans="1:7" ht="15.75" customHeight="1" x14ac:dyDescent="0.15">
      <c r="A25" s="137"/>
      <c r="B25" s="334" t="s">
        <v>175</v>
      </c>
      <c r="C25" s="133"/>
      <c r="D25" s="133"/>
      <c r="G25" s="327"/>
    </row>
    <row r="26" spans="1:7" ht="15.75" customHeight="1" x14ac:dyDescent="0.15">
      <c r="A26" s="137" t="s">
        <v>200</v>
      </c>
      <c r="B26" s="352">
        <f t="shared" ref="B26:D26" si="1">B19*B23</f>
        <v>2451.9230769230767</v>
      </c>
      <c r="C26" s="352">
        <f t="shared" si="1"/>
        <v>8088.1428571428569</v>
      </c>
      <c r="D26" s="352">
        <f t="shared" si="1"/>
        <v>1024.2857142857142</v>
      </c>
      <c r="G26" s="327"/>
    </row>
    <row r="27" spans="1:7" ht="15.75" customHeight="1" x14ac:dyDescent="0.15">
      <c r="A27" s="305"/>
      <c r="B27" s="367"/>
      <c r="C27" s="368"/>
      <c r="D27" s="368"/>
      <c r="E27" s="281" t="s">
        <v>214</v>
      </c>
      <c r="F27" s="281">
        <v>17</v>
      </c>
      <c r="G27" s="323"/>
    </row>
    <row r="29" spans="1:7" ht="27" customHeight="1" x14ac:dyDescent="0.15">
      <c r="A29" s="360" t="s">
        <v>177</v>
      </c>
      <c r="B29" s="361"/>
      <c r="C29" s="361"/>
      <c r="D29" s="361"/>
      <c r="E29" s="361"/>
      <c r="F29" s="361"/>
      <c r="G29" s="362"/>
    </row>
    <row r="30" spans="1:7" ht="15.75" customHeight="1" x14ac:dyDescent="0.15">
      <c r="A30" s="137"/>
      <c r="B30" s="135" t="str">
        <f t="shared" ref="B30:D30" si="2">B12</f>
        <v>Maize</v>
      </c>
      <c r="C30" s="135" t="str">
        <f t="shared" si="2"/>
        <v>Cassava</v>
      </c>
      <c r="D30" s="135" t="str">
        <f t="shared" si="2"/>
        <v>Groundnuts</v>
      </c>
      <c r="E30" s="138"/>
      <c r="G30" s="327"/>
    </row>
    <row r="31" spans="1:7" ht="15.75" customHeight="1" x14ac:dyDescent="0.15">
      <c r="A31" s="137" t="s">
        <v>178</v>
      </c>
      <c r="B31" s="143">
        <f>'Price margin inputs'!C18</f>
        <v>0.24299999999999999</v>
      </c>
      <c r="C31" s="143">
        <f>'Price margin inputs'!G18</f>
        <v>0.06</v>
      </c>
      <c r="D31" s="143">
        <f>'Price margin inputs'!L18</f>
        <v>0.41</v>
      </c>
      <c r="E31" s="138"/>
      <c r="G31" s="327"/>
    </row>
    <row r="32" spans="1:7" ht="15.75" customHeight="1" x14ac:dyDescent="0.15">
      <c r="A32" s="137" t="s">
        <v>179</v>
      </c>
      <c r="B32" s="143">
        <f>'Price margin inputs'!C19</f>
        <v>0.31590000000000001</v>
      </c>
      <c r="C32" s="143">
        <f>'Price margin inputs'!G19</f>
        <v>7.8E-2</v>
      </c>
      <c r="D32" s="143">
        <f>'Price margin inputs'!L19</f>
        <v>0.53300000000000003</v>
      </c>
      <c r="E32" s="138" t="s">
        <v>94</v>
      </c>
      <c r="G32" s="327"/>
    </row>
    <row r="33" spans="1:7" ht="15.75" customHeight="1" x14ac:dyDescent="0.15">
      <c r="A33" s="137" t="s">
        <v>180</v>
      </c>
      <c r="B33" s="165">
        <f t="shared" ref="B33:D33" si="3">B17*B19*B31</f>
        <v>516.375</v>
      </c>
      <c r="C33" s="165">
        <f t="shared" si="3"/>
        <v>308.82</v>
      </c>
      <c r="D33" s="165">
        <f t="shared" si="3"/>
        <v>293.96999999999997</v>
      </c>
      <c r="E33" s="138"/>
      <c r="G33" s="327"/>
    </row>
    <row r="34" spans="1:7" ht="15.75" customHeight="1" x14ac:dyDescent="0.15">
      <c r="A34" s="195" t="s">
        <v>181</v>
      </c>
      <c r="B34" s="165">
        <f t="shared" ref="B34:D34" si="4">B18*B26*B32</f>
        <v>1549.125</v>
      </c>
      <c r="C34" s="165">
        <f t="shared" si="4"/>
        <v>630.87514285714281</v>
      </c>
      <c r="D34" s="165">
        <f t="shared" si="4"/>
        <v>1091.8885714285714</v>
      </c>
      <c r="E34" s="138" t="s">
        <v>33</v>
      </c>
      <c r="G34" s="327"/>
    </row>
    <row r="35" spans="1:7" ht="15.75" customHeight="1" x14ac:dyDescent="0.15">
      <c r="A35" s="342" t="s">
        <v>182</v>
      </c>
      <c r="B35" s="343">
        <f t="shared" ref="B35:D35" si="5">(B34/B18)-B33</f>
        <v>258.1875</v>
      </c>
      <c r="C35" s="343">
        <f t="shared" si="5"/>
        <v>322.05514285714281</v>
      </c>
      <c r="D35" s="343">
        <f t="shared" si="5"/>
        <v>251.97428571428571</v>
      </c>
      <c r="E35" s="138"/>
      <c r="G35" s="327"/>
    </row>
    <row r="36" spans="1:7" ht="15.75" customHeight="1" x14ac:dyDescent="0.15">
      <c r="A36" s="328" t="s">
        <v>183</v>
      </c>
      <c r="B36" s="363">
        <f t="shared" ref="B36:D36" si="6">B34-B33</f>
        <v>1032.75</v>
      </c>
      <c r="C36" s="363">
        <f t="shared" si="6"/>
        <v>322.05514285714281</v>
      </c>
      <c r="D36" s="363">
        <f t="shared" si="6"/>
        <v>797.91857142857134</v>
      </c>
      <c r="E36" s="354"/>
      <c r="F36" s="305"/>
      <c r="G36" s="331"/>
    </row>
    <row r="38" spans="1:7" ht="30" customHeight="1" x14ac:dyDescent="0.15">
      <c r="A38" s="364" t="s">
        <v>215</v>
      </c>
      <c r="B38" s="361"/>
      <c r="C38" s="361"/>
      <c r="D38" s="361"/>
      <c r="E38" s="361"/>
      <c r="F38" s="361"/>
      <c r="G38" s="355"/>
    </row>
    <row r="39" spans="1:7" ht="15.75" customHeight="1" x14ac:dyDescent="0.15">
      <c r="A39" s="342" t="s">
        <v>204</v>
      </c>
      <c r="B39" s="156" t="str">
        <f t="shared" ref="B39:D39" si="7">B12</f>
        <v>Maize</v>
      </c>
      <c r="C39" s="156" t="str">
        <f t="shared" si="7"/>
        <v>Cassava</v>
      </c>
      <c r="D39" s="156" t="str">
        <f t="shared" si="7"/>
        <v>Groundnuts</v>
      </c>
      <c r="E39" s="156" t="str">
        <f>'Main inputs'!Q58</f>
        <v>Tomato</v>
      </c>
      <c r="G39" s="351"/>
    </row>
    <row r="40" spans="1:7" ht="15.75" customHeight="1" x14ac:dyDescent="0.15">
      <c r="A40" s="195" t="s">
        <v>185</v>
      </c>
      <c r="B40" s="356"/>
      <c r="C40" s="356"/>
      <c r="D40" s="356"/>
      <c r="E40" s="138">
        <f t="shared" ref="E40:E41" si="8">B47</f>
        <v>6500</v>
      </c>
      <c r="F40" s="192" t="s">
        <v>101</v>
      </c>
      <c r="G40" s="351"/>
    </row>
    <row r="41" spans="1:7" ht="15.75" customHeight="1" x14ac:dyDescent="0.15">
      <c r="A41" s="195" t="s">
        <v>187</v>
      </c>
      <c r="B41" s="348"/>
      <c r="C41" s="348"/>
      <c r="D41" s="348"/>
      <c r="E41" s="143">
        <f t="shared" si="8"/>
        <v>0.6</v>
      </c>
      <c r="F41" s="192" t="s">
        <v>94</v>
      </c>
      <c r="G41" s="351"/>
    </row>
    <row r="42" spans="1:7" ht="15.75" customHeight="1" x14ac:dyDescent="0.15">
      <c r="A42" s="365" t="s">
        <v>188</v>
      </c>
      <c r="B42" s="208">
        <f>$E$40*$E$41+B26*B32</f>
        <v>4674.5625</v>
      </c>
      <c r="C42" s="208">
        <f>C34</f>
        <v>630.87514285714281</v>
      </c>
      <c r="D42" s="208">
        <f>$E$40*$E$41+D26*D32</f>
        <v>4445.9442857142858</v>
      </c>
      <c r="F42" s="192" t="s">
        <v>33</v>
      </c>
      <c r="G42" s="351"/>
    </row>
    <row r="43" spans="1:7" ht="15.75" customHeight="1" x14ac:dyDescent="0.15">
      <c r="A43" s="366" t="s">
        <v>189</v>
      </c>
      <c r="B43" s="329">
        <f t="shared" ref="B43:D43" si="9">B42-B33</f>
        <v>4158.1875</v>
      </c>
      <c r="C43" s="329">
        <f t="shared" si="9"/>
        <v>322.05514285714281</v>
      </c>
      <c r="D43" s="329">
        <f t="shared" si="9"/>
        <v>4151.9742857142855</v>
      </c>
      <c r="E43" s="305"/>
      <c r="F43" s="330" t="s">
        <v>33</v>
      </c>
      <c r="G43" s="351"/>
    </row>
    <row r="45" spans="1:7" ht="28" customHeight="1" x14ac:dyDescent="0.15">
      <c r="A45" s="364" t="s">
        <v>216</v>
      </c>
      <c r="B45" s="361"/>
      <c r="C45" s="361"/>
      <c r="D45" s="362"/>
      <c r="E45" s="355"/>
      <c r="F45" s="349"/>
      <c r="G45" s="349"/>
    </row>
    <row r="46" spans="1:7" ht="15.75" customHeight="1" x14ac:dyDescent="0.15">
      <c r="A46" s="342" t="s">
        <v>206</v>
      </c>
      <c r="B46" s="342" t="str">
        <f>'Main inputs'!Q58</f>
        <v>Tomato</v>
      </c>
      <c r="E46" s="351"/>
      <c r="F46" s="195"/>
      <c r="G46" s="195"/>
    </row>
    <row r="47" spans="1:7" ht="13" x14ac:dyDescent="0.15">
      <c r="A47" s="195" t="s">
        <v>185</v>
      </c>
      <c r="B47" s="358">
        <f>MIN('Irrigation inputs&amp;calcs_NIG'!B45,'Irrigation inputs&amp;calcs_RWA'!B47,'Irrigation inputs&amp;calcs_ZIM'!B46)</f>
        <v>6500</v>
      </c>
      <c r="C47" s="332" t="s">
        <v>191</v>
      </c>
      <c r="D47" s="192" t="s">
        <v>101</v>
      </c>
      <c r="E47" s="351"/>
      <c r="F47" s="195"/>
      <c r="G47" s="195"/>
    </row>
    <row r="48" spans="1:7" ht="13" x14ac:dyDescent="0.15">
      <c r="A48" s="195" t="s">
        <v>187</v>
      </c>
      <c r="B48" s="326">
        <v>0.6</v>
      </c>
      <c r="C48" s="332" t="s">
        <v>191</v>
      </c>
      <c r="D48" s="192" t="s">
        <v>94</v>
      </c>
      <c r="E48" s="351"/>
      <c r="F48" s="195"/>
      <c r="G48" s="195"/>
    </row>
    <row r="49" spans="1:7" ht="13" x14ac:dyDescent="0.15">
      <c r="A49" s="195" t="s">
        <v>192</v>
      </c>
      <c r="B49" s="208">
        <f>B48*B47*B18</f>
        <v>7800</v>
      </c>
      <c r="D49" s="192" t="s">
        <v>33</v>
      </c>
      <c r="E49" s="351"/>
      <c r="F49" s="195"/>
      <c r="G49" s="195"/>
    </row>
    <row r="50" spans="1:7" ht="13" x14ac:dyDescent="0.15">
      <c r="A50" s="328" t="s">
        <v>193</v>
      </c>
      <c r="B50" s="329">
        <f>B49-B33</f>
        <v>7283.625</v>
      </c>
      <c r="C50" s="305"/>
      <c r="D50" s="330" t="s">
        <v>33</v>
      </c>
      <c r="E50" s="351"/>
      <c r="F50" s="195"/>
      <c r="G50" s="195"/>
    </row>
    <row r="52" spans="1:7" ht="13" x14ac:dyDescent="0.15">
      <c r="A52" s="137"/>
      <c r="B52" s="359"/>
    </row>
  </sheetData>
  <sheetProtection algorithmName="SHA-512" hashValue="SvsiartuuLiNAZ0M3JGk6rWA8KMW5Ti0r/WTvhCoWCtltO6si0rZqRVPA6VjDy7J1k2vqjnOtVAORhbyCzXzGg==" saltValue="x1yWA0xS4mpMfvQz1kY10A==" spinCount="100000" sheet="1" objects="1" scenarios="1"/>
  <mergeCells count="9">
    <mergeCell ref="A38:F38"/>
    <mergeCell ref="A45:D45"/>
    <mergeCell ref="A1:G1"/>
    <mergeCell ref="B6:C6"/>
    <mergeCell ref="D6:D9"/>
    <mergeCell ref="A11:G11"/>
    <mergeCell ref="B14:D14"/>
    <mergeCell ref="B25:D25"/>
    <mergeCell ref="A29:G29"/>
  </mergeCells>
  <hyperlinks>
    <hyperlink ref="D6" r:id="rId1" xr:uid="{00000000-0004-0000-0600-000000000000}"/>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53"/>
  <sheetViews>
    <sheetView workbookViewId="0">
      <selection activeCell="K34" sqref="K34"/>
    </sheetView>
  </sheetViews>
  <sheetFormatPr baseColWidth="10" defaultColWidth="12.6640625" defaultRowHeight="15.75" customHeight="1" x14ac:dyDescent="0.15"/>
  <cols>
    <col min="1" max="1" width="53.1640625" style="134" customWidth="1"/>
    <col min="2" max="16384" width="12.6640625" style="134"/>
  </cols>
  <sheetData>
    <row r="1" spans="1:7" ht="15.75" customHeight="1" x14ac:dyDescent="0.15">
      <c r="A1" s="337" t="s">
        <v>148</v>
      </c>
      <c r="B1" s="133"/>
      <c r="C1" s="133"/>
      <c r="D1" s="133"/>
      <c r="E1" s="133"/>
      <c r="F1" s="133"/>
      <c r="G1" s="338"/>
    </row>
    <row r="2" spans="1:7" ht="15.75" customHeight="1" x14ac:dyDescent="0.15">
      <c r="A2" s="299" t="s">
        <v>149</v>
      </c>
      <c r="B2" s="299" t="s">
        <v>9</v>
      </c>
      <c r="D2" s="299" t="s">
        <v>150</v>
      </c>
      <c r="E2" s="299" t="s">
        <v>151</v>
      </c>
      <c r="G2" s="327"/>
    </row>
    <row r="3" spans="1:7" ht="15.75" customHeight="1" x14ac:dyDescent="0.15">
      <c r="A3" s="51" t="s">
        <v>152</v>
      </c>
      <c r="B3" s="51" t="s">
        <v>153</v>
      </c>
      <c r="C3" s="51">
        <v>4</v>
      </c>
      <c r="D3" s="51"/>
      <c r="E3" s="29"/>
      <c r="F3" s="29"/>
      <c r="G3" s="319"/>
    </row>
    <row r="4" spans="1:7" ht="15.75" customHeight="1" x14ac:dyDescent="0.15">
      <c r="A4" s="51" t="s">
        <v>210</v>
      </c>
      <c r="B4" s="51" t="s">
        <v>153</v>
      </c>
      <c r="C4" s="51">
        <v>4</v>
      </c>
      <c r="D4" s="51"/>
      <c r="E4" s="29"/>
      <c r="F4" s="29"/>
      <c r="G4" s="319"/>
    </row>
    <row r="5" spans="1:7" ht="15.75" customHeight="1" x14ac:dyDescent="0.15">
      <c r="A5" s="51" t="s">
        <v>217</v>
      </c>
      <c r="B5" s="51" t="s">
        <v>153</v>
      </c>
      <c r="C5" s="51">
        <v>4</v>
      </c>
      <c r="D5" s="51"/>
      <c r="E5" s="29"/>
      <c r="F5" s="29"/>
      <c r="G5" s="319"/>
    </row>
    <row r="6" spans="1:7" ht="15.75" customHeight="1" x14ac:dyDescent="0.15">
      <c r="A6" s="51" t="s">
        <v>157</v>
      </c>
      <c r="B6" s="320" t="s">
        <v>218</v>
      </c>
      <c r="C6" s="108"/>
      <c r="D6" s="350" t="s">
        <v>219</v>
      </c>
      <c r="E6" s="29"/>
      <c r="F6" s="29"/>
      <c r="G6" s="319"/>
    </row>
    <row r="7" spans="1:7" ht="15.75" customHeight="1" x14ac:dyDescent="0.15">
      <c r="A7" s="51" t="s">
        <v>197</v>
      </c>
      <c r="B7" s="51" t="s">
        <v>39</v>
      </c>
      <c r="C7" s="51">
        <f>'Main inputs'!C100</f>
        <v>0.66</v>
      </c>
      <c r="D7" s="108"/>
      <c r="E7" s="29"/>
      <c r="F7" s="29"/>
      <c r="G7" s="319"/>
    </row>
    <row r="8" spans="1:7" ht="15.75" customHeight="1" x14ac:dyDescent="0.15">
      <c r="A8" s="51" t="s">
        <v>161</v>
      </c>
      <c r="B8" s="51" t="s">
        <v>153</v>
      </c>
      <c r="C8" s="51">
        <v>4</v>
      </c>
      <c r="D8" s="108"/>
      <c r="E8" s="29"/>
      <c r="F8" s="29"/>
      <c r="G8" s="319"/>
    </row>
    <row r="9" spans="1:7" ht="15.75" customHeight="1" x14ac:dyDescent="0.15">
      <c r="A9" s="281" t="s">
        <v>162</v>
      </c>
      <c r="B9" s="281" t="s">
        <v>163</v>
      </c>
      <c r="C9" s="281">
        <v>47</v>
      </c>
      <c r="D9" s="322"/>
      <c r="E9" s="281"/>
      <c r="F9" s="281"/>
      <c r="G9" s="323"/>
    </row>
    <row r="11" spans="1:7" ht="15.75" customHeight="1" x14ac:dyDescent="0.15">
      <c r="A11" s="337" t="s">
        <v>220</v>
      </c>
      <c r="B11" s="133"/>
      <c r="C11" s="133"/>
      <c r="D11" s="133"/>
      <c r="E11" s="133"/>
      <c r="F11" s="338"/>
    </row>
    <row r="12" spans="1:7" ht="15.75" customHeight="1" x14ac:dyDescent="0.15">
      <c r="B12" s="135" t="str">
        <f>'Main inputs'!C86</f>
        <v>Maize</v>
      </c>
      <c r="C12" s="135" t="str">
        <f>'Main inputs'!G86</f>
        <v>Groundnuts</v>
      </c>
      <c r="D12" s="135" t="str">
        <f>'Main inputs'!L86</f>
        <v>Sorghum</v>
      </c>
      <c r="F12" s="327"/>
    </row>
    <row r="13" spans="1:7" ht="15.75" customHeight="1" x14ac:dyDescent="0.15">
      <c r="A13" s="137" t="s">
        <v>165</v>
      </c>
      <c r="B13" s="138">
        <f>'Main inputs'!C89</f>
        <v>6</v>
      </c>
      <c r="C13" s="138">
        <f>'Main inputs'!G89</f>
        <v>6</v>
      </c>
      <c r="D13" s="138">
        <f>'Main inputs'!L89</f>
        <v>6</v>
      </c>
      <c r="F13" s="327"/>
    </row>
    <row r="14" spans="1:7" ht="15.75" customHeight="1" x14ac:dyDescent="0.15">
      <c r="A14" s="137"/>
      <c r="B14" s="334" t="s">
        <v>166</v>
      </c>
      <c r="C14" s="133"/>
      <c r="D14" s="133"/>
      <c r="F14" s="327"/>
    </row>
    <row r="15" spans="1:7" ht="15.75" customHeight="1" x14ac:dyDescent="0.15">
      <c r="A15" s="137" t="s">
        <v>167</v>
      </c>
      <c r="B15" s="50">
        <v>8</v>
      </c>
      <c r="C15" s="50">
        <v>10</v>
      </c>
      <c r="D15" s="50">
        <v>8</v>
      </c>
      <c r="E15" s="29"/>
      <c r="F15" s="319"/>
    </row>
    <row r="16" spans="1:7" ht="15.75" customHeight="1" x14ac:dyDescent="0.15">
      <c r="A16" s="137" t="s">
        <v>168</v>
      </c>
      <c r="B16" s="50">
        <v>7</v>
      </c>
      <c r="C16" s="50">
        <v>8</v>
      </c>
      <c r="D16" s="50">
        <v>7</v>
      </c>
      <c r="E16" s="51" t="s">
        <v>221</v>
      </c>
      <c r="F16" s="319"/>
    </row>
    <row r="17" spans="1:6" ht="15.75" customHeight="1" x14ac:dyDescent="0.15">
      <c r="A17" s="137" t="s">
        <v>169</v>
      </c>
      <c r="B17" s="50">
        <v>1</v>
      </c>
      <c r="C17" s="50">
        <v>1</v>
      </c>
      <c r="D17" s="50">
        <v>1</v>
      </c>
      <c r="E17" s="29"/>
      <c r="F17" s="319"/>
    </row>
    <row r="18" spans="1:6" ht="15.75" customHeight="1" x14ac:dyDescent="0.15">
      <c r="A18" s="137" t="s">
        <v>170</v>
      </c>
      <c r="B18" s="50">
        <v>2</v>
      </c>
      <c r="C18" s="50">
        <v>2</v>
      </c>
      <c r="D18" s="50">
        <v>2</v>
      </c>
      <c r="E18" s="51"/>
      <c r="F18" s="319"/>
    </row>
    <row r="19" spans="1:6" ht="15.75" customHeight="1" x14ac:dyDescent="0.15">
      <c r="A19" s="137" t="s">
        <v>171</v>
      </c>
      <c r="B19" s="50">
        <v>411</v>
      </c>
      <c r="C19" s="50">
        <v>263</v>
      </c>
      <c r="D19" s="50">
        <v>486</v>
      </c>
      <c r="E19" s="51" t="s">
        <v>199</v>
      </c>
      <c r="F19" s="319"/>
    </row>
    <row r="20" spans="1:6" ht="15.75" customHeight="1" x14ac:dyDescent="0.15">
      <c r="A20" s="137"/>
      <c r="B20" s="32"/>
      <c r="C20" s="32"/>
      <c r="D20" s="32"/>
      <c r="E20" s="29"/>
      <c r="F20" s="319"/>
    </row>
    <row r="21" spans="1:6" ht="15.75" customHeight="1" x14ac:dyDescent="0.15">
      <c r="A21" s="137" t="s">
        <v>172</v>
      </c>
      <c r="B21" s="50">
        <v>5.2</v>
      </c>
      <c r="C21" s="50">
        <v>2.8</v>
      </c>
      <c r="D21" s="50">
        <v>1.2</v>
      </c>
      <c r="E21" s="29"/>
      <c r="F21" s="319"/>
    </row>
    <row r="22" spans="1:6" ht="15.75" customHeight="1" x14ac:dyDescent="0.15">
      <c r="A22" s="137" t="s">
        <v>173</v>
      </c>
      <c r="B22" s="50">
        <v>6</v>
      </c>
      <c r="C22" s="50">
        <v>4</v>
      </c>
      <c r="D22" s="229">
        <f>D21*(B22/B21)</f>
        <v>1.3846153846153844</v>
      </c>
      <c r="E22" s="29"/>
      <c r="F22" s="319"/>
    </row>
    <row r="23" spans="1:6" ht="15.75" customHeight="1" x14ac:dyDescent="0.15">
      <c r="A23" s="195" t="s">
        <v>174</v>
      </c>
      <c r="B23" s="324">
        <f t="shared" ref="B23:D23" si="0">B22/B21</f>
        <v>1.1538461538461537</v>
      </c>
      <c r="C23" s="324">
        <f t="shared" si="0"/>
        <v>1.4285714285714286</v>
      </c>
      <c r="D23" s="32">
        <f t="shared" si="0"/>
        <v>1.1538461538461537</v>
      </c>
      <c r="E23" s="29"/>
      <c r="F23" s="319"/>
    </row>
    <row r="24" spans="1:6" ht="15.75" customHeight="1" x14ac:dyDescent="0.15">
      <c r="A24" s="137"/>
      <c r="B24" s="192"/>
      <c r="C24" s="192"/>
      <c r="D24" s="192"/>
      <c r="F24" s="327"/>
    </row>
    <row r="25" spans="1:6" ht="15.75" customHeight="1" x14ac:dyDescent="0.15">
      <c r="A25" s="137"/>
      <c r="B25" s="334" t="s">
        <v>175</v>
      </c>
      <c r="C25" s="133"/>
      <c r="D25" s="133"/>
      <c r="F25" s="327"/>
    </row>
    <row r="26" spans="1:6" ht="15.75" customHeight="1" x14ac:dyDescent="0.15">
      <c r="A26" s="305" t="s">
        <v>200</v>
      </c>
      <c r="B26" s="369">
        <f t="shared" ref="B26:D26" si="1">B19*B23</f>
        <v>474.23076923076917</v>
      </c>
      <c r="C26" s="369">
        <f t="shared" si="1"/>
        <v>375.71428571428572</v>
      </c>
      <c r="D26" s="369">
        <f t="shared" si="1"/>
        <v>560.76923076923072</v>
      </c>
      <c r="E26" s="305"/>
      <c r="F26" s="331"/>
    </row>
    <row r="27" spans="1:6" ht="15.75" customHeight="1" x14ac:dyDescent="0.15">
      <c r="B27" s="138"/>
    </row>
    <row r="28" spans="1:6" ht="27" customHeight="1" x14ac:dyDescent="0.15">
      <c r="A28" s="364" t="s">
        <v>222</v>
      </c>
      <c r="B28" s="361"/>
      <c r="C28" s="361"/>
      <c r="D28" s="361"/>
      <c r="E28" s="361"/>
      <c r="F28" s="362"/>
    </row>
    <row r="29" spans="1:6" ht="15.75" customHeight="1" x14ac:dyDescent="0.15">
      <c r="A29" s="195"/>
      <c r="B29" s="156" t="str">
        <f t="shared" ref="B29:D29" si="2">B12</f>
        <v>Maize</v>
      </c>
      <c r="C29" s="156" t="str">
        <f t="shared" si="2"/>
        <v>Groundnuts</v>
      </c>
      <c r="D29" s="156" t="str">
        <f t="shared" si="2"/>
        <v>Sorghum</v>
      </c>
      <c r="E29" s="192"/>
      <c r="F29" s="327"/>
    </row>
    <row r="30" spans="1:6" ht="15.75" customHeight="1" x14ac:dyDescent="0.15">
      <c r="A30" s="195" t="s">
        <v>178</v>
      </c>
      <c r="B30" s="341">
        <f>'Price margin inputs'!C24</f>
        <v>0.29099999999999998</v>
      </c>
      <c r="C30" s="341">
        <f>'Price margin inputs'!G24</f>
        <v>0.23</v>
      </c>
      <c r="D30" s="341">
        <f>'Price margin inputs'!L24</f>
        <v>0.19</v>
      </c>
      <c r="E30" s="192"/>
      <c r="F30" s="327"/>
    </row>
    <row r="31" spans="1:6" ht="15.75" customHeight="1" x14ac:dyDescent="0.15">
      <c r="A31" s="195" t="s">
        <v>179</v>
      </c>
      <c r="B31" s="341">
        <f>'Price margin inputs'!C25</f>
        <v>0.37829999999999997</v>
      </c>
      <c r="C31" s="341">
        <f>'Price margin inputs'!G25</f>
        <v>0.29900000000000004</v>
      </c>
      <c r="D31" s="341">
        <f>'Price margin inputs'!L25</f>
        <v>0.24700000000000003</v>
      </c>
      <c r="E31" s="192" t="s">
        <v>94</v>
      </c>
      <c r="F31" s="327"/>
    </row>
    <row r="32" spans="1:6" ht="15.75" customHeight="1" x14ac:dyDescent="0.15">
      <c r="A32" s="195" t="s">
        <v>180</v>
      </c>
      <c r="B32" s="208">
        <f t="shared" ref="B32:D32" si="3">B17*B19*B30</f>
        <v>119.601</v>
      </c>
      <c r="C32" s="208">
        <f t="shared" si="3"/>
        <v>60.49</v>
      </c>
      <c r="D32" s="208">
        <f t="shared" si="3"/>
        <v>92.34</v>
      </c>
      <c r="E32" s="192"/>
      <c r="F32" s="327"/>
    </row>
    <row r="33" spans="1:7" ht="15.75" customHeight="1" x14ac:dyDescent="0.15">
      <c r="A33" s="365" t="s">
        <v>181</v>
      </c>
      <c r="B33" s="208">
        <f t="shared" ref="B33:D33" si="4">B18*B26*B31</f>
        <v>358.80299999999994</v>
      </c>
      <c r="C33" s="208">
        <f t="shared" si="4"/>
        <v>224.67714285714288</v>
      </c>
      <c r="D33" s="208">
        <f t="shared" si="4"/>
        <v>277.02</v>
      </c>
      <c r="E33" s="192" t="s">
        <v>33</v>
      </c>
      <c r="F33" s="327"/>
    </row>
    <row r="34" spans="1:7" ht="15.75" customHeight="1" x14ac:dyDescent="0.15">
      <c r="A34" s="342" t="s">
        <v>182</v>
      </c>
      <c r="B34" s="370">
        <f t="shared" ref="B34:D34" si="5">(B33/B18)-B32</f>
        <v>59.800499999999971</v>
      </c>
      <c r="C34" s="370">
        <f t="shared" si="5"/>
        <v>51.848571428571439</v>
      </c>
      <c r="D34" s="370">
        <f t="shared" si="5"/>
        <v>46.169999999999987</v>
      </c>
      <c r="E34" s="192"/>
      <c r="F34" s="327"/>
    </row>
    <row r="35" spans="1:7" ht="15.75" customHeight="1" x14ac:dyDescent="0.15">
      <c r="A35" s="366" t="s">
        <v>183</v>
      </c>
      <c r="B35" s="329">
        <f t="shared" ref="B35:D35" si="6">B33-B32</f>
        <v>239.20199999999994</v>
      </c>
      <c r="C35" s="329">
        <f t="shared" si="6"/>
        <v>164.18714285714287</v>
      </c>
      <c r="D35" s="329">
        <f t="shared" si="6"/>
        <v>184.67999999999998</v>
      </c>
      <c r="E35" s="330"/>
      <c r="F35" s="331"/>
    </row>
    <row r="37" spans="1:7" ht="31" customHeight="1" x14ac:dyDescent="0.15">
      <c r="A37" s="364" t="s">
        <v>223</v>
      </c>
      <c r="B37" s="361"/>
      <c r="C37" s="361"/>
      <c r="D37" s="361"/>
      <c r="E37" s="361"/>
      <c r="F37" s="362"/>
    </row>
    <row r="38" spans="1:7" ht="15.75" customHeight="1" x14ac:dyDescent="0.15">
      <c r="A38" s="342" t="s">
        <v>204</v>
      </c>
      <c r="B38" s="156" t="str">
        <f t="shared" ref="B38:D38" si="7">B12</f>
        <v>Maize</v>
      </c>
      <c r="C38" s="156" t="str">
        <f t="shared" si="7"/>
        <v>Groundnuts</v>
      </c>
      <c r="D38" s="156" t="str">
        <f t="shared" si="7"/>
        <v>Sorghum</v>
      </c>
      <c r="E38" s="342" t="str">
        <f>'Main inputs'!P86</f>
        <v>Tomato</v>
      </c>
      <c r="F38" s="371"/>
    </row>
    <row r="39" spans="1:7" ht="15.75" customHeight="1" x14ac:dyDescent="0.15">
      <c r="A39" s="195" t="s">
        <v>185</v>
      </c>
      <c r="B39" s="356"/>
      <c r="C39" s="356"/>
      <c r="D39" s="356"/>
      <c r="E39" s="138">
        <f t="shared" ref="E39:E40" si="8">B46</f>
        <v>6500</v>
      </c>
      <c r="F39" s="192" t="s">
        <v>101</v>
      </c>
      <c r="G39" s="351"/>
    </row>
    <row r="40" spans="1:7" ht="15.75" customHeight="1" x14ac:dyDescent="0.15">
      <c r="A40" s="195" t="s">
        <v>187</v>
      </c>
      <c r="B40" s="348"/>
      <c r="C40" s="348"/>
      <c r="D40" s="348"/>
      <c r="E40" s="143">
        <f t="shared" si="8"/>
        <v>0.4</v>
      </c>
      <c r="F40" s="192" t="s">
        <v>94</v>
      </c>
      <c r="G40" s="351"/>
    </row>
    <row r="41" spans="1:7" ht="15.75" customHeight="1" x14ac:dyDescent="0.15">
      <c r="A41" s="195" t="s">
        <v>192</v>
      </c>
      <c r="B41" s="208">
        <f t="shared" ref="B41:D41" si="9">$E$39*$E$40+B26*B31</f>
        <v>2779.4014999999999</v>
      </c>
      <c r="C41" s="208">
        <f t="shared" si="9"/>
        <v>2712.3385714285714</v>
      </c>
      <c r="D41" s="208">
        <f t="shared" si="9"/>
        <v>2738.51</v>
      </c>
      <c r="F41" s="192" t="s">
        <v>33</v>
      </c>
      <c r="G41" s="351"/>
    </row>
    <row r="42" spans="1:7" ht="15.75" customHeight="1" x14ac:dyDescent="0.15">
      <c r="A42" s="328" t="s">
        <v>193</v>
      </c>
      <c r="B42" s="329">
        <f t="shared" ref="B42:D42" si="10">B41-B32</f>
        <v>2659.8004999999998</v>
      </c>
      <c r="C42" s="329">
        <f t="shared" si="10"/>
        <v>2651.8485714285716</v>
      </c>
      <c r="D42" s="329">
        <f t="shared" si="10"/>
        <v>2646.17</v>
      </c>
      <c r="E42" s="305"/>
      <c r="F42" s="330" t="s">
        <v>33</v>
      </c>
      <c r="G42" s="351"/>
    </row>
    <row r="44" spans="1:7" ht="28" customHeight="1" x14ac:dyDescent="0.15">
      <c r="A44" s="364" t="s">
        <v>224</v>
      </c>
      <c r="B44" s="361"/>
      <c r="C44" s="361"/>
      <c r="D44" s="361"/>
      <c r="E44" s="361"/>
      <c r="F44" s="362"/>
    </row>
    <row r="45" spans="1:7" ht="15.75" customHeight="1" x14ac:dyDescent="0.15">
      <c r="A45" s="342" t="s">
        <v>206</v>
      </c>
      <c r="B45" s="342" t="str">
        <f>'Main inputs'!P86</f>
        <v>Tomato</v>
      </c>
      <c r="F45" s="327"/>
    </row>
    <row r="46" spans="1:7" ht="15.75" customHeight="1" x14ac:dyDescent="0.15">
      <c r="A46" s="195" t="s">
        <v>185</v>
      </c>
      <c r="B46" s="32">
        <f>6.5*1000</f>
        <v>6500</v>
      </c>
      <c r="C46" s="332" t="s">
        <v>191</v>
      </c>
      <c r="D46" s="192" t="s">
        <v>101</v>
      </c>
      <c r="F46" s="327"/>
    </row>
    <row r="47" spans="1:7" ht="13" x14ac:dyDescent="0.15">
      <c r="A47" s="195" t="s">
        <v>187</v>
      </c>
      <c r="B47" s="326">
        <v>0.4</v>
      </c>
      <c r="C47" s="332" t="s">
        <v>191</v>
      </c>
      <c r="D47" s="192" t="s">
        <v>94</v>
      </c>
      <c r="F47" s="327"/>
    </row>
    <row r="48" spans="1:7" ht="13" x14ac:dyDescent="0.15">
      <c r="A48" s="195" t="s">
        <v>192</v>
      </c>
      <c r="B48" s="208">
        <f>B47*B46*B18</f>
        <v>5200</v>
      </c>
      <c r="D48" s="192" t="s">
        <v>33</v>
      </c>
      <c r="F48" s="327"/>
    </row>
    <row r="49" spans="1:6" ht="13" x14ac:dyDescent="0.15">
      <c r="A49" s="328" t="s">
        <v>193</v>
      </c>
      <c r="B49" s="329">
        <f>B48-B32</f>
        <v>5080.3990000000003</v>
      </c>
      <c r="C49" s="305"/>
      <c r="D49" s="330" t="s">
        <v>33</v>
      </c>
      <c r="E49" s="305"/>
      <c r="F49" s="331"/>
    </row>
    <row r="53" spans="1:6" ht="13" x14ac:dyDescent="0.15">
      <c r="C53" s="138"/>
    </row>
  </sheetData>
  <sheetProtection algorithmName="SHA-512" hashValue="VNn+Lxo7rnG35PIHqr/dNnCB7CljCvPr7nhVcKi2ExVxsvxwJtril3iv2LEXftLZ9CFRWfAt0ElsAFX9lmGaoQ==" saltValue="pskZHyQLOBfv4oOKRn7Y/Q==" spinCount="100000" sheet="1" objects="1" scenarios="1"/>
  <mergeCells count="9">
    <mergeCell ref="A37:F37"/>
    <mergeCell ref="A44:F44"/>
    <mergeCell ref="A1:G1"/>
    <mergeCell ref="B6:C6"/>
    <mergeCell ref="D6:D9"/>
    <mergeCell ref="A11:F11"/>
    <mergeCell ref="B14:D14"/>
    <mergeCell ref="B25:D25"/>
    <mergeCell ref="A28:F28"/>
  </mergeCells>
  <hyperlinks>
    <hyperlink ref="D6" r:id="rId1" xr:uid="{00000000-0004-0000-0700-000000000000}"/>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W57"/>
  <sheetViews>
    <sheetView workbookViewId="0">
      <selection activeCell="D21" sqref="D21"/>
    </sheetView>
  </sheetViews>
  <sheetFormatPr baseColWidth="10" defaultColWidth="12.6640625" defaultRowHeight="15.75" customHeight="1" x14ac:dyDescent="0.15"/>
  <cols>
    <col min="2" max="2" width="14.5" customWidth="1"/>
    <col min="3" max="3" width="11.83203125" customWidth="1"/>
    <col min="4" max="9" width="14.6640625" customWidth="1"/>
  </cols>
  <sheetData>
    <row r="1" spans="1:23" ht="15.75" customHeight="1" x14ac:dyDescent="0.15">
      <c r="A1" s="131" t="s">
        <v>225</v>
      </c>
      <c r="B1" s="106"/>
      <c r="C1" s="106"/>
      <c r="D1" s="106"/>
      <c r="E1" s="106"/>
      <c r="G1" s="131" t="s">
        <v>226</v>
      </c>
      <c r="H1" s="106"/>
      <c r="I1" s="106"/>
      <c r="J1" s="106"/>
      <c r="K1" s="106"/>
      <c r="M1" s="131" t="s">
        <v>227</v>
      </c>
      <c r="N1" s="106"/>
      <c r="O1" s="106"/>
      <c r="P1" s="106"/>
      <c r="Q1" s="106"/>
      <c r="S1" s="131" t="s">
        <v>228</v>
      </c>
      <c r="T1" s="106"/>
      <c r="U1" s="106"/>
      <c r="V1" s="106"/>
      <c r="W1" s="106"/>
    </row>
    <row r="2" spans="1:23" ht="15.75" customHeight="1" x14ac:dyDescent="0.15">
      <c r="G2" s="2" t="s">
        <v>229</v>
      </c>
      <c r="M2" s="22" t="s">
        <v>230</v>
      </c>
      <c r="N2" s="23"/>
      <c r="O2" s="23"/>
      <c r="P2" s="23"/>
      <c r="Q2" s="23"/>
      <c r="S2" s="2" t="s">
        <v>231</v>
      </c>
      <c r="T2" s="21" t="s">
        <v>232</v>
      </c>
    </row>
    <row r="3" spans="1:23" ht="15.75" customHeight="1" x14ac:dyDescent="0.15">
      <c r="A3" s="2" t="s">
        <v>233</v>
      </c>
      <c r="G3" s="21" t="s">
        <v>234</v>
      </c>
      <c r="M3" s="24" t="s">
        <v>235</v>
      </c>
      <c r="N3" s="23"/>
      <c r="O3" s="23"/>
      <c r="P3" s="23"/>
      <c r="Q3" s="23"/>
    </row>
    <row r="4" spans="1:23" ht="15.75" customHeight="1" x14ac:dyDescent="0.15">
      <c r="A4" s="21" t="s">
        <v>236</v>
      </c>
      <c r="G4" s="21" t="s">
        <v>237</v>
      </c>
      <c r="M4" s="23"/>
      <c r="N4" s="23"/>
      <c r="O4" s="23"/>
      <c r="P4" s="23"/>
      <c r="Q4" s="23"/>
      <c r="S4" s="2" t="s">
        <v>238</v>
      </c>
    </row>
    <row r="5" spans="1:23" ht="15.75" customHeight="1" x14ac:dyDescent="0.15">
      <c r="G5" s="2" t="s">
        <v>239</v>
      </c>
      <c r="M5" s="22" t="s">
        <v>238</v>
      </c>
      <c r="N5" s="23"/>
      <c r="O5" s="23"/>
      <c r="P5" s="23"/>
      <c r="Q5" s="23"/>
    </row>
    <row r="6" spans="1:23" ht="15.75" customHeight="1" x14ac:dyDescent="0.15">
      <c r="A6" s="2" t="s">
        <v>240</v>
      </c>
      <c r="G6" s="21" t="s">
        <v>241</v>
      </c>
      <c r="M6" s="23"/>
      <c r="N6" s="23"/>
      <c r="O6" s="23"/>
      <c r="P6" s="23"/>
      <c r="Q6" s="23"/>
      <c r="S6" s="2" t="s">
        <v>242</v>
      </c>
    </row>
    <row r="7" spans="1:23" ht="15.75" customHeight="1" x14ac:dyDescent="0.15">
      <c r="A7" s="21" t="s">
        <v>243</v>
      </c>
      <c r="M7" s="22" t="s">
        <v>244</v>
      </c>
      <c r="N7" s="23"/>
      <c r="O7" s="23"/>
      <c r="P7" s="23"/>
      <c r="Q7" s="23"/>
      <c r="S7" s="2" t="s">
        <v>245</v>
      </c>
      <c r="T7" s="21" t="s">
        <v>246</v>
      </c>
    </row>
    <row r="8" spans="1:23" ht="15.75" customHeight="1" x14ac:dyDescent="0.15">
      <c r="A8" s="21" t="s">
        <v>247</v>
      </c>
      <c r="G8" s="2" t="s">
        <v>248</v>
      </c>
      <c r="M8" s="22" t="s">
        <v>249</v>
      </c>
      <c r="N8" s="24" t="s">
        <v>250</v>
      </c>
      <c r="O8" s="23"/>
      <c r="P8" s="23"/>
      <c r="Q8" s="23"/>
      <c r="S8" s="2" t="s">
        <v>251</v>
      </c>
      <c r="T8" s="21" t="s">
        <v>252</v>
      </c>
    </row>
    <row r="9" spans="1:23" ht="15.75" customHeight="1" x14ac:dyDescent="0.15">
      <c r="A9" s="21" t="s">
        <v>253</v>
      </c>
      <c r="G9" s="2" t="s">
        <v>254</v>
      </c>
      <c r="M9" s="22" t="s">
        <v>255</v>
      </c>
      <c r="N9" s="24" t="s">
        <v>256</v>
      </c>
      <c r="O9" s="23"/>
      <c r="P9" s="23"/>
      <c r="Q9" s="23"/>
      <c r="S9" s="2" t="s">
        <v>257</v>
      </c>
    </row>
    <row r="10" spans="1:23" ht="15.75" customHeight="1" x14ac:dyDescent="0.15">
      <c r="A10" s="2" t="s">
        <v>258</v>
      </c>
      <c r="G10" s="2" t="s">
        <v>259</v>
      </c>
      <c r="M10" s="22" t="s">
        <v>251</v>
      </c>
      <c r="N10" s="24" t="s">
        <v>260</v>
      </c>
      <c r="O10" s="23"/>
      <c r="P10" s="22" t="s">
        <v>261</v>
      </c>
      <c r="Q10" s="23"/>
    </row>
    <row r="11" spans="1:23" ht="15.75" customHeight="1" x14ac:dyDescent="0.15">
      <c r="A11" s="25" t="s">
        <v>262</v>
      </c>
      <c r="G11" s="2" t="s">
        <v>263</v>
      </c>
      <c r="M11" s="22" t="s">
        <v>264</v>
      </c>
      <c r="N11" s="24" t="s">
        <v>265</v>
      </c>
      <c r="O11" s="23"/>
      <c r="P11" s="23"/>
      <c r="Q11" s="23"/>
      <c r="S11" s="2" t="s">
        <v>266</v>
      </c>
    </row>
    <row r="12" spans="1:23" ht="15.75" customHeight="1" x14ac:dyDescent="0.15">
      <c r="M12" s="22" t="s">
        <v>267</v>
      </c>
      <c r="N12" s="24" t="s">
        <v>268</v>
      </c>
      <c r="O12" s="23"/>
      <c r="P12" s="23"/>
      <c r="Q12" s="23"/>
      <c r="S12" s="2" t="s">
        <v>251</v>
      </c>
      <c r="T12" s="21" t="s">
        <v>269</v>
      </c>
    </row>
    <row r="13" spans="1:23" ht="15.75" customHeight="1" x14ac:dyDescent="0.15">
      <c r="A13" s="2" t="s">
        <v>270</v>
      </c>
      <c r="G13" s="2" t="s">
        <v>238</v>
      </c>
      <c r="M13" s="22" t="s">
        <v>271</v>
      </c>
      <c r="N13" s="24" t="s">
        <v>272</v>
      </c>
      <c r="O13" s="23"/>
      <c r="P13" s="23"/>
      <c r="Q13" s="23"/>
      <c r="S13" s="2" t="s">
        <v>273</v>
      </c>
      <c r="T13" s="21" t="s">
        <v>274</v>
      </c>
    </row>
    <row r="14" spans="1:23" ht="15.75" customHeight="1" x14ac:dyDescent="0.15">
      <c r="A14" s="21" t="s">
        <v>275</v>
      </c>
      <c r="G14" s="10"/>
      <c r="M14" s="22" t="s">
        <v>276</v>
      </c>
      <c r="N14" s="24" t="s">
        <v>277</v>
      </c>
      <c r="O14" s="23"/>
      <c r="P14" s="23"/>
      <c r="Q14" s="23"/>
      <c r="S14" s="2" t="s">
        <v>278</v>
      </c>
      <c r="T14" s="21" t="s">
        <v>279</v>
      </c>
    </row>
    <row r="15" spans="1:23" ht="15.75" customHeight="1" x14ac:dyDescent="0.15">
      <c r="A15" s="10"/>
      <c r="G15" s="10" t="s">
        <v>280</v>
      </c>
      <c r="M15" s="22" t="s">
        <v>281</v>
      </c>
      <c r="N15" s="24" t="s">
        <v>282</v>
      </c>
      <c r="O15" s="23"/>
      <c r="P15" s="22" t="s">
        <v>283</v>
      </c>
      <c r="Q15" s="23"/>
      <c r="S15" s="2" t="s">
        <v>284</v>
      </c>
      <c r="T15" s="21" t="s">
        <v>285</v>
      </c>
    </row>
    <row r="16" spans="1:23" ht="15.75" customHeight="1" x14ac:dyDescent="0.15">
      <c r="A16" s="10" t="s">
        <v>286</v>
      </c>
      <c r="G16" s="10" t="s">
        <v>287</v>
      </c>
      <c r="M16" s="22" t="s">
        <v>288</v>
      </c>
      <c r="N16" s="24" t="s">
        <v>289</v>
      </c>
      <c r="O16" s="23"/>
      <c r="P16" s="23"/>
      <c r="Q16" s="23"/>
    </row>
    <row r="17" spans="1:20" ht="15.75" customHeight="1" x14ac:dyDescent="0.15">
      <c r="A17" s="26" t="s">
        <v>290</v>
      </c>
      <c r="G17" s="2" t="s">
        <v>291</v>
      </c>
      <c r="M17" s="22" t="s">
        <v>292</v>
      </c>
      <c r="N17" s="24" t="s">
        <v>293</v>
      </c>
      <c r="O17" s="23"/>
      <c r="P17" s="23"/>
      <c r="Q17" s="23"/>
      <c r="S17" s="2" t="s">
        <v>294</v>
      </c>
      <c r="T17" s="21" t="s">
        <v>295</v>
      </c>
    </row>
    <row r="18" spans="1:20" ht="15.75" customHeight="1" x14ac:dyDescent="0.15">
      <c r="G18" s="2" t="s">
        <v>296</v>
      </c>
      <c r="M18" s="22" t="s">
        <v>297</v>
      </c>
      <c r="N18" s="24" t="s">
        <v>298</v>
      </c>
      <c r="O18" s="23"/>
      <c r="P18" s="23"/>
      <c r="Q18" s="23"/>
      <c r="S18" s="2" t="s">
        <v>299</v>
      </c>
      <c r="T18" s="21" t="s">
        <v>300</v>
      </c>
    </row>
    <row r="19" spans="1:20" ht="15.75" customHeight="1" x14ac:dyDescent="0.15">
      <c r="A19" s="2" t="s">
        <v>238</v>
      </c>
      <c r="C19" s="2" t="s">
        <v>301</v>
      </c>
      <c r="G19" s="2" t="s">
        <v>302</v>
      </c>
      <c r="M19" s="23"/>
      <c r="N19" s="23"/>
      <c r="O19" s="23"/>
      <c r="P19" s="23"/>
      <c r="Q19" s="23"/>
      <c r="S19" s="27" t="s">
        <v>303</v>
      </c>
      <c r="T19" s="21" t="s">
        <v>304</v>
      </c>
    </row>
    <row r="20" spans="1:20" ht="15.75" customHeight="1" x14ac:dyDescent="0.15">
      <c r="G20" s="21" t="s">
        <v>305</v>
      </c>
      <c r="M20" s="22" t="s">
        <v>306</v>
      </c>
      <c r="N20" s="24" t="s">
        <v>307</v>
      </c>
      <c r="O20" s="23"/>
      <c r="P20" s="23"/>
      <c r="Q20" s="23"/>
      <c r="S20" s="2" t="s">
        <v>308</v>
      </c>
      <c r="T20" s="21" t="s">
        <v>309</v>
      </c>
    </row>
    <row r="21" spans="1:20" ht="15.75" customHeight="1" x14ac:dyDescent="0.15">
      <c r="A21" s="2" t="s">
        <v>310</v>
      </c>
      <c r="B21" s="21" t="s">
        <v>311</v>
      </c>
      <c r="S21" s="2" t="s">
        <v>312</v>
      </c>
      <c r="T21" s="21" t="s">
        <v>313</v>
      </c>
    </row>
    <row r="22" spans="1:20" ht="15.75" customHeight="1" x14ac:dyDescent="0.15">
      <c r="A22" s="2" t="s">
        <v>314</v>
      </c>
      <c r="B22" s="21" t="s">
        <v>315</v>
      </c>
      <c r="G22" s="2" t="s">
        <v>316</v>
      </c>
      <c r="S22" s="2" t="s">
        <v>317</v>
      </c>
      <c r="T22" s="21" t="s">
        <v>318</v>
      </c>
    </row>
    <row r="23" spans="1:20" ht="15.75" customHeight="1" x14ac:dyDescent="0.15">
      <c r="A23" s="2" t="s">
        <v>319</v>
      </c>
      <c r="B23" s="21" t="s">
        <v>320</v>
      </c>
      <c r="G23" s="2" t="s">
        <v>321</v>
      </c>
      <c r="S23" s="2" t="s">
        <v>288</v>
      </c>
      <c r="T23" s="21" t="s">
        <v>322</v>
      </c>
    </row>
    <row r="24" spans="1:20" ht="15.75" customHeight="1" x14ac:dyDescent="0.15">
      <c r="S24" s="2" t="s">
        <v>323</v>
      </c>
      <c r="T24" s="21" t="s">
        <v>324</v>
      </c>
    </row>
    <row r="25" spans="1:20" ht="15.75" customHeight="1" x14ac:dyDescent="0.15">
      <c r="A25" s="2" t="s">
        <v>325</v>
      </c>
      <c r="B25" s="21" t="s">
        <v>326</v>
      </c>
      <c r="S25" s="2" t="s">
        <v>327</v>
      </c>
      <c r="T25" s="21" t="s">
        <v>328</v>
      </c>
    </row>
    <row r="26" spans="1:20" ht="15.75" customHeight="1" x14ac:dyDescent="0.15">
      <c r="A26" s="2" t="s">
        <v>329</v>
      </c>
      <c r="S26" s="2" t="s">
        <v>330</v>
      </c>
      <c r="T26" s="21" t="s">
        <v>331</v>
      </c>
    </row>
    <row r="27" spans="1:20" ht="15.75" customHeight="1" x14ac:dyDescent="0.15">
      <c r="A27" s="2" t="s">
        <v>332</v>
      </c>
    </row>
    <row r="28" spans="1:20" ht="15.75" customHeight="1" x14ac:dyDescent="0.15">
      <c r="A28" s="2" t="s">
        <v>333</v>
      </c>
    </row>
    <row r="29" spans="1:20" ht="15.75" customHeight="1" x14ac:dyDescent="0.15">
      <c r="A29" s="2" t="s">
        <v>334</v>
      </c>
    </row>
    <row r="30" spans="1:20" ht="15.75" customHeight="1" x14ac:dyDescent="0.15">
      <c r="A30" s="2" t="s">
        <v>335</v>
      </c>
    </row>
    <row r="31" spans="1:20" ht="15.75" customHeight="1" x14ac:dyDescent="0.15">
      <c r="A31" s="2" t="s">
        <v>336</v>
      </c>
    </row>
    <row r="32" spans="1:20" ht="15.75" customHeight="1" x14ac:dyDescent="0.15">
      <c r="A32" s="2" t="s">
        <v>271</v>
      </c>
    </row>
    <row r="33" spans="1:2" ht="15.75" customHeight="1" x14ac:dyDescent="0.15">
      <c r="A33" s="2" t="s">
        <v>337</v>
      </c>
    </row>
    <row r="34" spans="1:2" ht="15.75" customHeight="1" x14ac:dyDescent="0.15">
      <c r="A34" s="2" t="s">
        <v>338</v>
      </c>
    </row>
    <row r="36" spans="1:2" ht="15.75" customHeight="1" x14ac:dyDescent="0.15">
      <c r="A36" s="2" t="s">
        <v>339</v>
      </c>
      <c r="B36" s="21" t="s">
        <v>340</v>
      </c>
    </row>
    <row r="38" spans="1:2" ht="15.75" customHeight="1" x14ac:dyDescent="0.15">
      <c r="A38" s="2" t="s">
        <v>341</v>
      </c>
      <c r="B38" s="21" t="s">
        <v>342</v>
      </c>
    </row>
    <row r="39" spans="1:2" ht="15.75" customHeight="1" x14ac:dyDescent="0.15">
      <c r="A39" s="2" t="s">
        <v>343</v>
      </c>
    </row>
    <row r="41" spans="1:2" ht="15.75" customHeight="1" x14ac:dyDescent="0.15">
      <c r="A41" s="21" t="s">
        <v>344</v>
      </c>
    </row>
    <row r="43" spans="1:2" ht="15.75" customHeight="1" x14ac:dyDescent="0.15">
      <c r="A43" s="2" t="s">
        <v>345</v>
      </c>
    </row>
    <row r="44" spans="1:2" ht="15.75" customHeight="1" x14ac:dyDescent="0.15">
      <c r="A44" s="2" t="s">
        <v>346</v>
      </c>
      <c r="B44" s="21" t="s">
        <v>347</v>
      </c>
    </row>
    <row r="45" spans="1:2" ht="15.75" customHeight="1" x14ac:dyDescent="0.15">
      <c r="A45" s="2" t="s">
        <v>348</v>
      </c>
      <c r="B45" s="21" t="s">
        <v>349</v>
      </c>
    </row>
    <row r="46" spans="1:2" ht="15.75" customHeight="1" x14ac:dyDescent="0.15">
      <c r="A46" s="2" t="s">
        <v>350</v>
      </c>
      <c r="B46" s="21" t="s">
        <v>351</v>
      </c>
    </row>
    <row r="47" spans="1:2" ht="13" x14ac:dyDescent="0.15">
      <c r="A47" s="2" t="s">
        <v>352</v>
      </c>
      <c r="B47" s="21" t="s">
        <v>353</v>
      </c>
    </row>
    <row r="48" spans="1:2" ht="13" x14ac:dyDescent="0.15">
      <c r="B48" s="21" t="s">
        <v>354</v>
      </c>
    </row>
    <row r="49" spans="1:2" ht="13" x14ac:dyDescent="0.15">
      <c r="A49" s="2" t="s">
        <v>355</v>
      </c>
      <c r="B49" s="21" t="s">
        <v>356</v>
      </c>
    </row>
    <row r="51" spans="1:2" ht="13" x14ac:dyDescent="0.15">
      <c r="A51" s="2" t="s">
        <v>357</v>
      </c>
      <c r="B51" s="21" t="s">
        <v>358</v>
      </c>
    </row>
    <row r="53" spans="1:2" ht="13" x14ac:dyDescent="0.15">
      <c r="A53" s="2" t="s">
        <v>359</v>
      </c>
    </row>
    <row r="54" spans="1:2" ht="13" x14ac:dyDescent="0.15">
      <c r="A54" s="28" t="s">
        <v>360</v>
      </c>
    </row>
    <row r="55" spans="1:2" ht="13" x14ac:dyDescent="0.15">
      <c r="A55" s="28" t="s">
        <v>361</v>
      </c>
    </row>
    <row r="57" spans="1:2" ht="13" x14ac:dyDescent="0.15">
      <c r="A57" s="2" t="s">
        <v>362</v>
      </c>
      <c r="B57" s="21" t="s">
        <v>363</v>
      </c>
    </row>
  </sheetData>
  <mergeCells count="4">
    <mergeCell ref="A1:E1"/>
    <mergeCell ref="G1:K1"/>
    <mergeCell ref="M1:Q1"/>
    <mergeCell ref="S1:W1"/>
  </mergeCells>
  <hyperlinks>
    <hyperlink ref="T2" r:id="rId1" xr:uid="{00000000-0004-0000-0800-000000000000}"/>
    <hyperlink ref="G3" r:id="rId2" xr:uid="{00000000-0004-0000-0800-000001000000}"/>
    <hyperlink ref="M3" r:id="rId3" xr:uid="{00000000-0004-0000-0800-000002000000}"/>
    <hyperlink ref="A4" r:id="rId4" xr:uid="{00000000-0004-0000-0800-000003000000}"/>
    <hyperlink ref="G4" r:id="rId5" xr:uid="{00000000-0004-0000-0800-000004000000}"/>
    <hyperlink ref="G6" r:id="rId6" xr:uid="{00000000-0004-0000-0800-000005000000}"/>
    <hyperlink ref="A7" r:id="rId7" xr:uid="{00000000-0004-0000-0800-000006000000}"/>
    <hyperlink ref="T7" r:id="rId8" xr:uid="{00000000-0004-0000-0800-000007000000}"/>
    <hyperlink ref="A8" r:id="rId9" xr:uid="{00000000-0004-0000-0800-000008000000}"/>
    <hyperlink ref="N8" r:id="rId10" xr:uid="{00000000-0004-0000-0800-000009000000}"/>
    <hyperlink ref="T8" r:id="rId11" xr:uid="{00000000-0004-0000-0800-00000A000000}"/>
    <hyperlink ref="A9" r:id="rId12" xr:uid="{00000000-0004-0000-0800-00000B000000}"/>
    <hyperlink ref="N9" r:id="rId13" xr:uid="{00000000-0004-0000-0800-00000C000000}"/>
    <hyperlink ref="N10" r:id="rId14" xr:uid="{00000000-0004-0000-0800-00000D000000}"/>
    <hyperlink ref="A11" r:id="rId15" xr:uid="{00000000-0004-0000-0800-00000E000000}"/>
    <hyperlink ref="N11" r:id="rId16" xr:uid="{00000000-0004-0000-0800-00000F000000}"/>
    <hyperlink ref="N12" r:id="rId17" xr:uid="{00000000-0004-0000-0800-000010000000}"/>
    <hyperlink ref="T12" r:id="rId18" xr:uid="{00000000-0004-0000-0800-000011000000}"/>
    <hyperlink ref="N13" r:id="rId19" xr:uid="{00000000-0004-0000-0800-000012000000}"/>
    <hyperlink ref="T13" r:id="rId20" xr:uid="{00000000-0004-0000-0800-000013000000}"/>
    <hyperlink ref="A14" r:id="rId21" xr:uid="{00000000-0004-0000-0800-000014000000}"/>
    <hyperlink ref="N14" r:id="rId22" xr:uid="{00000000-0004-0000-0800-000015000000}"/>
    <hyperlink ref="T14" r:id="rId23" xr:uid="{00000000-0004-0000-0800-000016000000}"/>
    <hyperlink ref="N15" r:id="rId24" xr:uid="{00000000-0004-0000-0800-000017000000}"/>
    <hyperlink ref="T15" r:id="rId25" xr:uid="{00000000-0004-0000-0800-000018000000}"/>
    <hyperlink ref="N16" r:id="rId26" xr:uid="{00000000-0004-0000-0800-000019000000}"/>
    <hyperlink ref="A17" r:id="rId27" xr:uid="{00000000-0004-0000-0800-00001A000000}"/>
    <hyperlink ref="N17" r:id="rId28" xr:uid="{00000000-0004-0000-0800-00001B000000}"/>
    <hyperlink ref="T17" r:id="rId29" xr:uid="{00000000-0004-0000-0800-00001C000000}"/>
    <hyperlink ref="N18" r:id="rId30" xr:uid="{00000000-0004-0000-0800-00001D000000}"/>
    <hyperlink ref="T18" r:id="rId31" xr:uid="{00000000-0004-0000-0800-00001E000000}"/>
    <hyperlink ref="T19" r:id="rId32" xr:uid="{00000000-0004-0000-0800-00001F000000}"/>
    <hyperlink ref="G20" r:id="rId33" xr:uid="{00000000-0004-0000-0800-000020000000}"/>
    <hyperlink ref="N20" r:id="rId34" xr:uid="{00000000-0004-0000-0800-000021000000}"/>
    <hyperlink ref="T20" r:id="rId35" xr:uid="{00000000-0004-0000-0800-000022000000}"/>
    <hyperlink ref="B21" r:id="rId36" xr:uid="{00000000-0004-0000-0800-000023000000}"/>
    <hyperlink ref="T21" r:id="rId37" xr:uid="{00000000-0004-0000-0800-000024000000}"/>
    <hyperlink ref="B22" r:id="rId38" xr:uid="{00000000-0004-0000-0800-000025000000}"/>
    <hyperlink ref="T22" r:id="rId39" xr:uid="{00000000-0004-0000-0800-000026000000}"/>
    <hyperlink ref="B23" r:id="rId40" xr:uid="{00000000-0004-0000-0800-000027000000}"/>
    <hyperlink ref="T23" r:id="rId41" xr:uid="{00000000-0004-0000-0800-000028000000}"/>
    <hyperlink ref="T24" r:id="rId42" xr:uid="{00000000-0004-0000-0800-000029000000}"/>
    <hyperlink ref="B25" r:id="rId43" xr:uid="{00000000-0004-0000-0800-00002A000000}"/>
    <hyperlink ref="T25" r:id="rId44" xr:uid="{00000000-0004-0000-0800-00002B000000}"/>
    <hyperlink ref="T26" r:id="rId45" xr:uid="{00000000-0004-0000-0800-00002C000000}"/>
    <hyperlink ref="B36" r:id="rId46" xr:uid="{00000000-0004-0000-0800-00002D000000}"/>
    <hyperlink ref="B38" r:id="rId47" xr:uid="{00000000-0004-0000-0800-00002E000000}"/>
    <hyperlink ref="A41" r:id="rId48" location="paddy" xr:uid="{00000000-0004-0000-0800-00002F000000}"/>
    <hyperlink ref="B44" r:id="rId49" xr:uid="{00000000-0004-0000-0800-000030000000}"/>
    <hyperlink ref="B45" r:id="rId50" xr:uid="{00000000-0004-0000-0800-000031000000}"/>
    <hyperlink ref="B46" r:id="rId51" xr:uid="{00000000-0004-0000-0800-000032000000}"/>
    <hyperlink ref="B47" r:id="rId52" xr:uid="{00000000-0004-0000-0800-000033000000}"/>
    <hyperlink ref="B48" r:id="rId53" xr:uid="{00000000-0004-0000-0800-000034000000}"/>
    <hyperlink ref="B49" r:id="rId54" xr:uid="{00000000-0004-0000-0800-000035000000}"/>
    <hyperlink ref="B51" r:id="rId55" xr:uid="{00000000-0004-0000-0800-000036000000}"/>
    <hyperlink ref="A54" r:id="rId56" xr:uid="{00000000-0004-0000-0800-000037000000}"/>
    <hyperlink ref="A55" r:id="rId57" xr:uid="{00000000-0004-0000-0800-000038000000}"/>
    <hyperlink ref="B57" r:id="rId58" xr:uid="{00000000-0004-0000-0800-000039000000}"/>
  </hyperlinks>
  <pageMargins left="0.7" right="0.7" top="0.75" bottom="0.75" header="0.3" footer="0.3"/>
  <legacyDrawing r:id="rId5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Main inputs</vt:lpstr>
      <vt:lpstr>Price margin inputs</vt:lpstr>
      <vt:lpstr>Payback period results</vt:lpstr>
      <vt:lpstr>IRR results</vt:lpstr>
      <vt:lpstr>Irrigation inputs&amp;calcs_NIG</vt:lpstr>
      <vt:lpstr>Irrigation inputs&amp;calcs_RWA</vt:lpstr>
      <vt:lpstr>Irrigation inputs&amp;calcs_ZAM</vt:lpstr>
      <vt:lpstr>Irrigation inputs&amp;calcs_ZIM</vt:lpstr>
      <vt:lpstr>Appendix Notes on suppliers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2023-04-25T12:38:59Z</dcterms:modified>
</cp:coreProperties>
</file>