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isabellaimpalli/Documents/Thesis/Appendices/"/>
    </mc:Choice>
  </mc:AlternateContent>
  <xr:revisionPtr revIDLastSave="0" documentId="13_ncr:1_{BDB83B66-14AD-5540-95D8-C9B86834F4C9}" xr6:coauthVersionLast="47" xr6:coauthVersionMax="47" xr10:uidLastSave="{00000000-0000-0000-0000-000000000000}"/>
  <bookViews>
    <workbookView xWindow="0" yWindow="500" windowWidth="28800" windowHeight="15700" activeTab="2" xr2:uid="{0C9A8B90-9A02-E84A-A49E-C1528E232383}"/>
  </bookViews>
  <sheets>
    <sheet name="References" sheetId="6" r:id="rId1"/>
    <sheet name="Surveillance Data" sheetId="8" r:id="rId2"/>
    <sheet name="Cost Calculations" sheetId="10" r:id="rId3"/>
    <sheet name="Expected Outcomes" sheetId="7" r:id="rId4"/>
    <sheet name="N Calculations" sheetId="20" r:id="rId5"/>
    <sheet name="EVPI Calculations" sheetId="16" r:id="rId6"/>
  </sheets>
  <definedNames>
    <definedName name="_xlnm._FilterDatabase" localSheetId="2" hidden="1">'Cost Calculations'!$B$2:$H$2</definedName>
    <definedName name="_xlnm._FilterDatabase" localSheetId="0" hidden="1">References!$B$3:$E$3</definedName>
    <definedName name="_xlnm._FilterDatabase" localSheetId="1" hidden="1">'Surveillance Data'!$B$2:$F$170</definedName>
    <definedName name="solver_adj" localSheetId="5" hidden="1">'EVPI Calculations'!#REF!</definedName>
    <definedName name="solver_adj" localSheetId="3" hidden="1">'Expected Outcomes'!#REF!</definedName>
    <definedName name="solver_cvg" localSheetId="5" hidden="1">0.0001</definedName>
    <definedName name="solver_cvg" localSheetId="3" hidden="1">0.0001</definedName>
    <definedName name="solver_drv" localSheetId="5" hidden="1">1</definedName>
    <definedName name="solver_drv" localSheetId="3" hidden="1">1</definedName>
    <definedName name="solver_eng" localSheetId="5" hidden="1">1</definedName>
    <definedName name="solver_eng" localSheetId="3" hidden="1">1</definedName>
    <definedName name="solver_itr" localSheetId="5" hidden="1">2147483647</definedName>
    <definedName name="solver_itr" localSheetId="3" hidden="1">2147483647</definedName>
    <definedName name="solver_lin" localSheetId="5" hidden="1">2</definedName>
    <definedName name="solver_lin" localSheetId="3" hidden="1">2</definedName>
    <definedName name="solver_mip" localSheetId="5" hidden="1">2147483647</definedName>
    <definedName name="solver_mip" localSheetId="3" hidden="1">2147483647</definedName>
    <definedName name="solver_mni" localSheetId="5" hidden="1">30</definedName>
    <definedName name="solver_mni" localSheetId="3" hidden="1">30</definedName>
    <definedName name="solver_mrt" localSheetId="5" hidden="1">0.075</definedName>
    <definedName name="solver_mrt" localSheetId="3" hidden="1">0.075</definedName>
    <definedName name="solver_msl" localSheetId="5" hidden="1">2</definedName>
    <definedName name="solver_msl" localSheetId="3" hidden="1">2</definedName>
    <definedName name="solver_neg" localSheetId="5" hidden="1">1</definedName>
    <definedName name="solver_neg" localSheetId="3" hidden="1">2</definedName>
    <definedName name="solver_nod" localSheetId="5" hidden="1">2147483647</definedName>
    <definedName name="solver_nod" localSheetId="3" hidden="1">2147483647</definedName>
    <definedName name="solver_num" localSheetId="5" hidden="1">0</definedName>
    <definedName name="solver_num" localSheetId="3" hidden="1">0</definedName>
    <definedName name="solver_opt" localSheetId="5" hidden="1">'EVPI Calculations'!$D$15</definedName>
    <definedName name="solver_opt" localSheetId="3" hidden="1">'Expected Outcomes'!#REF!</definedName>
    <definedName name="solver_pre" localSheetId="5" hidden="1">0.000001</definedName>
    <definedName name="solver_pre" localSheetId="3" hidden="1">0.000001</definedName>
    <definedName name="solver_rbv" localSheetId="5" hidden="1">1</definedName>
    <definedName name="solver_rbv" localSheetId="3" hidden="1">1</definedName>
    <definedName name="solver_rlx" localSheetId="5" hidden="1">2</definedName>
    <definedName name="solver_rlx" localSheetId="3" hidden="1">2</definedName>
    <definedName name="solver_rsd" localSheetId="5" hidden="1">0</definedName>
    <definedName name="solver_rsd" localSheetId="3" hidden="1">0</definedName>
    <definedName name="solver_scl" localSheetId="5" hidden="1">1</definedName>
    <definedName name="solver_scl" localSheetId="3" hidden="1">1</definedName>
    <definedName name="solver_sho" localSheetId="5" hidden="1">2</definedName>
    <definedName name="solver_sho" localSheetId="3" hidden="1">2</definedName>
    <definedName name="solver_ssz" localSheetId="5" hidden="1">100</definedName>
    <definedName name="solver_ssz" localSheetId="3" hidden="1">100</definedName>
    <definedName name="solver_tim" localSheetId="5" hidden="1">2147483647</definedName>
    <definedName name="solver_tim" localSheetId="3" hidden="1">2147483647</definedName>
    <definedName name="solver_tol" localSheetId="5" hidden="1">0.01</definedName>
    <definedName name="solver_tol" localSheetId="3" hidden="1">0.01</definedName>
    <definedName name="solver_typ" localSheetId="5" hidden="1">3</definedName>
    <definedName name="solver_typ" localSheetId="3" hidden="1">2</definedName>
    <definedName name="solver_val" localSheetId="5" hidden="1">0</definedName>
    <definedName name="solver_val" localSheetId="3" hidden="1">0</definedName>
    <definedName name="solver_ver" localSheetId="5" hidden="1">2</definedName>
    <definedName name="solver_ver" localSheetId="3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0" l="1"/>
  <c r="E19" i="20"/>
  <c r="F19" i="20"/>
  <c r="C19" i="20"/>
  <c r="F5" i="20"/>
  <c r="F6" i="20"/>
  <c r="F7" i="20"/>
  <c r="F8" i="20"/>
  <c r="F9" i="20"/>
  <c r="F10" i="20"/>
  <c r="F11" i="20"/>
  <c r="F12" i="20"/>
  <c r="F13" i="20"/>
  <c r="F14" i="20"/>
  <c r="F15" i="20"/>
  <c r="F16" i="20"/>
  <c r="F17" i="20"/>
  <c r="F18" i="20"/>
  <c r="E5" i="20"/>
  <c r="E6" i="20"/>
  <c r="E7" i="20"/>
  <c r="E8" i="20"/>
  <c r="E9" i="20"/>
  <c r="E10" i="20"/>
  <c r="E11" i="20"/>
  <c r="E12" i="20"/>
  <c r="E13" i="20"/>
  <c r="E14" i="20"/>
  <c r="E15" i="20"/>
  <c r="E16" i="20"/>
  <c r="E17" i="20"/>
  <c r="E18" i="20"/>
  <c r="F4" i="20"/>
  <c r="E4" i="20"/>
  <c r="D4" i="20"/>
  <c r="D5" i="20" l="1"/>
  <c r="C4" i="20"/>
  <c r="I7" i="10"/>
  <c r="I9" i="10"/>
  <c r="I11" i="10"/>
  <c r="L5" i="6" l="1"/>
  <c r="I8" i="10" l="1"/>
  <c r="I5" i="10" l="1"/>
  <c r="I4" i="10"/>
  <c r="I10" i="10"/>
  <c r="I6" i="10"/>
  <c r="E4" i="10"/>
  <c r="E5" i="10"/>
  <c r="E6" i="10"/>
  <c r="E7" i="10"/>
  <c r="E8" i="10"/>
  <c r="E9" i="10"/>
  <c r="E10" i="10"/>
  <c r="E11" i="10"/>
  <c r="E3" i="10"/>
  <c r="I3" i="10" l="1"/>
  <c r="J7" i="10"/>
  <c r="J4" i="10"/>
  <c r="L4" i="10" s="1"/>
  <c r="J5" i="10"/>
  <c r="L5" i="10" s="1"/>
  <c r="J6" i="10"/>
  <c r="J8" i="10"/>
  <c r="J9" i="10"/>
  <c r="J10" i="10"/>
  <c r="J11" i="10"/>
  <c r="J3" i="10"/>
  <c r="L16" i="10" l="1" a="1"/>
  <c r="L16" i="10" s="1"/>
  <c r="L3" i="10"/>
  <c r="L10" i="10"/>
  <c r="K10" i="10"/>
  <c r="L9" i="10"/>
  <c r="K9" i="10"/>
  <c r="M9" i="10" s="1"/>
  <c r="L8" i="10"/>
  <c r="K8" i="10"/>
  <c r="M8" i="10" s="1"/>
  <c r="L6" i="10"/>
  <c r="K6" i="10"/>
  <c r="L7" i="10"/>
  <c r="K7" i="10"/>
  <c r="M7" i="10" s="1"/>
  <c r="L11" i="10"/>
  <c r="K11" i="10"/>
  <c r="M11" i="10" s="1"/>
  <c r="D5" i="7"/>
  <c r="D6" i="7"/>
  <c r="D7" i="7"/>
  <c r="D8" i="7"/>
  <c r="D9" i="7"/>
  <c r="D10" i="7"/>
  <c r="D11" i="7"/>
  <c r="D4" i="7"/>
  <c r="L17" i="10" l="1" a="1"/>
  <c r="L17" i="10" s="1"/>
  <c r="M10" i="10"/>
  <c r="M6" i="10"/>
  <c r="L6" i="6"/>
  <c r="L7" i="6"/>
  <c r="L8" i="6"/>
  <c r="L9" i="6"/>
  <c r="L10" i="6"/>
  <c r="L11" i="6"/>
  <c r="L12" i="6"/>
  <c r="L13" i="6"/>
  <c r="L14" i="6"/>
  <c r="L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4" i="6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24" i="8"/>
  <c r="D25" i="8"/>
  <c r="D26" i="8"/>
  <c r="D27" i="8"/>
  <c r="D28" i="8"/>
  <c r="D29" i="8"/>
  <c r="D30" i="8"/>
  <c r="D31" i="8"/>
  <c r="D32" i="8"/>
  <c r="D33" i="8"/>
  <c r="D34" i="8"/>
  <c r="D35" i="8"/>
  <c r="D36" i="8"/>
  <c r="D37" i="8"/>
  <c r="D38" i="8"/>
  <c r="D39" i="8"/>
  <c r="D40" i="8"/>
  <c r="D41" i="8"/>
  <c r="D42" i="8"/>
  <c r="D43" i="8"/>
  <c r="D44" i="8"/>
  <c r="D45" i="8"/>
  <c r="D46" i="8"/>
  <c r="D47" i="8"/>
  <c r="D48" i="8"/>
  <c r="D49" i="8"/>
  <c r="D50" i="8"/>
  <c r="D51" i="8"/>
  <c r="D52" i="8"/>
  <c r="D53" i="8"/>
  <c r="D54" i="8"/>
  <c r="D55" i="8"/>
  <c r="D56" i="8"/>
  <c r="D57" i="8"/>
  <c r="D58" i="8"/>
  <c r="D59" i="8"/>
  <c r="D60" i="8"/>
  <c r="D61" i="8"/>
  <c r="D62" i="8"/>
  <c r="D63" i="8"/>
  <c r="D64" i="8"/>
  <c r="D65" i="8"/>
  <c r="D66" i="8"/>
  <c r="D67" i="8"/>
  <c r="D68" i="8"/>
  <c r="D69" i="8"/>
  <c r="D70" i="8"/>
  <c r="D71" i="8"/>
  <c r="D72" i="8"/>
  <c r="D73" i="8"/>
  <c r="D74" i="8"/>
  <c r="D75" i="8"/>
  <c r="D76" i="8"/>
  <c r="D77" i="8"/>
  <c r="D78" i="8"/>
  <c r="D79" i="8"/>
  <c r="D80" i="8"/>
  <c r="D81" i="8"/>
  <c r="D82" i="8"/>
  <c r="D83" i="8"/>
  <c r="D84" i="8"/>
  <c r="D85" i="8"/>
  <c r="D86" i="8"/>
  <c r="D87" i="8"/>
  <c r="D88" i="8"/>
  <c r="D89" i="8"/>
  <c r="D90" i="8"/>
  <c r="D91" i="8"/>
  <c r="D92" i="8"/>
  <c r="D93" i="8"/>
  <c r="D94" i="8"/>
  <c r="D95" i="8"/>
  <c r="D96" i="8"/>
  <c r="D97" i="8"/>
  <c r="D98" i="8"/>
  <c r="D99" i="8"/>
  <c r="D100" i="8"/>
  <c r="D101" i="8"/>
  <c r="D102" i="8"/>
  <c r="D103" i="8"/>
  <c r="D104" i="8"/>
  <c r="D105" i="8"/>
  <c r="D106" i="8"/>
  <c r="D107" i="8"/>
  <c r="D108" i="8"/>
  <c r="D109" i="8"/>
  <c r="D110" i="8"/>
  <c r="D111" i="8"/>
  <c r="D112" i="8"/>
  <c r="D113" i="8"/>
  <c r="D114" i="8"/>
  <c r="D115" i="8"/>
  <c r="D116" i="8"/>
  <c r="D117" i="8"/>
  <c r="D118" i="8"/>
  <c r="D119" i="8"/>
  <c r="D120" i="8"/>
  <c r="D121" i="8"/>
  <c r="D122" i="8"/>
  <c r="D123" i="8"/>
  <c r="D124" i="8"/>
  <c r="D125" i="8"/>
  <c r="D126" i="8"/>
  <c r="D127" i="8"/>
  <c r="D128" i="8"/>
  <c r="D129" i="8"/>
  <c r="D130" i="8"/>
  <c r="D131" i="8"/>
  <c r="D132" i="8"/>
  <c r="D133" i="8"/>
  <c r="D134" i="8"/>
  <c r="D135" i="8"/>
  <c r="D136" i="8"/>
  <c r="D137" i="8"/>
  <c r="D138" i="8"/>
  <c r="D139" i="8"/>
  <c r="D140" i="8"/>
  <c r="D141" i="8"/>
  <c r="D142" i="8"/>
  <c r="D143" i="8"/>
  <c r="D144" i="8"/>
  <c r="D145" i="8"/>
  <c r="D146" i="8"/>
  <c r="D147" i="8"/>
  <c r="D148" i="8"/>
  <c r="D149" i="8"/>
  <c r="D150" i="8"/>
  <c r="D151" i="8"/>
  <c r="D152" i="8"/>
  <c r="D153" i="8"/>
  <c r="D154" i="8"/>
  <c r="D155" i="8"/>
  <c r="D156" i="8"/>
  <c r="D157" i="8"/>
  <c r="D158" i="8"/>
  <c r="D159" i="8"/>
  <c r="D160" i="8"/>
  <c r="D161" i="8"/>
  <c r="D162" i="8"/>
  <c r="D163" i="8"/>
  <c r="D164" i="8"/>
  <c r="D165" i="8"/>
  <c r="D166" i="8"/>
  <c r="D167" i="8"/>
  <c r="D168" i="8"/>
  <c r="D169" i="8"/>
  <c r="D170" i="8"/>
  <c r="D3" i="8"/>
  <c r="M17" i="10" l="1"/>
  <c r="D8" i="16" s="1"/>
  <c r="D4" i="16"/>
  <c r="M16" i="10"/>
  <c r="D7" i="16" s="1"/>
  <c r="D3" i="16"/>
  <c r="G26" i="8"/>
  <c r="G122" i="8"/>
  <c r="G146" i="8"/>
  <c r="G170" i="8"/>
  <c r="G98" i="8"/>
  <c r="G14" i="8"/>
  <c r="G38" i="8"/>
  <c r="G134" i="8"/>
  <c r="G50" i="8"/>
  <c r="G74" i="8"/>
  <c r="G62" i="8"/>
  <c r="G158" i="8"/>
  <c r="G110" i="8"/>
  <c r="G86" i="8"/>
  <c r="G33" i="8"/>
  <c r="G57" i="8"/>
  <c r="G81" i="8"/>
  <c r="G105" i="8"/>
  <c r="G129" i="8"/>
  <c r="G9" i="8"/>
  <c r="G153" i="8"/>
  <c r="G21" i="8"/>
  <c r="G45" i="8"/>
  <c r="G69" i="8"/>
  <c r="G93" i="8"/>
  <c r="G117" i="8"/>
  <c r="G141" i="8"/>
  <c r="G165" i="8"/>
  <c r="G116" i="8"/>
  <c r="G92" i="8"/>
  <c r="G164" i="8"/>
  <c r="G8" i="8"/>
  <c r="G32" i="8"/>
  <c r="G56" i="8"/>
  <c r="G80" i="8"/>
  <c r="G104" i="8"/>
  <c r="G128" i="8"/>
  <c r="G152" i="8"/>
  <c r="G44" i="8"/>
  <c r="G140" i="8"/>
  <c r="G20" i="8"/>
  <c r="G68" i="8"/>
  <c r="G36" i="8"/>
  <c r="G84" i="8"/>
  <c r="G60" i="8"/>
  <c r="G132" i="8"/>
  <c r="G24" i="8"/>
  <c r="G48" i="8"/>
  <c r="G72" i="8"/>
  <c r="G96" i="8"/>
  <c r="G120" i="8"/>
  <c r="G144" i="8"/>
  <c r="G168" i="8"/>
  <c r="G12" i="8"/>
  <c r="G108" i="8"/>
  <c r="G156" i="8"/>
  <c r="G148" i="8"/>
  <c r="G4" i="8"/>
  <c r="G28" i="8"/>
  <c r="G16" i="8"/>
  <c r="G40" i="8"/>
  <c r="G64" i="8"/>
  <c r="G88" i="8"/>
  <c r="G112" i="8"/>
  <c r="G136" i="8"/>
  <c r="G160" i="8"/>
  <c r="G76" i="8"/>
  <c r="G52" i="8"/>
  <c r="G100" i="8"/>
  <c r="G124" i="8"/>
  <c r="G83" i="8"/>
  <c r="G23" i="8"/>
  <c r="G47" i="8"/>
  <c r="G71" i="8"/>
  <c r="G95" i="8"/>
  <c r="G119" i="8"/>
  <c r="G143" i="8"/>
  <c r="G167" i="8"/>
  <c r="G11" i="8"/>
  <c r="G35" i="8"/>
  <c r="G155" i="8"/>
  <c r="G107" i="8"/>
  <c r="G59" i="8"/>
  <c r="G131" i="8"/>
  <c r="G19" i="8"/>
  <c r="G115" i="8"/>
  <c r="G7" i="8"/>
  <c r="G31" i="8"/>
  <c r="G55" i="8"/>
  <c r="G79" i="8"/>
  <c r="G103" i="8"/>
  <c r="G127" i="8"/>
  <c r="G151" i="8"/>
  <c r="G67" i="8"/>
  <c r="G91" i="8"/>
  <c r="G43" i="8"/>
  <c r="G139" i="8"/>
  <c r="G163" i="8"/>
  <c r="G51" i="8"/>
  <c r="G147" i="8"/>
  <c r="G15" i="8"/>
  <c r="G39" i="8"/>
  <c r="G63" i="8"/>
  <c r="G87" i="8"/>
  <c r="G111" i="8"/>
  <c r="G135" i="8"/>
  <c r="G159" i="8"/>
  <c r="G123" i="8"/>
  <c r="G75" i="8"/>
  <c r="G3" i="8"/>
  <c r="G27" i="8"/>
  <c r="G99" i="8"/>
  <c r="G6" i="8"/>
  <c r="G30" i="8"/>
  <c r="G54" i="8"/>
  <c r="G78" i="8"/>
  <c r="G102" i="8"/>
  <c r="G126" i="8"/>
  <c r="G150" i="8"/>
  <c r="G18" i="8"/>
  <c r="G66" i="8"/>
  <c r="G138" i="8"/>
  <c r="G162" i="8"/>
  <c r="G42" i="8"/>
  <c r="G114" i="8"/>
  <c r="G90" i="8"/>
  <c r="G145" i="8"/>
  <c r="G73" i="8"/>
  <c r="G25" i="8"/>
  <c r="G49" i="8"/>
  <c r="G121" i="8"/>
  <c r="G13" i="8"/>
  <c r="G37" i="8"/>
  <c r="G61" i="8"/>
  <c r="G85" i="8"/>
  <c r="G109" i="8"/>
  <c r="G133" i="8"/>
  <c r="G157" i="8"/>
  <c r="G97" i="8"/>
  <c r="G169" i="8"/>
  <c r="G17" i="8"/>
  <c r="G113" i="8"/>
  <c r="G41" i="8"/>
  <c r="G161" i="8"/>
  <c r="G89" i="8"/>
  <c r="G5" i="8"/>
  <c r="G29" i="8"/>
  <c r="G53" i="8"/>
  <c r="G77" i="8"/>
  <c r="G101" i="8"/>
  <c r="G125" i="8"/>
  <c r="G149" i="8"/>
  <c r="G65" i="8"/>
  <c r="G137" i="8"/>
  <c r="G22" i="8"/>
  <c r="G46" i="8"/>
  <c r="G70" i="8"/>
  <c r="G94" i="8"/>
  <c r="G118" i="8"/>
  <c r="G142" i="8"/>
  <c r="G166" i="8"/>
  <c r="G34" i="8"/>
  <c r="G130" i="8"/>
  <c r="G58" i="8"/>
  <c r="G82" i="8"/>
  <c r="G106" i="8"/>
  <c r="G10" i="8"/>
  <c r="G154" i="8"/>
  <c r="D15" i="16" l="1"/>
  <c r="D12" i="16"/>
  <c r="E4" i="7"/>
  <c r="F4" i="7" s="1"/>
  <c r="E7" i="7"/>
  <c r="F7" i="7" s="1"/>
  <c r="E10" i="7"/>
  <c r="F10" i="7" s="1"/>
  <c r="E5" i="7"/>
  <c r="F5" i="7" s="1"/>
  <c r="E8" i="7"/>
  <c r="F8" i="7" s="1"/>
  <c r="E11" i="7"/>
  <c r="F11" i="7" s="1"/>
  <c r="E6" i="7"/>
  <c r="F6" i="7" s="1"/>
  <c r="E9" i="7"/>
  <c r="F9" i="7" s="1"/>
  <c r="J6" i="7" l="1"/>
  <c r="I6" i="7"/>
  <c r="J10" i="7"/>
  <c r="I10" i="7"/>
  <c r="I7" i="7"/>
  <c r="J7" i="7"/>
  <c r="I4" i="7"/>
  <c r="I13" i="7" s="1"/>
  <c r="J4" i="7"/>
  <c r="I11" i="7"/>
  <c r="J11" i="7"/>
  <c r="J9" i="7"/>
  <c r="I9" i="7"/>
  <c r="J8" i="7"/>
  <c r="I8" i="7"/>
  <c r="I12" i="7" s="1"/>
  <c r="J5" i="7"/>
  <c r="I5" i="7"/>
  <c r="J13" i="7" l="1"/>
  <c r="J12" i="7"/>
  <c r="D10" i="16"/>
  <c r="D6" i="16" l="1"/>
  <c r="D5" i="16"/>
  <c r="D13" i="16" s="1"/>
  <c r="D17" i="16" s="1"/>
  <c r="D9" i="16"/>
  <c r="D14" i="16" l="1"/>
  <c r="D18" i="16" s="1"/>
  <c r="D19" i="16" l="1"/>
  <c r="D21" i="16" s="1"/>
  <c r="D20" i="16" l="1"/>
  <c r="D22" i="16"/>
  <c r="D23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<sst xmlns="http://schemas.openxmlformats.org/spreadsheetml/2006/main" count="532" uniqueCount="124">
  <si>
    <t>Cefadroxil</t>
  </si>
  <si>
    <t>Cefotaxime</t>
  </si>
  <si>
    <t>Ceftazidime</t>
  </si>
  <si>
    <t>Ciprofloxacin</t>
  </si>
  <si>
    <t>Mecillinam</t>
  </si>
  <si>
    <t>Nitrofurantoin</t>
  </si>
  <si>
    <t>Tobramycin</t>
  </si>
  <si>
    <t>Trimethoprim</t>
  </si>
  <si>
    <t>Trimethoprim-sulfamethoxazole</t>
  </si>
  <si>
    <t>ESBLs</t>
  </si>
  <si>
    <t>Amoxicillin-clavulanate</t>
  </si>
  <si>
    <t>Piperacillin-tazobactam</t>
  </si>
  <si>
    <t>Weight</t>
  </si>
  <si>
    <t>Drug Class</t>
  </si>
  <si>
    <t>Fluoroquinolone</t>
  </si>
  <si>
    <t>Cephalosporin</t>
  </si>
  <si>
    <t>Macrolide</t>
  </si>
  <si>
    <t>Penicillin</t>
  </si>
  <si>
    <t>Aminoglycoside</t>
  </si>
  <si>
    <t>Municipal</t>
  </si>
  <si>
    <t>Hospital</t>
  </si>
  <si>
    <t>Date</t>
  </si>
  <si>
    <t>Sample Count (n)</t>
  </si>
  <si>
    <t>DDD Per 1000 Pop</t>
  </si>
  <si>
    <t>Other</t>
  </si>
  <si>
    <t>Category</t>
  </si>
  <si>
    <t>Resistance Phenotype</t>
  </si>
  <si>
    <t>Count</t>
  </si>
  <si>
    <t>Antibiotics by Class and Weight</t>
  </si>
  <si>
    <t>Drug</t>
  </si>
  <si>
    <t>Vlookup Value</t>
  </si>
  <si>
    <t>Vlookup</t>
  </si>
  <si>
    <t>Infection Type</t>
  </si>
  <si>
    <t>Infection Location</t>
  </si>
  <si>
    <t>Inpatient Days</t>
  </si>
  <si>
    <t>Outpatient Visits</t>
  </si>
  <si>
    <t>Primary Care Visits</t>
  </si>
  <si>
    <t>Suceptible</t>
  </si>
  <si>
    <t>BSI</t>
  </si>
  <si>
    <t>SSTI</t>
  </si>
  <si>
    <t>*ESBLs do not contribute to DRI since they are accounted for under other phenotypes</t>
  </si>
  <si>
    <t>None</t>
  </si>
  <si>
    <t>UTI</t>
  </si>
  <si>
    <t>Resistant</t>
  </si>
  <si>
    <t>ESBL</t>
  </si>
  <si>
    <t>CPE</t>
  </si>
  <si>
    <t>Resource</t>
  </si>
  <si>
    <t>Unit Cost (EUR)</t>
  </si>
  <si>
    <t>CPE BSI Inpatient Day</t>
  </si>
  <si>
    <t>Total Cost</t>
  </si>
  <si>
    <t>SOURCES:</t>
  </si>
  <si>
    <t>a</t>
  </si>
  <si>
    <t>b</t>
  </si>
  <si>
    <t>Hutinel, M., Huijbers, P. M. C., Fick, J., Åhrén, C., Larsson, D. G. J., &amp; Flach, C.-F. (2019). Population-level surveillance of antibiotic resistance in Escherichia coli through sewage analysis. Eurosurveillance, 24(37), 1800497.</t>
  </si>
  <si>
    <t>σ</t>
  </si>
  <si>
    <t>Total cost/case</t>
  </si>
  <si>
    <t>Addtl Cost/case</t>
  </si>
  <si>
    <t>Addtl Cost</t>
  </si>
  <si>
    <r>
      <t xml:space="preserve">Larsson, S., Prioux, M., Fasth, T., Ternhag, A., Struwe, J., Dohnhammar, U., &amp; Brouwers, L. (2019). A microsimulation model projecting the health care costs for resistance to antibacterial drugs in Sweden. </t>
    </r>
    <r>
      <rPr>
        <i/>
        <sz val="10"/>
        <color theme="1"/>
        <rFont val="Arial"/>
        <family val="2"/>
      </rPr>
      <t>European Journal of Public Health</t>
    </r>
    <r>
      <rPr>
        <sz val="10"/>
        <color theme="1"/>
        <rFont val="Arial"/>
        <family val="2"/>
      </rPr>
      <t xml:space="preserve">, </t>
    </r>
    <r>
      <rPr>
        <i/>
        <sz val="10"/>
        <color theme="1"/>
        <rFont val="Arial"/>
        <family val="2"/>
      </rPr>
      <t>29</t>
    </r>
    <r>
      <rPr>
        <sz val="10"/>
        <color theme="1"/>
        <rFont val="Arial"/>
        <family val="2"/>
      </rPr>
      <t>(3), 392–396.</t>
    </r>
  </si>
  <si>
    <r>
      <rPr>
        <b/>
        <sz val="12"/>
        <color theme="1"/>
        <rFont val="Arial"/>
        <family val="2"/>
      </rPr>
      <t xml:space="preserve">Source: </t>
    </r>
    <r>
      <rPr>
        <sz val="12"/>
        <color theme="1"/>
        <rFont val="Arial"/>
        <family val="2"/>
      </rPr>
      <t>Larsson, S., Prioux, M., Fasth, T., Ternhag, A., Struwe, J., Dohnhammar, U., &amp; Brouwers, L. (2019). A microsimulation model projecting the health care costs for resistance to antibacterial drugs in Sweden. European Journal of Public Health, 29(3), 392–396.</t>
    </r>
  </si>
  <si>
    <r>
      <rPr>
        <b/>
        <sz val="10"/>
        <color theme="1"/>
        <rFont val="Arial"/>
        <family val="2"/>
      </rPr>
      <t xml:space="preserve">Source: </t>
    </r>
    <r>
      <rPr>
        <sz val="10"/>
        <color theme="1"/>
        <rFont val="Arial"/>
        <family val="2"/>
      </rPr>
      <t>Hutinel, M., Huijbers, P. M. C., Fick, J., Åhrén, C., Larsson, D. G. J., &amp; Flach, C.-F. (2019). Population-level surveillance of antibiotic resistance in Escherichia coli through sewage analysis. Eurosurveillance, 24(37), 1800497.</t>
    </r>
  </si>
  <si>
    <t>Number of Cases</t>
  </si>
  <si>
    <t>First line treatment weight</t>
  </si>
  <si>
    <t>λ</t>
  </si>
  <si>
    <t>ΔC</t>
  </si>
  <si>
    <t>Variance in ΔE (QALY)</t>
  </si>
  <si>
    <t>v(ΔE)</t>
  </si>
  <si>
    <t>ΔB=λΔE-ΔC</t>
  </si>
  <si>
    <t>v(ΔB)</t>
  </si>
  <si>
    <t>Absolute normalized mean INB</t>
  </si>
  <si>
    <t>z=|ΔB|/sqrt(v(ΔB))</t>
  </si>
  <si>
    <t>Standard normal pdf at z</t>
  </si>
  <si>
    <t>φ(z)</t>
  </si>
  <si>
    <t>Standard normal cdf from -infinity to z</t>
  </si>
  <si>
    <t>Φ(-z)</t>
  </si>
  <si>
    <t>Resistance fraction</t>
  </si>
  <si>
    <t>Resistance</t>
  </si>
  <si>
    <t>v(ΔC)</t>
  </si>
  <si>
    <t>Cov(C,E)</t>
  </si>
  <si>
    <t>Resistant Infection</t>
  </si>
  <si>
    <t>Susceptible Infection</t>
  </si>
  <si>
    <t>Treatment Y</t>
  </si>
  <si>
    <t>Treatment X</t>
  </si>
  <si>
    <t xml:space="preserve"> Resistance %</t>
  </si>
  <si>
    <t>Surveillance Inputs</t>
  </si>
  <si>
    <t>E_X</t>
  </si>
  <si>
    <t>E_Y</t>
  </si>
  <si>
    <t>Expected Outcomes - Results</t>
  </si>
  <si>
    <t>Average:</t>
  </si>
  <si>
    <t>Expected Outcomes - Payout Matrix</t>
  </si>
  <si>
    <t>QALYs</t>
  </si>
  <si>
    <t>Resource Use Cost Data [b]</t>
  </si>
  <si>
    <t>Sampling Count Information [a]</t>
  </si>
  <si>
    <t>σ:</t>
  </si>
  <si>
    <t>Average Cost</t>
  </si>
  <si>
    <t>Total Projected Resistant Cases</t>
  </si>
  <si>
    <t>Total Projected Cases</t>
  </si>
  <si>
    <t>Year</t>
  </si>
  <si>
    <t>Totals</t>
  </si>
  <si>
    <t>Cost per patient, X (€)</t>
  </si>
  <si>
    <t>Cost per patient, Y (€)</t>
  </si>
  <si>
    <t>€/QALY Conversion</t>
  </si>
  <si>
    <t>Variance in ΔC (€)</t>
  </si>
  <si>
    <t>Variance in ΔB (€)</t>
  </si>
  <si>
    <t>Cov between Costs and Outcomes</t>
  </si>
  <si>
    <t>Outcome per patient, X (QALY)</t>
  </si>
  <si>
    <t>Oucome per patient, Y (QALY)</t>
  </si>
  <si>
    <t>Variance in cost, X</t>
  </si>
  <si>
    <t>Variance in cost,Y</t>
  </si>
  <si>
    <t>Variance in Outcomes , X (QALY)</t>
  </si>
  <si>
    <t>Variance in Outcomes, Y (QALY)</t>
  </si>
  <si>
    <t>Mean Additional QALY from Y over X (QALY)</t>
  </si>
  <si>
    <t>Difference in Cost of Y and X (€)</t>
  </si>
  <si>
    <t>Incremental Net Benefit of Y over X (€)</t>
  </si>
  <si>
    <t>C_X</t>
  </si>
  <si>
    <t>C_Y</t>
  </si>
  <si>
    <t>v(C_X)</t>
  </si>
  <si>
    <t>v(C_Y)</t>
  </si>
  <si>
    <t>v(E_X)</t>
  </si>
  <si>
    <t>v(E_Y)</t>
  </si>
  <si>
    <t>ΔE=E_Y-E_X</t>
  </si>
  <si>
    <t>Expected Value of Perfect Information Calculations</t>
  </si>
  <si>
    <t>EVPI per patient</t>
  </si>
  <si>
    <t>EVPI,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</si>
</sst>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4" formatCode="_(&quot;$&quot;* #,##0.00_);_(&quot;$&quot;* \(#,##0.00\);_(&quot;$&quot;* &quot;-&quot;??_);_(@_)"/>
    <numFmt numFmtId="164" formatCode="0.000"/>
    <numFmt numFmtId="165" formatCode="0.000000"/>
    <numFmt numFmtId="166" formatCode="_([$€-2]\ * #,##0.00_);_([$€-2]\ * \(#,##0.00\);_([$€-2]\ * &quot;-&quot;??_);_(@_)"/>
    <numFmt numFmtId="167" formatCode="0.00000"/>
    <numFmt numFmtId="168" formatCode="#,##0.0000000"/>
  </numFmts>
  <fonts count="1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CFF"/>
      <name val="Arial"/>
      <family val="2"/>
    </font>
    <font>
      <sz val="7"/>
      <color theme="1"/>
      <name val="Arial"/>
      <family val="2"/>
    </font>
    <font>
      <i/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rgb="FF000CFF"/>
      <name val="Arial"/>
      <family val="2"/>
    </font>
    <font>
      <sz val="12"/>
      <color theme="1"/>
      <name val="Arial"/>
      <family val="2"/>
    </font>
    <font>
      <b/>
      <sz val="12"/>
      <color rgb="FFFF0000"/>
      <name val="Arial"/>
      <family val="2"/>
    </font>
    <font>
      <i/>
      <sz val="12"/>
      <color theme="1"/>
      <name val="Arial"/>
      <family val="2"/>
    </font>
    <font>
      <b/>
      <i/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 tint="0.79998168889431442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/>
      <diagonal/>
    </border>
    <border>
      <left/>
      <right style="thin">
        <color theme="1"/>
      </right>
      <top/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45">
    <xf numFmtId="0" fontId="0" fillId="0" borderId="0" xfId="0"/>
    <xf numFmtId="0" fontId="2" fillId="2" borderId="0" xfId="0" applyFont="1" applyFill="1"/>
    <xf numFmtId="0" fontId="4" fillId="2" borderId="0" xfId="0" applyFont="1" applyFill="1"/>
    <xf numFmtId="14" fontId="4" fillId="2" borderId="0" xfId="0" applyNumberFormat="1" applyFont="1" applyFill="1" applyAlignment="1">
      <alignment horizontal="center"/>
    </xf>
    <xf numFmtId="0" fontId="4" fillId="2" borderId="8" xfId="0" applyFont="1" applyFill="1" applyBorder="1"/>
    <xf numFmtId="164" fontId="2" fillId="2" borderId="9" xfId="1" applyNumberFormat="1" applyFont="1" applyFill="1" applyBorder="1" applyAlignment="1">
      <alignment horizontal="center"/>
    </xf>
    <xf numFmtId="0" fontId="2" fillId="2" borderId="9" xfId="0" applyFont="1" applyFill="1" applyBorder="1"/>
    <xf numFmtId="0" fontId="2" fillId="2" borderId="11" xfId="0" applyFont="1" applyFill="1" applyBorder="1"/>
    <xf numFmtId="0" fontId="4" fillId="2" borderId="10" xfId="0" applyFont="1" applyFill="1" applyBorder="1"/>
    <xf numFmtId="0" fontId="4" fillId="2" borderId="1" xfId="0" applyFont="1" applyFill="1" applyBorder="1"/>
    <xf numFmtId="164" fontId="2" fillId="2" borderId="11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2" borderId="1" xfId="0" applyFont="1" applyFill="1" applyBorder="1"/>
    <xf numFmtId="0" fontId="8" fillId="2" borderId="8" xfId="0" applyFont="1" applyFill="1" applyBorder="1"/>
    <xf numFmtId="0" fontId="8" fillId="2" borderId="0" xfId="0" applyFont="1" applyFill="1" applyAlignment="1">
      <alignment horizontal="center"/>
    </xf>
    <xf numFmtId="166" fontId="9" fillId="2" borderId="0" xfId="0" applyNumberFormat="1" applyFont="1" applyFill="1"/>
    <xf numFmtId="166" fontId="9" fillId="2" borderId="4" xfId="0" applyNumberFormat="1" applyFont="1" applyFill="1" applyBorder="1"/>
    <xf numFmtId="0" fontId="8" fillId="2" borderId="10" xfId="0" applyFont="1" applyFill="1" applyBorder="1"/>
    <xf numFmtId="0" fontId="8" fillId="2" borderId="1" xfId="0" applyFont="1" applyFill="1" applyBorder="1" applyAlignment="1">
      <alignment horizontal="center"/>
    </xf>
    <xf numFmtId="166" fontId="9" fillId="2" borderId="1" xfId="0" applyNumberFormat="1" applyFont="1" applyFill="1" applyBorder="1"/>
    <xf numFmtId="0" fontId="4" fillId="2" borderId="9" xfId="0" applyFont="1" applyFill="1" applyBorder="1"/>
    <xf numFmtId="0" fontId="4" fillId="2" borderId="11" xfId="0" applyFont="1" applyFill="1" applyBorder="1"/>
    <xf numFmtId="14" fontId="4" fillId="2" borderId="0" xfId="0" applyNumberFormat="1" applyFont="1" applyFill="1"/>
    <xf numFmtId="0" fontId="4" fillId="2" borderId="9" xfId="0" applyFont="1" applyFill="1" applyBorder="1" applyAlignment="1">
      <alignment horizontal="center"/>
    </xf>
    <xf numFmtId="14" fontId="4" fillId="2" borderId="1" xfId="0" applyNumberFormat="1" applyFont="1" applyFill="1" applyBorder="1" applyAlignment="1">
      <alignment horizontal="center"/>
    </xf>
    <xf numFmtId="14" fontId="4" fillId="2" borderId="1" xfId="0" applyNumberFormat="1" applyFont="1" applyFill="1" applyBorder="1"/>
    <xf numFmtId="0" fontId="4" fillId="2" borderId="11" xfId="0" applyFont="1" applyFill="1" applyBorder="1" applyAlignment="1">
      <alignment horizontal="center"/>
    </xf>
    <xf numFmtId="166" fontId="9" fillId="2" borderId="14" xfId="0" applyNumberFormat="1" applyFont="1" applyFill="1" applyBorder="1"/>
    <xf numFmtId="166" fontId="9" fillId="2" borderId="15" xfId="0" applyNumberFormat="1" applyFont="1" applyFill="1" applyBorder="1"/>
    <xf numFmtId="14" fontId="2" fillId="2" borderId="1" xfId="0" applyNumberFormat="1" applyFont="1" applyFill="1" applyBorder="1" applyAlignment="1">
      <alignment horizontal="center" vertical="center"/>
    </xf>
    <xf numFmtId="165" fontId="2" fillId="2" borderId="1" xfId="0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/>
    </xf>
    <xf numFmtId="0" fontId="3" fillId="2" borderId="0" xfId="0" applyFont="1" applyFill="1"/>
    <xf numFmtId="0" fontId="8" fillId="2" borderId="0" xfId="0" applyFont="1" applyFill="1"/>
    <xf numFmtId="0" fontId="8" fillId="2" borderId="1" xfId="0" applyFont="1" applyFill="1" applyBorder="1"/>
    <xf numFmtId="14" fontId="2" fillId="2" borderId="0" xfId="0" applyNumberFormat="1" applyFont="1" applyFill="1" applyAlignment="1">
      <alignment horizontal="center" vertical="center"/>
    </xf>
    <xf numFmtId="165" fontId="2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vertical="center"/>
    </xf>
    <xf numFmtId="164" fontId="2" fillId="2" borderId="0" xfId="0" applyNumberFormat="1" applyFont="1" applyFill="1" applyAlignment="1">
      <alignment horizontal="center" vertical="center"/>
    </xf>
    <xf numFmtId="0" fontId="3" fillId="2" borderId="0" xfId="0" applyFont="1" applyFill="1" applyAlignment="1">
      <alignment horizontal="center"/>
    </xf>
    <xf numFmtId="0" fontId="3" fillId="4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center"/>
    </xf>
    <xf numFmtId="164" fontId="2" fillId="2" borderId="1" xfId="0" applyNumberFormat="1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/>
    </xf>
    <xf numFmtId="164" fontId="6" fillId="2" borderId="0" xfId="0" applyNumberFormat="1" applyFont="1" applyFill="1" applyAlignment="1">
      <alignment horizontal="center"/>
    </xf>
    <xf numFmtId="164" fontId="2" fillId="2" borderId="9" xfId="0" applyNumberFormat="1" applyFont="1" applyFill="1" applyBorder="1" applyAlignment="1">
      <alignment horizontal="center"/>
    </xf>
    <xf numFmtId="164" fontId="6" fillId="2" borderId="9" xfId="0" applyNumberFormat="1" applyFont="1" applyFill="1" applyBorder="1" applyAlignment="1">
      <alignment horizontal="center"/>
    </xf>
    <xf numFmtId="164" fontId="6" fillId="2" borderId="11" xfId="0" applyNumberFormat="1" applyFont="1" applyFill="1" applyBorder="1" applyAlignment="1">
      <alignment horizontal="center"/>
    </xf>
    <xf numFmtId="14" fontId="2" fillId="2" borderId="8" xfId="0" applyNumberFormat="1" applyFont="1" applyFill="1" applyBorder="1" applyAlignment="1">
      <alignment horizontal="center" vertical="center"/>
    </xf>
    <xf numFmtId="14" fontId="2" fillId="2" borderId="10" xfId="0" applyNumberFormat="1" applyFont="1" applyFill="1" applyBorder="1" applyAlignment="1">
      <alignment horizontal="center" vertical="center"/>
    </xf>
    <xf numFmtId="14" fontId="2" fillId="2" borderId="0" xfId="0" applyNumberFormat="1" applyFont="1" applyFill="1" applyAlignment="1">
      <alignment horizontal="left"/>
    </xf>
    <xf numFmtId="0" fontId="4" fillId="2" borderId="0" xfId="0" applyFont="1" applyFill="1" applyAlignment="1">
      <alignment horizontal="left"/>
    </xf>
    <xf numFmtId="14" fontId="2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left"/>
    </xf>
    <xf numFmtId="14" fontId="4" fillId="2" borderId="8" xfId="0" applyNumberFormat="1" applyFont="1" applyFill="1" applyBorder="1" applyAlignment="1">
      <alignment horizontal="center" vertical="center"/>
    </xf>
    <xf numFmtId="14" fontId="4" fillId="2" borderId="10" xfId="0" applyNumberFormat="1" applyFont="1" applyFill="1" applyBorder="1" applyAlignment="1">
      <alignment horizontal="center" vertical="center"/>
    </xf>
    <xf numFmtId="164" fontId="6" fillId="2" borderId="1" xfId="0" applyNumberFormat="1" applyFont="1" applyFill="1" applyBorder="1" applyAlignment="1">
      <alignment horizontal="center"/>
    </xf>
    <xf numFmtId="0" fontId="2" fillId="2" borderId="8" xfId="0" applyFont="1" applyFill="1" applyBorder="1"/>
    <xf numFmtId="0" fontId="6" fillId="2" borderId="8" xfId="0" applyFont="1" applyFill="1" applyBorder="1"/>
    <xf numFmtId="0" fontId="6" fillId="2" borderId="10" xfId="0" applyFont="1" applyFill="1" applyBorder="1"/>
    <xf numFmtId="0" fontId="6" fillId="2" borderId="0" xfId="0" applyFont="1" applyFill="1" applyAlignment="1">
      <alignment horizontal="center"/>
    </xf>
    <xf numFmtId="164" fontId="6" fillId="2" borderId="0" xfId="0" applyNumberFormat="1" applyFont="1" applyFill="1" applyAlignment="1">
      <alignment horizontal="right" vertical="center"/>
    </xf>
    <xf numFmtId="164" fontId="6" fillId="2" borderId="1" xfId="0" applyNumberFormat="1" applyFont="1" applyFill="1" applyBorder="1" applyAlignment="1">
      <alignment horizontal="right" vertical="center"/>
    </xf>
    <xf numFmtId="164" fontId="2" fillId="2" borderId="0" xfId="1" applyNumberFormat="1" applyFont="1" applyFill="1"/>
    <xf numFmtId="0" fontId="5" fillId="2" borderId="0" xfId="0" applyFont="1" applyFill="1"/>
    <xf numFmtId="0" fontId="3" fillId="3" borderId="4" xfId="0" applyFont="1" applyFill="1" applyBorder="1" applyAlignment="1">
      <alignment horizontal="center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6" xfId="0" applyFont="1" applyFill="1" applyBorder="1"/>
    <xf numFmtId="0" fontId="3" fillId="3" borderId="2" xfId="0" applyFont="1" applyFill="1" applyBorder="1"/>
    <xf numFmtId="0" fontId="3" fillId="3" borderId="6" xfId="0" applyFont="1" applyFill="1" applyBorder="1" applyAlignment="1">
      <alignment horizontal="left"/>
    </xf>
    <xf numFmtId="0" fontId="3" fillId="3" borderId="2" xfId="0" applyFont="1" applyFill="1" applyBorder="1" applyAlignment="1">
      <alignment horizontal="left"/>
    </xf>
    <xf numFmtId="0" fontId="3" fillId="3" borderId="7" xfId="0" applyFont="1" applyFill="1" applyBorder="1"/>
    <xf numFmtId="0" fontId="2" fillId="5" borderId="4" xfId="0" applyFont="1" applyFill="1" applyBorder="1"/>
    <xf numFmtId="0" fontId="2" fillId="5" borderId="4" xfId="0" applyFont="1" applyFill="1" applyBorder="1" applyAlignment="1">
      <alignment horizontal="center"/>
    </xf>
    <xf numFmtId="0" fontId="2" fillId="5" borderId="5" xfId="0" applyFont="1" applyFill="1" applyBorder="1"/>
    <xf numFmtId="0" fontId="3" fillId="5" borderId="8" xfId="0" applyFont="1" applyFill="1" applyBorder="1" applyAlignment="1">
      <alignment horizontal="right"/>
    </xf>
    <xf numFmtId="0" fontId="2" fillId="5" borderId="9" xfId="0" applyFont="1" applyFill="1" applyBorder="1"/>
    <xf numFmtId="0" fontId="3" fillId="5" borderId="10" xfId="0" applyFont="1" applyFill="1" applyBorder="1" applyAlignment="1">
      <alignment horizontal="right"/>
    </xf>
    <xf numFmtId="0" fontId="2" fillId="5" borderId="1" xfId="0" applyFont="1" applyFill="1" applyBorder="1" applyAlignment="1">
      <alignment horizontal="left"/>
    </xf>
    <xf numFmtId="0" fontId="2" fillId="5" borderId="1" xfId="0" applyFont="1" applyFill="1" applyBorder="1"/>
    <xf numFmtId="0" fontId="2" fillId="5" borderId="1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0" xfId="0" applyFont="1" applyFill="1" applyAlignment="1">
      <alignment horizontal="left"/>
    </xf>
    <xf numFmtId="0" fontId="2" fillId="5" borderId="0" xfId="0" applyFont="1" applyFill="1"/>
    <xf numFmtId="0" fontId="2" fillId="5" borderId="0" xfId="0" applyFont="1" applyFill="1" applyAlignment="1">
      <alignment horizontal="center"/>
    </xf>
    <xf numFmtId="0" fontId="3" fillId="3" borderId="10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0" fontId="7" fillId="2" borderId="0" xfId="0" applyFont="1" applyFill="1"/>
    <xf numFmtId="0" fontId="9" fillId="2" borderId="0" xfId="0" applyFont="1" applyFill="1"/>
    <xf numFmtId="166" fontId="9" fillId="2" borderId="9" xfId="0" applyNumberFormat="1" applyFont="1" applyFill="1" applyBorder="1"/>
    <xf numFmtId="166" fontId="9" fillId="2" borderId="11" xfId="0" applyNumberFormat="1" applyFont="1" applyFill="1" applyBorder="1"/>
    <xf numFmtId="0" fontId="9" fillId="2" borderId="0" xfId="0" applyFont="1" applyFill="1" applyAlignment="1">
      <alignment horizontal="center"/>
    </xf>
    <xf numFmtId="0" fontId="10" fillId="2" borderId="0" xfId="0" applyFont="1" applyFill="1"/>
    <xf numFmtId="0" fontId="9" fillId="2" borderId="0" xfId="0" applyFont="1" applyFill="1" applyAlignment="1">
      <alignment horizontal="left"/>
    </xf>
    <xf numFmtId="166" fontId="7" fillId="2" borderId="0" xfId="0" applyNumberFormat="1" applyFont="1" applyFill="1"/>
    <xf numFmtId="0" fontId="7" fillId="3" borderId="2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166" fontId="7" fillId="3" borderId="2" xfId="0" applyNumberFormat="1" applyFont="1" applyFill="1" applyBorder="1" applyAlignment="1">
      <alignment horizontal="center"/>
    </xf>
    <xf numFmtId="0" fontId="7" fillId="3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167" fontId="3" fillId="3" borderId="7" xfId="0" applyNumberFormat="1" applyFont="1" applyFill="1" applyBorder="1" applyAlignment="1">
      <alignment horizontal="center"/>
    </xf>
    <xf numFmtId="167" fontId="2" fillId="2" borderId="9" xfId="0" applyNumberFormat="1" applyFont="1" applyFill="1" applyBorder="1" applyAlignment="1">
      <alignment horizontal="center"/>
    </xf>
    <xf numFmtId="167" fontId="2" fillId="2" borderId="11" xfId="0" applyNumberFormat="1" applyFont="1" applyFill="1" applyBorder="1" applyAlignment="1">
      <alignment horizontal="center"/>
    </xf>
    <xf numFmtId="167" fontId="2" fillId="2" borderId="0" xfId="0" applyNumberFormat="1" applyFont="1" applyFill="1" applyAlignment="1">
      <alignment horizontal="center"/>
    </xf>
    <xf numFmtId="166" fontId="11" fillId="2" borderId="8" xfId="0" applyNumberFormat="1" applyFont="1" applyFill="1" applyBorder="1" applyAlignment="1">
      <alignment horizontal="center"/>
    </xf>
    <xf numFmtId="166" fontId="11" fillId="2" borderId="10" xfId="0" applyNumberFormat="1" applyFont="1" applyFill="1" applyBorder="1" applyAlignment="1">
      <alignment horizontal="center"/>
    </xf>
    <xf numFmtId="166" fontId="9" fillId="3" borderId="3" xfId="0" applyNumberFormat="1" applyFont="1" applyFill="1" applyBorder="1"/>
    <xf numFmtId="166" fontId="7" fillId="3" borderId="4" xfId="0" applyNumberFormat="1" applyFont="1" applyFill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6" fillId="2" borderId="8" xfId="0" applyFont="1" applyFill="1" applyBorder="1" applyAlignment="1">
      <alignment horizontal="center"/>
    </xf>
    <xf numFmtId="1" fontId="2" fillId="2" borderId="0" xfId="0" applyNumberFormat="1" applyFont="1" applyFill="1" applyAlignment="1">
      <alignment horizontal="center"/>
    </xf>
    <xf numFmtId="0" fontId="12" fillId="2" borderId="10" xfId="0" applyFont="1" applyFill="1" applyBorder="1" applyAlignment="1">
      <alignment horizontal="center"/>
    </xf>
    <xf numFmtId="1" fontId="3" fillId="2" borderId="1" xfId="0" applyNumberFormat="1" applyFont="1" applyFill="1" applyBorder="1" applyAlignment="1">
      <alignment horizontal="center"/>
    </xf>
    <xf numFmtId="3" fontId="2" fillId="2" borderId="0" xfId="0" applyNumberFormat="1" applyFont="1" applyFill="1" applyAlignment="1">
      <alignment horizontal="center"/>
    </xf>
    <xf numFmtId="3" fontId="2" fillId="2" borderId="9" xfId="0" applyNumberFormat="1" applyFont="1" applyFill="1" applyBorder="1" applyAlignment="1">
      <alignment horizontal="center"/>
    </xf>
    <xf numFmtId="3" fontId="3" fillId="2" borderId="1" xfId="0" applyNumberFormat="1" applyFont="1" applyFill="1" applyBorder="1" applyAlignment="1">
      <alignment horizontal="center"/>
    </xf>
    <xf numFmtId="3" fontId="3" fillId="2" borderId="11" xfId="0" applyNumberFormat="1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 wrapText="1"/>
    </xf>
    <xf numFmtId="0" fontId="3" fillId="3" borderId="7" xfId="0" applyFont="1" applyFill="1" applyBorder="1" applyAlignment="1">
      <alignment horizontal="center" wrapText="1"/>
    </xf>
    <xf numFmtId="4" fontId="2" fillId="2" borderId="0" xfId="0" applyNumberFormat="1" applyFont="1" applyFill="1" applyAlignment="1">
      <alignment horizontal="left"/>
    </xf>
    <xf numFmtId="4" fontId="2" fillId="2" borderId="9" xfId="0" applyNumberFormat="1" applyFont="1" applyFill="1" applyBorder="1" applyAlignment="1">
      <alignment horizontal="left"/>
    </xf>
    <xf numFmtId="168" fontId="2" fillId="2" borderId="9" xfId="0" applyNumberFormat="1" applyFont="1" applyFill="1" applyBorder="1" applyAlignment="1">
      <alignment horizontal="left"/>
    </xf>
    <xf numFmtId="3" fontId="4" fillId="2" borderId="9" xfId="0" applyNumberFormat="1" applyFont="1" applyFill="1" applyBorder="1" applyAlignment="1">
      <alignment horizontal="left"/>
    </xf>
    <xf numFmtId="0" fontId="3" fillId="2" borderId="8" xfId="0" applyFont="1" applyFill="1" applyBorder="1"/>
    <xf numFmtId="4" fontId="4" fillId="2" borderId="9" xfId="0" applyNumberFormat="1" applyFont="1" applyFill="1" applyBorder="1" applyAlignment="1">
      <alignment horizontal="left"/>
    </xf>
    <xf numFmtId="166" fontId="3" fillId="2" borderId="9" xfId="0" applyNumberFormat="1" applyFont="1" applyFill="1" applyBorder="1" applyAlignment="1">
      <alignment horizontal="left"/>
    </xf>
    <xf numFmtId="0" fontId="3" fillId="6" borderId="10" xfId="0" applyFont="1" applyFill="1" applyBorder="1"/>
    <xf numFmtId="0" fontId="3" fillId="6" borderId="1" xfId="0" applyFont="1" applyFill="1" applyBorder="1" applyAlignment="1">
      <alignment horizontal="center"/>
    </xf>
    <xf numFmtId="166" fontId="3" fillId="6" borderId="11" xfId="2" applyNumberFormat="1" applyFont="1" applyFill="1" applyBorder="1" applyAlignment="1">
      <alignment horizontal="left"/>
    </xf>
    <xf numFmtId="0" fontId="3" fillId="3" borderId="6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7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5" borderId="4" xfId="0" applyFont="1" applyFill="1" applyBorder="1" applyAlignment="1">
      <alignment horizontal="center"/>
    </xf>
    <xf numFmtId="0" fontId="2" fillId="5" borderId="12" xfId="0" applyFont="1" applyFill="1" applyBorder="1" applyAlignment="1">
      <alignment horizontal="left" wrapText="1"/>
    </xf>
    <xf numFmtId="0" fontId="9" fillId="5" borderId="12" xfId="0" applyFont="1" applyFill="1" applyBorder="1" applyAlignment="1">
      <alignment horizontal="left" wrapText="1"/>
    </xf>
    <xf numFmtId="0" fontId="6" fillId="2" borderId="0" xfId="0" applyFont="1" applyFill="1" applyAlignment="1">
      <alignment horizontal="center"/>
    </xf>
    <xf numFmtId="0" fontId="6" fillId="2" borderId="9" xfId="0" applyFont="1" applyFill="1" applyBorder="1" applyAlignment="1">
      <alignment horizontal="center"/>
    </xf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000CFF"/>
      <color rgb="FF0002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CED9D9-9089-A748-9AC7-1C5259DA01EE}">
  <sheetPr codeName="Sheet5">
    <tabColor rgb="FF00B050"/>
  </sheetPr>
  <dimension ref="B2:Q23"/>
  <sheetViews>
    <sheetView zoomScaleNormal="230" workbookViewId="0">
      <selection activeCell="B21" sqref="B21:C21"/>
    </sheetView>
  </sheetViews>
  <sheetFormatPr baseColWidth="10" defaultRowHeight="13" x14ac:dyDescent="0.15"/>
  <cols>
    <col min="1" max="1" width="3.33203125" style="1" customWidth="1"/>
    <col min="2" max="2" width="11" style="1" bestFit="1" customWidth="1"/>
    <col min="3" max="3" width="10.83203125" style="11"/>
    <col min="4" max="4" width="10.83203125" style="1" hidden="1" customWidth="1"/>
    <col min="5" max="5" width="15.6640625" style="1" customWidth="1"/>
    <col min="6" max="6" width="4.6640625" style="1" customWidth="1"/>
    <col min="7" max="7" width="15.1640625" style="1" customWidth="1"/>
    <col min="8" max="8" width="18.83203125" style="1" customWidth="1"/>
    <col min="9" max="9" width="4" style="1" customWidth="1"/>
    <col min="10" max="10" width="28.1640625" style="1" bestFit="1" customWidth="1"/>
    <col min="11" max="11" width="14.33203125" style="1" bestFit="1" customWidth="1"/>
    <col min="12" max="12" width="10.83203125" style="11"/>
    <col min="13" max="13" width="4" style="1" customWidth="1"/>
    <col min="14" max="14" width="19.1640625" style="1" bestFit="1" customWidth="1"/>
    <col min="15" max="15" width="14.83203125" style="1" bestFit="1" customWidth="1"/>
    <col min="16" max="16" width="10.83203125" style="1"/>
    <col min="17" max="17" width="30.1640625" style="1" customWidth="1"/>
    <col min="18" max="16384" width="10.83203125" style="1"/>
  </cols>
  <sheetData>
    <row r="2" spans="2:15" x14ac:dyDescent="0.15">
      <c r="B2" s="133" t="s">
        <v>92</v>
      </c>
      <c r="C2" s="134"/>
      <c r="D2" s="134"/>
      <c r="E2" s="135"/>
      <c r="F2" s="32"/>
      <c r="G2" s="136" t="s">
        <v>62</v>
      </c>
      <c r="H2" s="138"/>
      <c r="I2" s="32"/>
      <c r="J2" s="136" t="s">
        <v>28</v>
      </c>
      <c r="K2" s="137"/>
      <c r="L2" s="138"/>
      <c r="N2" s="136" t="s">
        <v>91</v>
      </c>
      <c r="O2" s="138"/>
    </row>
    <row r="3" spans="2:15" x14ac:dyDescent="0.15">
      <c r="B3" s="69" t="s">
        <v>25</v>
      </c>
      <c r="C3" s="67" t="s">
        <v>21</v>
      </c>
      <c r="D3" s="70" t="s">
        <v>31</v>
      </c>
      <c r="E3" s="68" t="s">
        <v>22</v>
      </c>
      <c r="F3" s="32"/>
      <c r="G3" s="69" t="s">
        <v>13</v>
      </c>
      <c r="H3" s="68" t="s">
        <v>23</v>
      </c>
      <c r="I3" s="32"/>
      <c r="J3" s="71" t="s">
        <v>29</v>
      </c>
      <c r="K3" s="72" t="s">
        <v>13</v>
      </c>
      <c r="L3" s="68" t="s">
        <v>12</v>
      </c>
      <c r="N3" s="69" t="s">
        <v>46</v>
      </c>
      <c r="O3" s="73" t="s">
        <v>47</v>
      </c>
    </row>
    <row r="4" spans="2:15" x14ac:dyDescent="0.15">
      <c r="B4" s="4" t="s">
        <v>20</v>
      </c>
      <c r="C4" s="3">
        <v>42390</v>
      </c>
      <c r="D4" s="22" t="str">
        <f>B4&amp;C4</f>
        <v>Hospital42390</v>
      </c>
      <c r="E4" s="23">
        <v>96</v>
      </c>
      <c r="G4" s="4" t="s">
        <v>18</v>
      </c>
      <c r="H4" s="23">
        <v>0</v>
      </c>
      <c r="J4" s="4" t="s">
        <v>10</v>
      </c>
      <c r="K4" s="2" t="s">
        <v>17</v>
      </c>
      <c r="L4" s="5">
        <f>VLOOKUP(K4,$G$4:$H$10,2,FALSE)/SUM($H$4:$H$10)</f>
        <v>0</v>
      </c>
      <c r="M4" s="63"/>
      <c r="N4" s="4" t="s">
        <v>48</v>
      </c>
      <c r="O4" s="20">
        <v>952</v>
      </c>
    </row>
    <row r="5" spans="2:15" x14ac:dyDescent="0.15">
      <c r="B5" s="4" t="s">
        <v>20</v>
      </c>
      <c r="C5" s="3">
        <v>42451</v>
      </c>
      <c r="D5" s="22" t="str">
        <f t="shared" ref="D5:D17" si="0">B5&amp;C5</f>
        <v>Hospital42451</v>
      </c>
      <c r="E5" s="23">
        <v>84</v>
      </c>
      <c r="G5" s="4" t="s">
        <v>17</v>
      </c>
      <c r="H5" s="23">
        <v>0</v>
      </c>
      <c r="J5" s="4" t="s">
        <v>0</v>
      </c>
      <c r="K5" s="2" t="s">
        <v>15</v>
      </c>
      <c r="L5" s="5">
        <f t="shared" ref="L5:L14" si="1">VLOOKUP(K5,$G$4:$H$10,2,FALSE)/SUM($H$4:$H$10)</f>
        <v>0.33333333333333331</v>
      </c>
      <c r="M5" s="63"/>
      <c r="N5" s="4" t="s">
        <v>34</v>
      </c>
      <c r="O5" s="20">
        <v>836</v>
      </c>
    </row>
    <row r="6" spans="2:15" x14ac:dyDescent="0.15">
      <c r="B6" s="4" t="s">
        <v>20</v>
      </c>
      <c r="C6" s="3">
        <v>42459</v>
      </c>
      <c r="D6" s="22" t="str">
        <f t="shared" si="0"/>
        <v>Hospital42459</v>
      </c>
      <c r="E6" s="23">
        <v>96</v>
      </c>
      <c r="G6" s="4" t="s">
        <v>15</v>
      </c>
      <c r="H6" s="23">
        <v>1000</v>
      </c>
      <c r="J6" s="4" t="s">
        <v>1</v>
      </c>
      <c r="K6" s="2" t="s">
        <v>15</v>
      </c>
      <c r="L6" s="5">
        <f t="shared" si="1"/>
        <v>0.33333333333333331</v>
      </c>
      <c r="N6" s="4" t="s">
        <v>35</v>
      </c>
      <c r="O6" s="20">
        <v>369</v>
      </c>
    </row>
    <row r="7" spans="2:15" x14ac:dyDescent="0.15">
      <c r="B7" s="4" t="s">
        <v>20</v>
      </c>
      <c r="C7" s="3">
        <v>42493</v>
      </c>
      <c r="D7" s="22" t="str">
        <f t="shared" si="0"/>
        <v>Hospital42493</v>
      </c>
      <c r="E7" s="23">
        <v>62</v>
      </c>
      <c r="G7" s="4" t="s">
        <v>14</v>
      </c>
      <c r="H7" s="23">
        <v>1000</v>
      </c>
      <c r="J7" s="4" t="s">
        <v>2</v>
      </c>
      <c r="K7" s="2" t="s">
        <v>15</v>
      </c>
      <c r="L7" s="5">
        <f t="shared" si="1"/>
        <v>0.33333333333333331</v>
      </c>
      <c r="N7" s="8" t="s">
        <v>36</v>
      </c>
      <c r="O7" s="21">
        <v>155</v>
      </c>
    </row>
    <row r="8" spans="2:15" x14ac:dyDescent="0.15">
      <c r="B8" s="4" t="s">
        <v>20</v>
      </c>
      <c r="C8" s="3">
        <v>42543</v>
      </c>
      <c r="D8" s="22" t="str">
        <f t="shared" si="0"/>
        <v>Hospital42543</v>
      </c>
      <c r="E8" s="23">
        <v>96</v>
      </c>
      <c r="G8" s="4" t="s">
        <v>16</v>
      </c>
      <c r="H8" s="23">
        <v>0</v>
      </c>
      <c r="J8" s="4" t="s">
        <v>3</v>
      </c>
      <c r="K8" s="2" t="s">
        <v>14</v>
      </c>
      <c r="L8" s="5">
        <f t="shared" si="1"/>
        <v>0.33333333333333331</v>
      </c>
    </row>
    <row r="9" spans="2:15" x14ac:dyDescent="0.15">
      <c r="B9" s="4" t="s">
        <v>20</v>
      </c>
      <c r="C9" s="3">
        <v>42641</v>
      </c>
      <c r="D9" s="22" t="str">
        <f t="shared" si="0"/>
        <v>Hospital42641</v>
      </c>
      <c r="E9" s="23">
        <v>96</v>
      </c>
      <c r="G9" s="4" t="s">
        <v>7</v>
      </c>
      <c r="H9" s="23">
        <v>1000</v>
      </c>
      <c r="J9" s="4" t="s">
        <v>4</v>
      </c>
      <c r="K9" s="2" t="s">
        <v>17</v>
      </c>
      <c r="L9" s="5">
        <f t="shared" si="1"/>
        <v>0</v>
      </c>
    </row>
    <row r="10" spans="2:15" x14ac:dyDescent="0.15">
      <c r="B10" s="4" t="s">
        <v>20</v>
      </c>
      <c r="C10" s="3">
        <v>42689</v>
      </c>
      <c r="D10" s="22" t="str">
        <f t="shared" si="0"/>
        <v>Hospital42689</v>
      </c>
      <c r="E10" s="23">
        <v>95</v>
      </c>
      <c r="G10" s="8" t="s">
        <v>24</v>
      </c>
      <c r="H10" s="26">
        <v>0</v>
      </c>
      <c r="J10" s="4" t="s">
        <v>5</v>
      </c>
      <c r="K10" s="2" t="s">
        <v>24</v>
      </c>
      <c r="L10" s="5">
        <f t="shared" si="1"/>
        <v>0</v>
      </c>
    </row>
    <row r="11" spans="2:15" x14ac:dyDescent="0.15">
      <c r="B11" s="4" t="s">
        <v>20</v>
      </c>
      <c r="C11" s="3">
        <v>42724</v>
      </c>
      <c r="D11" s="22" t="str">
        <f t="shared" si="0"/>
        <v>Hospital42724</v>
      </c>
      <c r="E11" s="23">
        <v>96</v>
      </c>
      <c r="J11" s="4" t="s">
        <v>11</v>
      </c>
      <c r="K11" s="2" t="s">
        <v>17</v>
      </c>
      <c r="L11" s="5">
        <f t="shared" si="1"/>
        <v>0</v>
      </c>
    </row>
    <row r="12" spans="2:15" x14ac:dyDescent="0.15">
      <c r="B12" s="4" t="s">
        <v>19</v>
      </c>
      <c r="C12" s="3">
        <v>42390</v>
      </c>
      <c r="D12" s="22" t="str">
        <f t="shared" si="0"/>
        <v>Municipal42390</v>
      </c>
      <c r="E12" s="23">
        <v>95</v>
      </c>
      <c r="J12" s="4" t="s">
        <v>6</v>
      </c>
      <c r="K12" s="2" t="s">
        <v>18</v>
      </c>
      <c r="L12" s="5">
        <f t="shared" si="1"/>
        <v>0</v>
      </c>
    </row>
    <row r="13" spans="2:15" x14ac:dyDescent="0.15">
      <c r="B13" s="4" t="s">
        <v>19</v>
      </c>
      <c r="C13" s="3">
        <v>42459</v>
      </c>
      <c r="D13" s="22" t="str">
        <f t="shared" si="0"/>
        <v>Municipal42459</v>
      </c>
      <c r="E13" s="23">
        <v>115</v>
      </c>
      <c r="J13" s="4" t="s">
        <v>7</v>
      </c>
      <c r="K13" s="2" t="s">
        <v>7</v>
      </c>
      <c r="L13" s="5">
        <f t="shared" si="1"/>
        <v>0.33333333333333331</v>
      </c>
    </row>
    <row r="14" spans="2:15" x14ac:dyDescent="0.15">
      <c r="B14" s="4" t="s">
        <v>19</v>
      </c>
      <c r="C14" s="3">
        <v>42493</v>
      </c>
      <c r="D14" s="22" t="str">
        <f t="shared" si="0"/>
        <v>Municipal42493</v>
      </c>
      <c r="E14" s="23">
        <v>95</v>
      </c>
      <c r="J14" s="4" t="s">
        <v>8</v>
      </c>
      <c r="K14" s="2" t="s">
        <v>7</v>
      </c>
      <c r="L14" s="5">
        <f t="shared" si="1"/>
        <v>0.33333333333333331</v>
      </c>
    </row>
    <row r="15" spans="2:15" x14ac:dyDescent="0.15">
      <c r="B15" s="4" t="s">
        <v>19</v>
      </c>
      <c r="C15" s="3">
        <v>42535</v>
      </c>
      <c r="D15" s="22" t="str">
        <f t="shared" si="0"/>
        <v>Municipal42535</v>
      </c>
      <c r="E15" s="23">
        <v>42</v>
      </c>
      <c r="J15" s="8" t="s">
        <v>9</v>
      </c>
      <c r="K15" s="9" t="s">
        <v>9</v>
      </c>
      <c r="L15" s="10">
        <v>0</v>
      </c>
    </row>
    <row r="16" spans="2:15" x14ac:dyDescent="0.15">
      <c r="B16" s="4" t="s">
        <v>19</v>
      </c>
      <c r="C16" s="3">
        <v>42605</v>
      </c>
      <c r="D16" s="22" t="str">
        <f t="shared" si="0"/>
        <v>Municipal42605</v>
      </c>
      <c r="E16" s="23">
        <v>104</v>
      </c>
      <c r="J16" s="64" t="s">
        <v>40</v>
      </c>
    </row>
    <row r="17" spans="2:17" x14ac:dyDescent="0.15">
      <c r="B17" s="8" t="s">
        <v>19</v>
      </c>
      <c r="C17" s="24">
        <v>42703</v>
      </c>
      <c r="D17" s="25" t="str">
        <f t="shared" si="0"/>
        <v>Municipal42703</v>
      </c>
      <c r="E17" s="26">
        <v>80</v>
      </c>
    </row>
    <row r="21" spans="2:17" x14ac:dyDescent="0.15">
      <c r="B21" s="139" t="s">
        <v>50</v>
      </c>
      <c r="C21" s="140"/>
      <c r="D21" s="74"/>
      <c r="E21" s="74"/>
      <c r="F21" s="74"/>
      <c r="G21" s="74"/>
      <c r="H21" s="74"/>
      <c r="I21" s="74"/>
      <c r="J21" s="74"/>
      <c r="K21" s="74"/>
      <c r="L21" s="75"/>
      <c r="M21" s="74"/>
      <c r="N21" s="74"/>
      <c r="O21" s="74"/>
      <c r="P21" s="74"/>
      <c r="Q21" s="76"/>
    </row>
    <row r="22" spans="2:17" x14ac:dyDescent="0.15">
      <c r="B22" s="77" t="s">
        <v>51</v>
      </c>
      <c r="C22" s="84" t="s">
        <v>53</v>
      </c>
      <c r="D22" s="85"/>
      <c r="E22" s="85"/>
      <c r="F22" s="85"/>
      <c r="G22" s="85"/>
      <c r="H22" s="85"/>
      <c r="I22" s="85"/>
      <c r="J22" s="85"/>
      <c r="K22" s="85"/>
      <c r="L22" s="86"/>
      <c r="M22" s="85"/>
      <c r="N22" s="85"/>
      <c r="O22" s="85"/>
      <c r="P22" s="85"/>
      <c r="Q22" s="78"/>
    </row>
    <row r="23" spans="2:17" x14ac:dyDescent="0.15">
      <c r="B23" s="79" t="s">
        <v>52</v>
      </c>
      <c r="C23" s="80" t="s">
        <v>58</v>
      </c>
      <c r="D23" s="81"/>
      <c r="E23" s="81"/>
      <c r="F23" s="81"/>
      <c r="G23" s="81"/>
      <c r="H23" s="81"/>
      <c r="I23" s="81"/>
      <c r="J23" s="81"/>
      <c r="K23" s="81"/>
      <c r="L23" s="82"/>
      <c r="M23" s="81"/>
      <c r="N23" s="81"/>
      <c r="O23" s="81"/>
      <c r="P23" s="81"/>
      <c r="Q23" s="83"/>
    </row>
  </sheetData>
  <autoFilter ref="B3:E3" xr:uid="{B0CED9D9-9089-A748-9AC7-1C5259DA01EE}"/>
  <mergeCells count="5">
    <mergeCell ref="B2:E2"/>
    <mergeCell ref="J2:L2"/>
    <mergeCell ref="N2:O2"/>
    <mergeCell ref="G2:H2"/>
    <mergeCell ref="B21:C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D6CD25-0043-BB42-8B8F-FF99551D87B3}">
  <sheetPr codeName="Sheet7">
    <tabColor rgb="FF00B050"/>
  </sheetPr>
  <dimension ref="B2:N170"/>
  <sheetViews>
    <sheetView zoomScale="137" workbookViewId="0">
      <selection activeCell="J20" sqref="J20"/>
    </sheetView>
  </sheetViews>
  <sheetFormatPr baseColWidth="10" defaultRowHeight="13" x14ac:dyDescent="0.15"/>
  <cols>
    <col min="1" max="1" width="2.1640625" style="1" customWidth="1"/>
    <col min="2" max="2" width="10.83203125" style="1"/>
    <col min="3" max="3" width="10.83203125" style="11"/>
    <col min="4" max="4" width="10.83203125" style="1" hidden="1" customWidth="1"/>
    <col min="5" max="5" width="28.6640625" style="1" bestFit="1" customWidth="1"/>
    <col min="6" max="6" width="7.83203125" style="1" customWidth="1"/>
    <col min="7" max="7" width="17.1640625" style="107" bestFit="1" customWidth="1"/>
    <col min="8" max="8" width="3.83203125" style="1" customWidth="1"/>
    <col min="9" max="16384" width="10.83203125" style="1"/>
  </cols>
  <sheetData>
    <row r="2" spans="2:14" s="32" customFormat="1" ht="13" customHeight="1" x14ac:dyDescent="0.15">
      <c r="B2" s="69" t="s">
        <v>25</v>
      </c>
      <c r="C2" s="67" t="s">
        <v>21</v>
      </c>
      <c r="D2" s="72" t="s">
        <v>30</v>
      </c>
      <c r="E2" s="72" t="s">
        <v>26</v>
      </c>
      <c r="F2" s="72" t="s">
        <v>27</v>
      </c>
      <c r="G2" s="104" t="s">
        <v>75</v>
      </c>
      <c r="I2" s="141" t="s">
        <v>60</v>
      </c>
      <c r="J2" s="141"/>
      <c r="K2" s="141"/>
      <c r="L2" s="141"/>
      <c r="M2" s="141"/>
      <c r="N2" s="141"/>
    </row>
    <row r="3" spans="2:14" ht="13" customHeight="1" x14ac:dyDescent="0.15">
      <c r="B3" s="4" t="s">
        <v>20</v>
      </c>
      <c r="C3" s="3">
        <v>42390</v>
      </c>
      <c r="D3" s="50" t="str">
        <f>B3&amp;C3</f>
        <v>Hospital42390</v>
      </c>
      <c r="E3" s="51" t="s">
        <v>10</v>
      </c>
      <c r="F3" s="51">
        <v>23</v>
      </c>
      <c r="G3" s="105">
        <f>F3/VLOOKUP(D3,References!$D$4:$E$17,2,FALSE)*VLOOKUP(E3,References!$J$4:$L$15,3,FALSE)</f>
        <v>0</v>
      </c>
      <c r="I3" s="141"/>
      <c r="J3" s="141"/>
      <c r="K3" s="141"/>
      <c r="L3" s="141"/>
      <c r="M3" s="141"/>
      <c r="N3" s="141"/>
    </row>
    <row r="4" spans="2:14" ht="13" customHeight="1" x14ac:dyDescent="0.15">
      <c r="B4" s="4" t="s">
        <v>20</v>
      </c>
      <c r="C4" s="3">
        <v>42390</v>
      </c>
      <c r="D4" s="50" t="str">
        <f t="shared" ref="D4:D67" si="0">B4&amp;C4</f>
        <v>Hospital42390</v>
      </c>
      <c r="E4" s="51" t="s">
        <v>0</v>
      </c>
      <c r="F4" s="51">
        <v>4</v>
      </c>
      <c r="G4" s="105">
        <f>F4/VLOOKUP(D4,References!$D$4:$E$17,2,FALSE)*VLOOKUP(E4,References!$J$4:$L$15,3,FALSE)</f>
        <v>1.3888888888888888E-2</v>
      </c>
      <c r="I4" s="141"/>
      <c r="J4" s="141"/>
      <c r="K4" s="141"/>
      <c r="L4" s="141"/>
      <c r="M4" s="141"/>
      <c r="N4" s="141"/>
    </row>
    <row r="5" spans="2:14" x14ac:dyDescent="0.15">
      <c r="B5" s="4" t="s">
        <v>20</v>
      </c>
      <c r="C5" s="3">
        <v>42390</v>
      </c>
      <c r="D5" s="50" t="str">
        <f t="shared" si="0"/>
        <v>Hospital42390</v>
      </c>
      <c r="E5" s="51" t="s">
        <v>1</v>
      </c>
      <c r="F5" s="51">
        <v>1</v>
      </c>
      <c r="G5" s="105">
        <f>F5/VLOOKUP(D5,References!$D$4:$E$17,2,FALSE)*VLOOKUP(E5,References!$J$4:$L$15,3,FALSE)</f>
        <v>3.472222222222222E-3</v>
      </c>
    </row>
    <row r="6" spans="2:14" x14ac:dyDescent="0.15">
      <c r="B6" s="4" t="s">
        <v>20</v>
      </c>
      <c r="C6" s="3">
        <v>42390</v>
      </c>
      <c r="D6" s="50" t="str">
        <f t="shared" si="0"/>
        <v>Hospital42390</v>
      </c>
      <c r="E6" s="51" t="s">
        <v>2</v>
      </c>
      <c r="F6" s="51">
        <v>3</v>
      </c>
      <c r="G6" s="105">
        <f>F6/VLOOKUP(D6,References!$D$4:$E$17,2,FALSE)*VLOOKUP(E6,References!$J$4:$L$15,3,FALSE)</f>
        <v>1.0416666666666666E-2</v>
      </c>
    </row>
    <row r="7" spans="2:14" x14ac:dyDescent="0.15">
      <c r="B7" s="4" t="s">
        <v>20</v>
      </c>
      <c r="C7" s="3">
        <v>42390</v>
      </c>
      <c r="D7" s="50" t="str">
        <f t="shared" si="0"/>
        <v>Hospital42390</v>
      </c>
      <c r="E7" s="51" t="s">
        <v>3</v>
      </c>
      <c r="F7" s="51">
        <v>4</v>
      </c>
      <c r="G7" s="105">
        <f>F7/VLOOKUP(D7,References!$D$4:$E$17,2,FALSE)*VLOOKUP(E7,References!$J$4:$L$15,3,FALSE)</f>
        <v>1.3888888888888888E-2</v>
      </c>
    </row>
    <row r="8" spans="2:14" x14ac:dyDescent="0.15">
      <c r="B8" s="4" t="s">
        <v>20</v>
      </c>
      <c r="C8" s="3">
        <v>42390</v>
      </c>
      <c r="D8" s="50" t="str">
        <f t="shared" si="0"/>
        <v>Hospital42390</v>
      </c>
      <c r="E8" s="51" t="s">
        <v>4</v>
      </c>
      <c r="F8" s="51">
        <v>3</v>
      </c>
      <c r="G8" s="105">
        <f>F8/VLOOKUP(D8,References!$D$4:$E$17,2,FALSE)*VLOOKUP(E8,References!$J$4:$L$15,3,FALSE)</f>
        <v>0</v>
      </c>
    </row>
    <row r="9" spans="2:14" x14ac:dyDescent="0.15">
      <c r="B9" s="4" t="s">
        <v>20</v>
      </c>
      <c r="C9" s="3">
        <v>42390</v>
      </c>
      <c r="D9" s="50" t="str">
        <f t="shared" si="0"/>
        <v>Hospital42390</v>
      </c>
      <c r="E9" s="51" t="s">
        <v>5</v>
      </c>
      <c r="F9" s="51">
        <v>0</v>
      </c>
      <c r="G9" s="105">
        <f>F9/VLOOKUP(D9,References!$D$4:$E$17,2,FALSE)*VLOOKUP(E9,References!$J$4:$L$15,3,FALSE)</f>
        <v>0</v>
      </c>
    </row>
    <row r="10" spans="2:14" x14ac:dyDescent="0.15">
      <c r="B10" s="4" t="s">
        <v>20</v>
      </c>
      <c r="C10" s="3">
        <v>42390</v>
      </c>
      <c r="D10" s="50" t="str">
        <f t="shared" si="0"/>
        <v>Hospital42390</v>
      </c>
      <c r="E10" s="51" t="s">
        <v>11</v>
      </c>
      <c r="F10" s="51">
        <v>1</v>
      </c>
      <c r="G10" s="105">
        <f>F10/VLOOKUP(D10,References!$D$4:$E$17,2,FALSE)*VLOOKUP(E10,References!$J$4:$L$15,3,FALSE)</f>
        <v>0</v>
      </c>
    </row>
    <row r="11" spans="2:14" x14ac:dyDescent="0.15">
      <c r="B11" s="4" t="s">
        <v>20</v>
      </c>
      <c r="C11" s="3">
        <v>42390</v>
      </c>
      <c r="D11" s="50" t="str">
        <f t="shared" si="0"/>
        <v>Hospital42390</v>
      </c>
      <c r="E11" s="51" t="s">
        <v>6</v>
      </c>
      <c r="F11" s="51">
        <v>3</v>
      </c>
      <c r="G11" s="105">
        <f>F11/VLOOKUP(D11,References!$D$4:$E$17,2,FALSE)*VLOOKUP(E11,References!$J$4:$L$15,3,FALSE)</f>
        <v>0</v>
      </c>
    </row>
    <row r="12" spans="2:14" x14ac:dyDescent="0.15">
      <c r="B12" s="4" t="s">
        <v>20</v>
      </c>
      <c r="C12" s="3">
        <v>42390</v>
      </c>
      <c r="D12" s="50" t="str">
        <f t="shared" si="0"/>
        <v>Hospital42390</v>
      </c>
      <c r="E12" s="51" t="s">
        <v>7</v>
      </c>
      <c r="F12" s="51">
        <v>29</v>
      </c>
      <c r="G12" s="105">
        <f>F12/VLOOKUP(D12,References!$D$4:$E$17,2,FALSE)*VLOOKUP(E12,References!$J$4:$L$15,3,FALSE)</f>
        <v>0.10069444444444443</v>
      </c>
    </row>
    <row r="13" spans="2:14" x14ac:dyDescent="0.15">
      <c r="B13" s="4" t="s">
        <v>20</v>
      </c>
      <c r="C13" s="3">
        <v>42390</v>
      </c>
      <c r="D13" s="50" t="str">
        <f t="shared" si="0"/>
        <v>Hospital42390</v>
      </c>
      <c r="E13" s="51" t="s">
        <v>8</v>
      </c>
      <c r="F13" s="51">
        <v>23</v>
      </c>
      <c r="G13" s="105">
        <f>F13/VLOOKUP(D13,References!$D$4:$E$17,2,FALSE)*VLOOKUP(E13,References!$J$4:$L$15,3,FALSE)</f>
        <v>7.9861111111111105E-2</v>
      </c>
    </row>
    <row r="14" spans="2:14" x14ac:dyDescent="0.15">
      <c r="B14" s="4" t="s">
        <v>20</v>
      </c>
      <c r="C14" s="3">
        <v>42390</v>
      </c>
      <c r="D14" s="50" t="str">
        <f t="shared" si="0"/>
        <v>Hospital42390</v>
      </c>
      <c r="E14" s="51" t="s">
        <v>9</v>
      </c>
      <c r="F14" s="51">
        <v>2</v>
      </c>
      <c r="G14" s="105">
        <f>F14/VLOOKUP(D14,References!$D$4:$E$17,2,FALSE)*VLOOKUP(E14,References!$J$4:$L$15,3,FALSE)</f>
        <v>0</v>
      </c>
    </row>
    <row r="15" spans="2:14" x14ac:dyDescent="0.15">
      <c r="B15" s="4" t="s">
        <v>20</v>
      </c>
      <c r="C15" s="3">
        <v>42451</v>
      </c>
      <c r="D15" s="50" t="str">
        <f t="shared" si="0"/>
        <v>Hospital42451</v>
      </c>
      <c r="E15" s="51" t="s">
        <v>10</v>
      </c>
      <c r="F15" s="51">
        <v>6</v>
      </c>
      <c r="G15" s="105">
        <f>F15/VLOOKUP(D15,References!$D$4:$E$17,2,FALSE)*VLOOKUP(E15,References!$J$4:$L$15,3,FALSE)</f>
        <v>0</v>
      </c>
    </row>
    <row r="16" spans="2:14" x14ac:dyDescent="0.15">
      <c r="B16" s="4" t="s">
        <v>20</v>
      </c>
      <c r="C16" s="3">
        <v>42451</v>
      </c>
      <c r="D16" s="50" t="str">
        <f t="shared" si="0"/>
        <v>Hospital42451</v>
      </c>
      <c r="E16" s="51" t="s">
        <v>0</v>
      </c>
      <c r="F16" s="51">
        <v>2</v>
      </c>
      <c r="G16" s="105">
        <f>F16/VLOOKUP(D16,References!$D$4:$E$17,2,FALSE)*VLOOKUP(E16,References!$J$4:$L$15,3,FALSE)</f>
        <v>7.9365079365079361E-3</v>
      </c>
    </row>
    <row r="17" spans="2:7" x14ac:dyDescent="0.15">
      <c r="B17" s="4" t="s">
        <v>20</v>
      </c>
      <c r="C17" s="3">
        <v>42451</v>
      </c>
      <c r="D17" s="50" t="str">
        <f t="shared" si="0"/>
        <v>Hospital42451</v>
      </c>
      <c r="E17" s="51" t="s">
        <v>1</v>
      </c>
      <c r="F17" s="51">
        <v>1</v>
      </c>
      <c r="G17" s="105">
        <f>F17/VLOOKUP(D17,References!$D$4:$E$17,2,FALSE)*VLOOKUP(E17,References!$J$4:$L$15,3,FALSE)</f>
        <v>3.968253968253968E-3</v>
      </c>
    </row>
    <row r="18" spans="2:7" x14ac:dyDescent="0.15">
      <c r="B18" s="4" t="s">
        <v>20</v>
      </c>
      <c r="C18" s="3">
        <v>42451</v>
      </c>
      <c r="D18" s="50" t="str">
        <f t="shared" si="0"/>
        <v>Hospital42451</v>
      </c>
      <c r="E18" s="51" t="s">
        <v>2</v>
      </c>
      <c r="F18" s="51">
        <v>0</v>
      </c>
      <c r="G18" s="105">
        <f>F18/VLOOKUP(D18,References!$D$4:$E$17,2,FALSE)*VLOOKUP(E18,References!$J$4:$L$15,3,FALSE)</f>
        <v>0</v>
      </c>
    </row>
    <row r="19" spans="2:7" x14ac:dyDescent="0.15">
      <c r="B19" s="4" t="s">
        <v>20</v>
      </c>
      <c r="C19" s="3">
        <v>42451</v>
      </c>
      <c r="D19" s="50" t="str">
        <f t="shared" si="0"/>
        <v>Hospital42451</v>
      </c>
      <c r="E19" s="51" t="s">
        <v>3</v>
      </c>
      <c r="F19" s="51">
        <v>2</v>
      </c>
      <c r="G19" s="105">
        <f>F19/VLOOKUP(D19,References!$D$4:$E$17,2,FALSE)*VLOOKUP(E19,References!$J$4:$L$15,3,FALSE)</f>
        <v>7.9365079365079361E-3</v>
      </c>
    </row>
    <row r="20" spans="2:7" x14ac:dyDescent="0.15">
      <c r="B20" s="4" t="s">
        <v>20</v>
      </c>
      <c r="C20" s="3">
        <v>42451</v>
      </c>
      <c r="D20" s="50" t="str">
        <f t="shared" si="0"/>
        <v>Hospital42451</v>
      </c>
      <c r="E20" s="51" t="s">
        <v>4</v>
      </c>
      <c r="F20" s="51">
        <v>0</v>
      </c>
      <c r="G20" s="105">
        <f>F20/VLOOKUP(D20,References!$D$4:$E$17,2,FALSE)*VLOOKUP(E20,References!$J$4:$L$15,3,FALSE)</f>
        <v>0</v>
      </c>
    </row>
    <row r="21" spans="2:7" x14ac:dyDescent="0.15">
      <c r="B21" s="4" t="s">
        <v>20</v>
      </c>
      <c r="C21" s="3">
        <v>42451</v>
      </c>
      <c r="D21" s="50" t="str">
        <f t="shared" si="0"/>
        <v>Hospital42451</v>
      </c>
      <c r="E21" s="51" t="s">
        <v>5</v>
      </c>
      <c r="F21" s="51">
        <v>0</v>
      </c>
      <c r="G21" s="105">
        <f>F21/VLOOKUP(D21,References!$D$4:$E$17,2,FALSE)*VLOOKUP(E21,References!$J$4:$L$15,3,FALSE)</f>
        <v>0</v>
      </c>
    </row>
    <row r="22" spans="2:7" x14ac:dyDescent="0.15">
      <c r="B22" s="4" t="s">
        <v>20</v>
      </c>
      <c r="C22" s="3">
        <v>42451</v>
      </c>
      <c r="D22" s="50" t="str">
        <f t="shared" si="0"/>
        <v>Hospital42451</v>
      </c>
      <c r="E22" s="51" t="s">
        <v>11</v>
      </c>
      <c r="F22" s="51">
        <v>0</v>
      </c>
      <c r="G22" s="105">
        <f>F22/VLOOKUP(D22,References!$D$4:$E$17,2,FALSE)*VLOOKUP(E22,References!$J$4:$L$15,3,FALSE)</f>
        <v>0</v>
      </c>
    </row>
    <row r="23" spans="2:7" x14ac:dyDescent="0.15">
      <c r="B23" s="4" t="s">
        <v>20</v>
      </c>
      <c r="C23" s="3">
        <v>42451</v>
      </c>
      <c r="D23" s="50" t="str">
        <f t="shared" si="0"/>
        <v>Hospital42451</v>
      </c>
      <c r="E23" s="51" t="s">
        <v>6</v>
      </c>
      <c r="F23" s="51">
        <v>0</v>
      </c>
      <c r="G23" s="105">
        <f>F23/VLOOKUP(D23,References!$D$4:$E$17,2,FALSE)*VLOOKUP(E23,References!$J$4:$L$15,3,FALSE)</f>
        <v>0</v>
      </c>
    </row>
    <row r="24" spans="2:7" x14ac:dyDescent="0.15">
      <c r="B24" s="4" t="s">
        <v>20</v>
      </c>
      <c r="C24" s="3">
        <v>42451</v>
      </c>
      <c r="D24" s="50" t="str">
        <f t="shared" si="0"/>
        <v>Hospital42451</v>
      </c>
      <c r="E24" s="51" t="s">
        <v>7</v>
      </c>
      <c r="F24" s="51">
        <v>10</v>
      </c>
      <c r="G24" s="105">
        <f>F24/VLOOKUP(D24,References!$D$4:$E$17,2,FALSE)*VLOOKUP(E24,References!$J$4:$L$15,3,FALSE)</f>
        <v>3.968253968253968E-2</v>
      </c>
    </row>
    <row r="25" spans="2:7" x14ac:dyDescent="0.15">
      <c r="B25" s="4" t="s">
        <v>20</v>
      </c>
      <c r="C25" s="3">
        <v>42451</v>
      </c>
      <c r="D25" s="50" t="str">
        <f t="shared" si="0"/>
        <v>Hospital42451</v>
      </c>
      <c r="E25" s="51" t="s">
        <v>8</v>
      </c>
      <c r="F25" s="51">
        <v>9</v>
      </c>
      <c r="G25" s="105">
        <f>F25/VLOOKUP(D25,References!$D$4:$E$17,2,FALSE)*VLOOKUP(E25,References!$J$4:$L$15,3,FALSE)</f>
        <v>3.5714285714285712E-2</v>
      </c>
    </row>
    <row r="26" spans="2:7" x14ac:dyDescent="0.15">
      <c r="B26" s="4" t="s">
        <v>20</v>
      </c>
      <c r="C26" s="3">
        <v>42451</v>
      </c>
      <c r="D26" s="50" t="str">
        <f t="shared" si="0"/>
        <v>Hospital42451</v>
      </c>
      <c r="E26" s="51" t="s">
        <v>9</v>
      </c>
      <c r="F26" s="51">
        <v>1</v>
      </c>
      <c r="G26" s="105">
        <f>F26/VLOOKUP(D26,References!$D$4:$E$17,2,FALSE)*VLOOKUP(E26,References!$J$4:$L$15,3,FALSE)</f>
        <v>0</v>
      </c>
    </row>
    <row r="27" spans="2:7" x14ac:dyDescent="0.15">
      <c r="B27" s="4" t="s">
        <v>20</v>
      </c>
      <c r="C27" s="3">
        <v>42459</v>
      </c>
      <c r="D27" s="50" t="str">
        <f t="shared" si="0"/>
        <v>Hospital42459</v>
      </c>
      <c r="E27" s="51" t="s">
        <v>10</v>
      </c>
      <c r="F27" s="51">
        <v>18</v>
      </c>
      <c r="G27" s="105">
        <f>F27/VLOOKUP(D27,References!$D$4:$E$17,2,FALSE)*VLOOKUP(E27,References!$J$4:$L$15,3,FALSE)</f>
        <v>0</v>
      </c>
    </row>
    <row r="28" spans="2:7" x14ac:dyDescent="0.15">
      <c r="B28" s="4" t="s">
        <v>20</v>
      </c>
      <c r="C28" s="3">
        <v>42459</v>
      </c>
      <c r="D28" s="50" t="str">
        <f t="shared" si="0"/>
        <v>Hospital42459</v>
      </c>
      <c r="E28" s="51" t="s">
        <v>0</v>
      </c>
      <c r="F28" s="51">
        <v>8</v>
      </c>
      <c r="G28" s="105">
        <f>F28/VLOOKUP(D28,References!$D$4:$E$17,2,FALSE)*VLOOKUP(E28,References!$J$4:$L$15,3,FALSE)</f>
        <v>2.7777777777777776E-2</v>
      </c>
    </row>
    <row r="29" spans="2:7" x14ac:dyDescent="0.15">
      <c r="B29" s="4" t="s">
        <v>20</v>
      </c>
      <c r="C29" s="3">
        <v>42459</v>
      </c>
      <c r="D29" s="50" t="str">
        <f t="shared" si="0"/>
        <v>Hospital42459</v>
      </c>
      <c r="E29" s="51" t="s">
        <v>1</v>
      </c>
      <c r="F29" s="51">
        <v>4</v>
      </c>
      <c r="G29" s="105">
        <f>F29/VLOOKUP(D29,References!$D$4:$E$17,2,FALSE)*VLOOKUP(E29,References!$J$4:$L$15,3,FALSE)</f>
        <v>1.3888888888888888E-2</v>
      </c>
    </row>
    <row r="30" spans="2:7" x14ac:dyDescent="0.15">
      <c r="B30" s="4" t="s">
        <v>20</v>
      </c>
      <c r="C30" s="3">
        <v>42459</v>
      </c>
      <c r="D30" s="50" t="str">
        <f t="shared" si="0"/>
        <v>Hospital42459</v>
      </c>
      <c r="E30" s="51" t="s">
        <v>2</v>
      </c>
      <c r="F30" s="51">
        <v>3</v>
      </c>
      <c r="G30" s="105">
        <f>F30/VLOOKUP(D30,References!$D$4:$E$17,2,FALSE)*VLOOKUP(E30,References!$J$4:$L$15,3,FALSE)</f>
        <v>1.0416666666666666E-2</v>
      </c>
    </row>
    <row r="31" spans="2:7" x14ac:dyDescent="0.15">
      <c r="B31" s="4" t="s">
        <v>20</v>
      </c>
      <c r="C31" s="3">
        <v>42459</v>
      </c>
      <c r="D31" s="50" t="str">
        <f t="shared" si="0"/>
        <v>Hospital42459</v>
      </c>
      <c r="E31" s="51" t="s">
        <v>3</v>
      </c>
      <c r="F31" s="51">
        <v>1</v>
      </c>
      <c r="G31" s="105">
        <f>F31/VLOOKUP(D31,References!$D$4:$E$17,2,FALSE)*VLOOKUP(E31,References!$J$4:$L$15,3,FALSE)</f>
        <v>3.472222222222222E-3</v>
      </c>
    </row>
    <row r="32" spans="2:7" x14ac:dyDescent="0.15">
      <c r="B32" s="4" t="s">
        <v>20</v>
      </c>
      <c r="C32" s="3">
        <v>42459</v>
      </c>
      <c r="D32" s="50" t="str">
        <f t="shared" si="0"/>
        <v>Hospital42459</v>
      </c>
      <c r="E32" s="51" t="s">
        <v>4</v>
      </c>
      <c r="F32" s="51">
        <v>3</v>
      </c>
      <c r="G32" s="105">
        <f>F32/VLOOKUP(D32,References!$D$4:$E$17,2,FALSE)*VLOOKUP(E32,References!$J$4:$L$15,3,FALSE)</f>
        <v>0</v>
      </c>
    </row>
    <row r="33" spans="2:7" x14ac:dyDescent="0.15">
      <c r="B33" s="4" t="s">
        <v>20</v>
      </c>
      <c r="C33" s="3">
        <v>42459</v>
      </c>
      <c r="D33" s="50" t="str">
        <f t="shared" si="0"/>
        <v>Hospital42459</v>
      </c>
      <c r="E33" s="51" t="s">
        <v>5</v>
      </c>
      <c r="F33" s="51">
        <v>1</v>
      </c>
      <c r="G33" s="105">
        <f>F33/VLOOKUP(D33,References!$D$4:$E$17,2,FALSE)*VLOOKUP(E33,References!$J$4:$L$15,3,FALSE)</f>
        <v>0</v>
      </c>
    </row>
    <row r="34" spans="2:7" x14ac:dyDescent="0.15">
      <c r="B34" s="4" t="s">
        <v>20</v>
      </c>
      <c r="C34" s="3">
        <v>42459</v>
      </c>
      <c r="D34" s="50" t="str">
        <f t="shared" si="0"/>
        <v>Hospital42459</v>
      </c>
      <c r="E34" s="51" t="s">
        <v>11</v>
      </c>
      <c r="F34" s="51">
        <v>2</v>
      </c>
      <c r="G34" s="105">
        <f>F34/VLOOKUP(D34,References!$D$4:$E$17,2,FALSE)*VLOOKUP(E34,References!$J$4:$L$15,3,FALSE)</f>
        <v>0</v>
      </c>
    </row>
    <row r="35" spans="2:7" x14ac:dyDescent="0.15">
      <c r="B35" s="4" t="s">
        <v>20</v>
      </c>
      <c r="C35" s="3">
        <v>42459</v>
      </c>
      <c r="D35" s="50" t="str">
        <f t="shared" si="0"/>
        <v>Hospital42459</v>
      </c>
      <c r="E35" s="51" t="s">
        <v>6</v>
      </c>
      <c r="F35" s="51">
        <v>1</v>
      </c>
      <c r="G35" s="105">
        <f>F35/VLOOKUP(D35,References!$D$4:$E$17,2,FALSE)*VLOOKUP(E35,References!$J$4:$L$15,3,FALSE)</f>
        <v>0</v>
      </c>
    </row>
    <row r="36" spans="2:7" x14ac:dyDescent="0.15">
      <c r="B36" s="4" t="s">
        <v>20</v>
      </c>
      <c r="C36" s="3">
        <v>42459</v>
      </c>
      <c r="D36" s="50" t="str">
        <f t="shared" si="0"/>
        <v>Hospital42459</v>
      </c>
      <c r="E36" s="51" t="s">
        <v>7</v>
      </c>
      <c r="F36" s="51">
        <v>27</v>
      </c>
      <c r="G36" s="105">
        <f>F36/VLOOKUP(D36,References!$D$4:$E$17,2,FALSE)*VLOOKUP(E36,References!$J$4:$L$15,3,FALSE)</f>
        <v>9.375E-2</v>
      </c>
    </row>
    <row r="37" spans="2:7" x14ac:dyDescent="0.15">
      <c r="B37" s="4" t="s">
        <v>20</v>
      </c>
      <c r="C37" s="3">
        <v>42459</v>
      </c>
      <c r="D37" s="50" t="str">
        <f t="shared" si="0"/>
        <v>Hospital42459</v>
      </c>
      <c r="E37" s="51" t="s">
        <v>8</v>
      </c>
      <c r="F37" s="51">
        <v>26</v>
      </c>
      <c r="G37" s="105">
        <f>F37/VLOOKUP(D37,References!$D$4:$E$17,2,FALSE)*VLOOKUP(E37,References!$J$4:$L$15,3,FALSE)</f>
        <v>9.0277777777777762E-2</v>
      </c>
    </row>
    <row r="38" spans="2:7" x14ac:dyDescent="0.15">
      <c r="B38" s="4" t="s">
        <v>20</v>
      </c>
      <c r="C38" s="3">
        <v>42459</v>
      </c>
      <c r="D38" s="50" t="str">
        <f t="shared" si="0"/>
        <v>Hospital42459</v>
      </c>
      <c r="E38" s="51" t="s">
        <v>9</v>
      </c>
      <c r="F38" s="51">
        <v>4</v>
      </c>
      <c r="G38" s="105">
        <f>F38/VLOOKUP(D38,References!$D$4:$E$17,2,FALSE)*VLOOKUP(E38,References!$J$4:$L$15,3,FALSE)</f>
        <v>0</v>
      </c>
    </row>
    <row r="39" spans="2:7" x14ac:dyDescent="0.15">
      <c r="B39" s="4" t="s">
        <v>20</v>
      </c>
      <c r="C39" s="3">
        <v>42493</v>
      </c>
      <c r="D39" s="50" t="str">
        <f t="shared" si="0"/>
        <v>Hospital42493</v>
      </c>
      <c r="E39" s="51" t="s">
        <v>10</v>
      </c>
      <c r="F39" s="51">
        <v>13</v>
      </c>
      <c r="G39" s="105">
        <f>F39/VLOOKUP(D39,References!$D$4:$E$17,2,FALSE)*VLOOKUP(E39,References!$J$4:$L$15,3,FALSE)</f>
        <v>0</v>
      </c>
    </row>
    <row r="40" spans="2:7" x14ac:dyDescent="0.15">
      <c r="B40" s="4" t="s">
        <v>20</v>
      </c>
      <c r="C40" s="3">
        <v>42493</v>
      </c>
      <c r="D40" s="50" t="str">
        <f t="shared" si="0"/>
        <v>Hospital42493</v>
      </c>
      <c r="E40" s="51" t="s">
        <v>0</v>
      </c>
      <c r="F40" s="51">
        <v>11</v>
      </c>
      <c r="G40" s="105">
        <f>F40/VLOOKUP(D40,References!$D$4:$E$17,2,FALSE)*VLOOKUP(E40,References!$J$4:$L$15,3,FALSE)</f>
        <v>5.9139784946236562E-2</v>
      </c>
    </row>
    <row r="41" spans="2:7" x14ac:dyDescent="0.15">
      <c r="B41" s="4" t="s">
        <v>20</v>
      </c>
      <c r="C41" s="3">
        <v>42493</v>
      </c>
      <c r="D41" s="50" t="str">
        <f t="shared" si="0"/>
        <v>Hospital42493</v>
      </c>
      <c r="E41" s="51" t="s">
        <v>1</v>
      </c>
      <c r="F41" s="51">
        <v>7</v>
      </c>
      <c r="G41" s="105">
        <f>F41/VLOOKUP(D41,References!$D$4:$E$17,2,FALSE)*VLOOKUP(E41,References!$J$4:$L$15,3,FALSE)</f>
        <v>3.7634408602150532E-2</v>
      </c>
    </row>
    <row r="42" spans="2:7" x14ac:dyDescent="0.15">
      <c r="B42" s="4" t="s">
        <v>20</v>
      </c>
      <c r="C42" s="3">
        <v>42493</v>
      </c>
      <c r="D42" s="50" t="str">
        <f t="shared" si="0"/>
        <v>Hospital42493</v>
      </c>
      <c r="E42" s="51" t="s">
        <v>2</v>
      </c>
      <c r="F42" s="51">
        <v>5</v>
      </c>
      <c r="G42" s="105">
        <f>F42/VLOOKUP(D42,References!$D$4:$E$17,2,FALSE)*VLOOKUP(E42,References!$J$4:$L$15,3,FALSE)</f>
        <v>2.6881720430107524E-2</v>
      </c>
    </row>
    <row r="43" spans="2:7" x14ac:dyDescent="0.15">
      <c r="B43" s="4" t="s">
        <v>20</v>
      </c>
      <c r="C43" s="3">
        <v>42493</v>
      </c>
      <c r="D43" s="50" t="str">
        <f t="shared" si="0"/>
        <v>Hospital42493</v>
      </c>
      <c r="E43" s="51" t="s">
        <v>3</v>
      </c>
      <c r="F43" s="51">
        <v>3</v>
      </c>
      <c r="G43" s="105">
        <f>F43/VLOOKUP(D43,References!$D$4:$E$17,2,FALSE)*VLOOKUP(E43,References!$J$4:$L$15,3,FALSE)</f>
        <v>1.6129032258064516E-2</v>
      </c>
    </row>
    <row r="44" spans="2:7" x14ac:dyDescent="0.15">
      <c r="B44" s="4" t="s">
        <v>20</v>
      </c>
      <c r="C44" s="3">
        <v>42493</v>
      </c>
      <c r="D44" s="50" t="str">
        <f t="shared" si="0"/>
        <v>Hospital42493</v>
      </c>
      <c r="E44" s="51" t="s">
        <v>4</v>
      </c>
      <c r="F44" s="51">
        <v>0</v>
      </c>
      <c r="G44" s="105">
        <f>F44/VLOOKUP(D44,References!$D$4:$E$17,2,FALSE)*VLOOKUP(E44,References!$J$4:$L$15,3,FALSE)</f>
        <v>0</v>
      </c>
    </row>
    <row r="45" spans="2:7" x14ac:dyDescent="0.15">
      <c r="B45" s="4" t="s">
        <v>20</v>
      </c>
      <c r="C45" s="3">
        <v>42493</v>
      </c>
      <c r="D45" s="50" t="str">
        <f t="shared" si="0"/>
        <v>Hospital42493</v>
      </c>
      <c r="E45" s="51" t="s">
        <v>5</v>
      </c>
      <c r="F45" s="51">
        <v>0</v>
      </c>
      <c r="G45" s="105">
        <f>F45/VLOOKUP(D45,References!$D$4:$E$17,2,FALSE)*VLOOKUP(E45,References!$J$4:$L$15,3,FALSE)</f>
        <v>0</v>
      </c>
    </row>
    <row r="46" spans="2:7" x14ac:dyDescent="0.15">
      <c r="B46" s="4" t="s">
        <v>20</v>
      </c>
      <c r="C46" s="3">
        <v>42493</v>
      </c>
      <c r="D46" s="50" t="str">
        <f t="shared" si="0"/>
        <v>Hospital42493</v>
      </c>
      <c r="E46" s="51" t="s">
        <v>11</v>
      </c>
      <c r="F46" s="51">
        <v>0</v>
      </c>
      <c r="G46" s="105">
        <f>F46/VLOOKUP(D46,References!$D$4:$E$17,2,FALSE)*VLOOKUP(E46,References!$J$4:$L$15,3,FALSE)</f>
        <v>0</v>
      </c>
    </row>
    <row r="47" spans="2:7" x14ac:dyDescent="0.15">
      <c r="B47" s="4" t="s">
        <v>20</v>
      </c>
      <c r="C47" s="3">
        <v>42493</v>
      </c>
      <c r="D47" s="50" t="str">
        <f t="shared" si="0"/>
        <v>Hospital42493</v>
      </c>
      <c r="E47" s="51" t="s">
        <v>6</v>
      </c>
      <c r="F47" s="51">
        <v>5</v>
      </c>
      <c r="G47" s="105">
        <f>F47/VLOOKUP(D47,References!$D$4:$E$17,2,FALSE)*VLOOKUP(E47,References!$J$4:$L$15,3,FALSE)</f>
        <v>0</v>
      </c>
    </row>
    <row r="48" spans="2:7" x14ac:dyDescent="0.15">
      <c r="B48" s="4" t="s">
        <v>20</v>
      </c>
      <c r="C48" s="3">
        <v>42493</v>
      </c>
      <c r="D48" s="50" t="str">
        <f t="shared" si="0"/>
        <v>Hospital42493</v>
      </c>
      <c r="E48" s="51" t="s">
        <v>7</v>
      </c>
      <c r="F48" s="51">
        <v>11</v>
      </c>
      <c r="G48" s="105">
        <f>F48/VLOOKUP(D48,References!$D$4:$E$17,2,FALSE)*VLOOKUP(E48,References!$J$4:$L$15,3,FALSE)</f>
        <v>5.9139784946236562E-2</v>
      </c>
    </row>
    <row r="49" spans="2:7" x14ac:dyDescent="0.15">
      <c r="B49" s="4" t="s">
        <v>20</v>
      </c>
      <c r="C49" s="3">
        <v>42493</v>
      </c>
      <c r="D49" s="50" t="str">
        <f t="shared" si="0"/>
        <v>Hospital42493</v>
      </c>
      <c r="E49" s="51" t="s">
        <v>8</v>
      </c>
      <c r="F49" s="51">
        <v>7</v>
      </c>
      <c r="G49" s="105">
        <f>F49/VLOOKUP(D49,References!$D$4:$E$17,2,FALSE)*VLOOKUP(E49,References!$J$4:$L$15,3,FALSE)</f>
        <v>3.7634408602150532E-2</v>
      </c>
    </row>
    <row r="50" spans="2:7" x14ac:dyDescent="0.15">
      <c r="B50" s="4" t="s">
        <v>20</v>
      </c>
      <c r="C50" s="3">
        <v>42493</v>
      </c>
      <c r="D50" s="50" t="str">
        <f t="shared" si="0"/>
        <v>Hospital42493</v>
      </c>
      <c r="E50" s="51" t="s">
        <v>9</v>
      </c>
      <c r="F50" s="51">
        <v>6</v>
      </c>
      <c r="G50" s="105">
        <f>F50/VLOOKUP(D50,References!$D$4:$E$17,2,FALSE)*VLOOKUP(E50,References!$J$4:$L$15,3,FALSE)</f>
        <v>0</v>
      </c>
    </row>
    <row r="51" spans="2:7" x14ac:dyDescent="0.15">
      <c r="B51" s="4" t="s">
        <v>20</v>
      </c>
      <c r="C51" s="3">
        <v>42543</v>
      </c>
      <c r="D51" s="50" t="str">
        <f t="shared" si="0"/>
        <v>Hospital42543</v>
      </c>
      <c r="E51" s="51" t="s">
        <v>10</v>
      </c>
      <c r="F51" s="51">
        <v>22</v>
      </c>
      <c r="G51" s="105">
        <f>F51/VLOOKUP(D51,References!$D$4:$E$17,2,FALSE)*VLOOKUP(E51,References!$J$4:$L$15,3,FALSE)</f>
        <v>0</v>
      </c>
    </row>
    <row r="52" spans="2:7" x14ac:dyDescent="0.15">
      <c r="B52" s="4" t="s">
        <v>20</v>
      </c>
      <c r="C52" s="3">
        <v>42543</v>
      </c>
      <c r="D52" s="50" t="str">
        <f t="shared" si="0"/>
        <v>Hospital42543</v>
      </c>
      <c r="E52" s="51" t="s">
        <v>0</v>
      </c>
      <c r="F52" s="51">
        <v>14</v>
      </c>
      <c r="G52" s="105">
        <f>F52/VLOOKUP(D52,References!$D$4:$E$17,2,FALSE)*VLOOKUP(E52,References!$J$4:$L$15,3,FALSE)</f>
        <v>4.8611111111111112E-2</v>
      </c>
    </row>
    <row r="53" spans="2:7" x14ac:dyDescent="0.15">
      <c r="B53" s="4" t="s">
        <v>20</v>
      </c>
      <c r="C53" s="3">
        <v>42543</v>
      </c>
      <c r="D53" s="50" t="str">
        <f t="shared" si="0"/>
        <v>Hospital42543</v>
      </c>
      <c r="E53" s="51" t="s">
        <v>1</v>
      </c>
      <c r="F53" s="51">
        <v>11</v>
      </c>
      <c r="G53" s="105">
        <f>F53/VLOOKUP(D53,References!$D$4:$E$17,2,FALSE)*VLOOKUP(E53,References!$J$4:$L$15,3,FALSE)</f>
        <v>3.8194444444444441E-2</v>
      </c>
    </row>
    <row r="54" spans="2:7" x14ac:dyDescent="0.15">
      <c r="B54" s="4" t="s">
        <v>20</v>
      </c>
      <c r="C54" s="3">
        <v>42543</v>
      </c>
      <c r="D54" s="50" t="str">
        <f t="shared" si="0"/>
        <v>Hospital42543</v>
      </c>
      <c r="E54" s="51" t="s">
        <v>2</v>
      </c>
      <c r="F54" s="51">
        <v>11</v>
      </c>
      <c r="G54" s="105">
        <f>F54/VLOOKUP(D54,References!$D$4:$E$17,2,FALSE)*VLOOKUP(E54,References!$J$4:$L$15,3,FALSE)</f>
        <v>3.8194444444444441E-2</v>
      </c>
    </row>
    <row r="55" spans="2:7" x14ac:dyDescent="0.15">
      <c r="B55" s="4" t="s">
        <v>20</v>
      </c>
      <c r="C55" s="3">
        <v>42543</v>
      </c>
      <c r="D55" s="50" t="str">
        <f t="shared" si="0"/>
        <v>Hospital42543</v>
      </c>
      <c r="E55" s="51" t="s">
        <v>3</v>
      </c>
      <c r="F55" s="51">
        <v>51</v>
      </c>
      <c r="G55" s="105">
        <f>F55/VLOOKUP(D55,References!$D$4:$E$17,2,FALSE)*VLOOKUP(E55,References!$J$4:$L$15,3,FALSE)</f>
        <v>0.17708333333333331</v>
      </c>
    </row>
    <row r="56" spans="2:7" x14ac:dyDescent="0.15">
      <c r="B56" s="4" t="s">
        <v>20</v>
      </c>
      <c r="C56" s="3">
        <v>42543</v>
      </c>
      <c r="D56" s="50" t="str">
        <f t="shared" si="0"/>
        <v>Hospital42543</v>
      </c>
      <c r="E56" s="51" t="s">
        <v>4</v>
      </c>
      <c r="F56" s="51">
        <v>3</v>
      </c>
      <c r="G56" s="105">
        <f>F56/VLOOKUP(D56,References!$D$4:$E$17,2,FALSE)*VLOOKUP(E56,References!$J$4:$L$15,3,FALSE)</f>
        <v>0</v>
      </c>
    </row>
    <row r="57" spans="2:7" x14ac:dyDescent="0.15">
      <c r="B57" s="4" t="s">
        <v>20</v>
      </c>
      <c r="C57" s="3">
        <v>42543</v>
      </c>
      <c r="D57" s="50" t="str">
        <f t="shared" si="0"/>
        <v>Hospital42543</v>
      </c>
      <c r="E57" s="51" t="s">
        <v>5</v>
      </c>
      <c r="F57" s="51">
        <v>0</v>
      </c>
      <c r="G57" s="105">
        <f>F57/VLOOKUP(D57,References!$D$4:$E$17,2,FALSE)*VLOOKUP(E57,References!$J$4:$L$15,3,FALSE)</f>
        <v>0</v>
      </c>
    </row>
    <row r="58" spans="2:7" x14ac:dyDescent="0.15">
      <c r="B58" s="4" t="s">
        <v>20</v>
      </c>
      <c r="C58" s="3">
        <v>42543</v>
      </c>
      <c r="D58" s="50" t="str">
        <f t="shared" si="0"/>
        <v>Hospital42543</v>
      </c>
      <c r="E58" s="51" t="s">
        <v>11</v>
      </c>
      <c r="F58" s="51">
        <v>1</v>
      </c>
      <c r="G58" s="105">
        <f>F58/VLOOKUP(D58,References!$D$4:$E$17,2,FALSE)*VLOOKUP(E58,References!$J$4:$L$15,3,FALSE)</f>
        <v>0</v>
      </c>
    </row>
    <row r="59" spans="2:7" x14ac:dyDescent="0.15">
      <c r="B59" s="4" t="s">
        <v>20</v>
      </c>
      <c r="C59" s="3">
        <v>42543</v>
      </c>
      <c r="D59" s="50" t="str">
        <f t="shared" si="0"/>
        <v>Hospital42543</v>
      </c>
      <c r="E59" s="51" t="s">
        <v>6</v>
      </c>
      <c r="F59" s="51">
        <v>10</v>
      </c>
      <c r="G59" s="105">
        <f>F59/VLOOKUP(D59,References!$D$4:$E$17,2,FALSE)*VLOOKUP(E59,References!$J$4:$L$15,3,FALSE)</f>
        <v>0</v>
      </c>
    </row>
    <row r="60" spans="2:7" x14ac:dyDescent="0.15">
      <c r="B60" s="4" t="s">
        <v>20</v>
      </c>
      <c r="C60" s="3">
        <v>42543</v>
      </c>
      <c r="D60" s="50" t="str">
        <f t="shared" si="0"/>
        <v>Hospital42543</v>
      </c>
      <c r="E60" s="51" t="s">
        <v>7</v>
      </c>
      <c r="F60" s="51">
        <v>19</v>
      </c>
      <c r="G60" s="105">
        <f>F60/VLOOKUP(D60,References!$D$4:$E$17,2,FALSE)*VLOOKUP(E60,References!$J$4:$L$15,3,FALSE)</f>
        <v>6.597222222222221E-2</v>
      </c>
    </row>
    <row r="61" spans="2:7" x14ac:dyDescent="0.15">
      <c r="B61" s="4" t="s">
        <v>20</v>
      </c>
      <c r="C61" s="3">
        <v>42543</v>
      </c>
      <c r="D61" s="50" t="str">
        <f t="shared" si="0"/>
        <v>Hospital42543</v>
      </c>
      <c r="E61" s="51" t="s">
        <v>8</v>
      </c>
      <c r="F61" s="51">
        <v>18</v>
      </c>
      <c r="G61" s="105">
        <f>F61/VLOOKUP(D61,References!$D$4:$E$17,2,FALSE)*VLOOKUP(E61,References!$J$4:$L$15,3,FALSE)</f>
        <v>6.25E-2</v>
      </c>
    </row>
    <row r="62" spans="2:7" x14ac:dyDescent="0.15">
      <c r="B62" s="4" t="s">
        <v>20</v>
      </c>
      <c r="C62" s="3">
        <v>42543</v>
      </c>
      <c r="D62" s="50" t="str">
        <f t="shared" si="0"/>
        <v>Hospital42543</v>
      </c>
      <c r="E62" s="51" t="s">
        <v>9</v>
      </c>
      <c r="F62" s="51">
        <v>11</v>
      </c>
      <c r="G62" s="105">
        <f>F62/VLOOKUP(D62,References!$D$4:$E$17,2,FALSE)*VLOOKUP(E62,References!$J$4:$L$15,3,FALSE)</f>
        <v>0</v>
      </c>
    </row>
    <row r="63" spans="2:7" x14ac:dyDescent="0.15">
      <c r="B63" s="4" t="s">
        <v>20</v>
      </c>
      <c r="C63" s="3">
        <v>42641</v>
      </c>
      <c r="D63" s="50" t="str">
        <f t="shared" si="0"/>
        <v>Hospital42641</v>
      </c>
      <c r="E63" s="51" t="s">
        <v>10</v>
      </c>
      <c r="F63" s="51">
        <v>29</v>
      </c>
      <c r="G63" s="105">
        <f>F63/VLOOKUP(D63,References!$D$4:$E$17,2,FALSE)*VLOOKUP(E63,References!$J$4:$L$15,3,FALSE)</f>
        <v>0</v>
      </c>
    </row>
    <row r="64" spans="2:7" x14ac:dyDescent="0.15">
      <c r="B64" s="4" t="s">
        <v>20</v>
      </c>
      <c r="C64" s="3">
        <v>42641</v>
      </c>
      <c r="D64" s="50" t="str">
        <f t="shared" si="0"/>
        <v>Hospital42641</v>
      </c>
      <c r="E64" s="51" t="s">
        <v>0</v>
      </c>
      <c r="F64" s="51">
        <v>4</v>
      </c>
      <c r="G64" s="105">
        <f>F64/VLOOKUP(D64,References!$D$4:$E$17,2,FALSE)*VLOOKUP(E64,References!$J$4:$L$15,3,FALSE)</f>
        <v>1.3888888888888888E-2</v>
      </c>
    </row>
    <row r="65" spans="2:7" x14ac:dyDescent="0.15">
      <c r="B65" s="4" t="s">
        <v>20</v>
      </c>
      <c r="C65" s="3">
        <v>42641</v>
      </c>
      <c r="D65" s="50" t="str">
        <f t="shared" si="0"/>
        <v>Hospital42641</v>
      </c>
      <c r="E65" s="51" t="s">
        <v>1</v>
      </c>
      <c r="F65" s="51">
        <v>2</v>
      </c>
      <c r="G65" s="105">
        <f>F65/VLOOKUP(D65,References!$D$4:$E$17,2,FALSE)*VLOOKUP(E65,References!$J$4:$L$15,3,FALSE)</f>
        <v>6.9444444444444441E-3</v>
      </c>
    </row>
    <row r="66" spans="2:7" x14ac:dyDescent="0.15">
      <c r="B66" s="4" t="s">
        <v>20</v>
      </c>
      <c r="C66" s="3">
        <v>42641</v>
      </c>
      <c r="D66" s="50" t="str">
        <f t="shared" si="0"/>
        <v>Hospital42641</v>
      </c>
      <c r="E66" s="51" t="s">
        <v>2</v>
      </c>
      <c r="F66" s="51">
        <v>2</v>
      </c>
      <c r="G66" s="105">
        <f>F66/VLOOKUP(D66,References!$D$4:$E$17,2,FALSE)*VLOOKUP(E66,References!$J$4:$L$15,3,FALSE)</f>
        <v>6.9444444444444441E-3</v>
      </c>
    </row>
    <row r="67" spans="2:7" x14ac:dyDescent="0.15">
      <c r="B67" s="4" t="s">
        <v>20</v>
      </c>
      <c r="C67" s="3">
        <v>42641</v>
      </c>
      <c r="D67" s="50" t="str">
        <f t="shared" si="0"/>
        <v>Hospital42641</v>
      </c>
      <c r="E67" s="51" t="s">
        <v>3</v>
      </c>
      <c r="F67" s="51">
        <v>5</v>
      </c>
      <c r="G67" s="105">
        <f>F67/VLOOKUP(D67,References!$D$4:$E$17,2,FALSE)*VLOOKUP(E67,References!$J$4:$L$15,3,FALSE)</f>
        <v>1.7361111111111112E-2</v>
      </c>
    </row>
    <row r="68" spans="2:7" x14ac:dyDescent="0.15">
      <c r="B68" s="4" t="s">
        <v>20</v>
      </c>
      <c r="C68" s="3">
        <v>42641</v>
      </c>
      <c r="D68" s="50" t="str">
        <f t="shared" ref="D68:D131" si="1">B68&amp;C68</f>
        <v>Hospital42641</v>
      </c>
      <c r="E68" s="51" t="s">
        <v>4</v>
      </c>
      <c r="F68" s="51">
        <v>4</v>
      </c>
      <c r="G68" s="105">
        <f>F68/VLOOKUP(D68,References!$D$4:$E$17,2,FALSE)*VLOOKUP(E68,References!$J$4:$L$15,3,FALSE)</f>
        <v>0</v>
      </c>
    </row>
    <row r="69" spans="2:7" x14ac:dyDescent="0.15">
      <c r="B69" s="4" t="s">
        <v>20</v>
      </c>
      <c r="C69" s="3">
        <v>42641</v>
      </c>
      <c r="D69" s="50" t="str">
        <f t="shared" si="1"/>
        <v>Hospital42641</v>
      </c>
      <c r="E69" s="51" t="s">
        <v>5</v>
      </c>
      <c r="F69" s="51">
        <v>0</v>
      </c>
      <c r="G69" s="105">
        <f>F69/VLOOKUP(D69,References!$D$4:$E$17,2,FALSE)*VLOOKUP(E69,References!$J$4:$L$15,3,FALSE)</f>
        <v>0</v>
      </c>
    </row>
    <row r="70" spans="2:7" x14ac:dyDescent="0.15">
      <c r="B70" s="4" t="s">
        <v>20</v>
      </c>
      <c r="C70" s="3">
        <v>42641</v>
      </c>
      <c r="D70" s="50" t="str">
        <f t="shared" si="1"/>
        <v>Hospital42641</v>
      </c>
      <c r="E70" s="51" t="s">
        <v>11</v>
      </c>
      <c r="F70" s="51">
        <v>0</v>
      </c>
      <c r="G70" s="105">
        <f>F70/VLOOKUP(D70,References!$D$4:$E$17,2,FALSE)*VLOOKUP(E70,References!$J$4:$L$15,3,FALSE)</f>
        <v>0</v>
      </c>
    </row>
    <row r="71" spans="2:7" x14ac:dyDescent="0.15">
      <c r="B71" s="4" t="s">
        <v>20</v>
      </c>
      <c r="C71" s="3">
        <v>42641</v>
      </c>
      <c r="D71" s="50" t="str">
        <f t="shared" si="1"/>
        <v>Hospital42641</v>
      </c>
      <c r="E71" s="51" t="s">
        <v>6</v>
      </c>
      <c r="F71" s="51">
        <v>3</v>
      </c>
      <c r="G71" s="105">
        <f>F71/VLOOKUP(D71,References!$D$4:$E$17,2,FALSE)*VLOOKUP(E71,References!$J$4:$L$15,3,FALSE)</f>
        <v>0</v>
      </c>
    </row>
    <row r="72" spans="2:7" x14ac:dyDescent="0.15">
      <c r="B72" s="4" t="s">
        <v>20</v>
      </c>
      <c r="C72" s="3">
        <v>42641</v>
      </c>
      <c r="D72" s="50" t="str">
        <f t="shared" si="1"/>
        <v>Hospital42641</v>
      </c>
      <c r="E72" s="51" t="s">
        <v>7</v>
      </c>
      <c r="F72" s="51">
        <v>32</v>
      </c>
      <c r="G72" s="105">
        <f>F72/VLOOKUP(D72,References!$D$4:$E$17,2,FALSE)*VLOOKUP(E72,References!$J$4:$L$15,3,FALSE)</f>
        <v>0.1111111111111111</v>
      </c>
    </row>
    <row r="73" spans="2:7" x14ac:dyDescent="0.15">
      <c r="B73" s="4" t="s">
        <v>20</v>
      </c>
      <c r="C73" s="3">
        <v>42641</v>
      </c>
      <c r="D73" s="50" t="str">
        <f t="shared" si="1"/>
        <v>Hospital42641</v>
      </c>
      <c r="E73" s="51" t="s">
        <v>8</v>
      </c>
      <c r="F73" s="51">
        <v>32</v>
      </c>
      <c r="G73" s="105">
        <f>F73/VLOOKUP(D73,References!$D$4:$E$17,2,FALSE)*VLOOKUP(E73,References!$J$4:$L$15,3,FALSE)</f>
        <v>0.1111111111111111</v>
      </c>
    </row>
    <row r="74" spans="2:7" x14ac:dyDescent="0.15">
      <c r="B74" s="4" t="s">
        <v>20</v>
      </c>
      <c r="C74" s="3">
        <v>42641</v>
      </c>
      <c r="D74" s="50" t="str">
        <f t="shared" si="1"/>
        <v>Hospital42641</v>
      </c>
      <c r="E74" s="51" t="s">
        <v>9</v>
      </c>
      <c r="F74" s="51">
        <v>2</v>
      </c>
      <c r="G74" s="105">
        <f>F74/VLOOKUP(D74,References!$D$4:$E$17,2,FALSE)*VLOOKUP(E74,References!$J$4:$L$15,3,FALSE)</f>
        <v>0</v>
      </c>
    </row>
    <row r="75" spans="2:7" x14ac:dyDescent="0.15">
      <c r="B75" s="4" t="s">
        <v>20</v>
      </c>
      <c r="C75" s="3">
        <v>42689</v>
      </c>
      <c r="D75" s="50" t="str">
        <f t="shared" si="1"/>
        <v>Hospital42689</v>
      </c>
      <c r="E75" s="51" t="s">
        <v>10</v>
      </c>
      <c r="F75" s="51">
        <v>11</v>
      </c>
      <c r="G75" s="105">
        <f>F75/VLOOKUP(D75,References!$D$4:$E$17,2,FALSE)*VLOOKUP(E75,References!$J$4:$L$15,3,FALSE)</f>
        <v>0</v>
      </c>
    </row>
    <row r="76" spans="2:7" x14ac:dyDescent="0.15">
      <c r="B76" s="4" t="s">
        <v>20</v>
      </c>
      <c r="C76" s="3">
        <v>42689</v>
      </c>
      <c r="D76" s="50" t="str">
        <f t="shared" si="1"/>
        <v>Hospital42689</v>
      </c>
      <c r="E76" s="51" t="s">
        <v>0</v>
      </c>
      <c r="F76" s="51">
        <v>5</v>
      </c>
      <c r="G76" s="105">
        <f>F76/VLOOKUP(D76,References!$D$4:$E$17,2,FALSE)*VLOOKUP(E76,References!$J$4:$L$15,3,FALSE)</f>
        <v>1.7543859649122806E-2</v>
      </c>
    </row>
    <row r="77" spans="2:7" x14ac:dyDescent="0.15">
      <c r="B77" s="4" t="s">
        <v>20</v>
      </c>
      <c r="C77" s="3">
        <v>42689</v>
      </c>
      <c r="D77" s="50" t="str">
        <f t="shared" si="1"/>
        <v>Hospital42689</v>
      </c>
      <c r="E77" s="51" t="s">
        <v>1</v>
      </c>
      <c r="F77" s="51">
        <v>3</v>
      </c>
      <c r="G77" s="105">
        <f>F77/VLOOKUP(D77,References!$D$4:$E$17,2,FALSE)*VLOOKUP(E77,References!$J$4:$L$15,3,FALSE)</f>
        <v>1.0526315789473684E-2</v>
      </c>
    </row>
    <row r="78" spans="2:7" x14ac:dyDescent="0.15">
      <c r="B78" s="4" t="s">
        <v>20</v>
      </c>
      <c r="C78" s="3">
        <v>42689</v>
      </c>
      <c r="D78" s="50" t="str">
        <f t="shared" si="1"/>
        <v>Hospital42689</v>
      </c>
      <c r="E78" s="51" t="s">
        <v>2</v>
      </c>
      <c r="F78" s="51">
        <v>3</v>
      </c>
      <c r="G78" s="105">
        <f>F78/VLOOKUP(D78,References!$D$4:$E$17,2,FALSE)*VLOOKUP(E78,References!$J$4:$L$15,3,FALSE)</f>
        <v>1.0526315789473684E-2</v>
      </c>
    </row>
    <row r="79" spans="2:7" x14ac:dyDescent="0.15">
      <c r="B79" s="4" t="s">
        <v>20</v>
      </c>
      <c r="C79" s="3">
        <v>42689</v>
      </c>
      <c r="D79" s="50" t="str">
        <f t="shared" si="1"/>
        <v>Hospital42689</v>
      </c>
      <c r="E79" s="51" t="s">
        <v>3</v>
      </c>
      <c r="F79" s="51">
        <v>6</v>
      </c>
      <c r="G79" s="105">
        <f>F79/VLOOKUP(D79,References!$D$4:$E$17,2,FALSE)*VLOOKUP(E79,References!$J$4:$L$15,3,FALSE)</f>
        <v>2.1052631578947368E-2</v>
      </c>
    </row>
    <row r="80" spans="2:7" x14ac:dyDescent="0.15">
      <c r="B80" s="4" t="s">
        <v>20</v>
      </c>
      <c r="C80" s="3">
        <v>42689</v>
      </c>
      <c r="D80" s="50" t="str">
        <f t="shared" si="1"/>
        <v>Hospital42689</v>
      </c>
      <c r="E80" s="51" t="s">
        <v>4</v>
      </c>
      <c r="F80" s="51">
        <v>1</v>
      </c>
      <c r="G80" s="105">
        <f>F80/VLOOKUP(D80,References!$D$4:$E$17,2,FALSE)*VLOOKUP(E80,References!$J$4:$L$15,3,FALSE)</f>
        <v>0</v>
      </c>
    </row>
    <row r="81" spans="2:7" x14ac:dyDescent="0.15">
      <c r="B81" s="4" t="s">
        <v>20</v>
      </c>
      <c r="C81" s="3">
        <v>42689</v>
      </c>
      <c r="D81" s="50" t="str">
        <f t="shared" si="1"/>
        <v>Hospital42689</v>
      </c>
      <c r="E81" s="51" t="s">
        <v>5</v>
      </c>
      <c r="F81" s="51">
        <v>2</v>
      </c>
      <c r="G81" s="105">
        <f>F81/VLOOKUP(D81,References!$D$4:$E$17,2,FALSE)*VLOOKUP(E81,References!$J$4:$L$15,3,FALSE)</f>
        <v>0</v>
      </c>
    </row>
    <row r="82" spans="2:7" x14ac:dyDescent="0.15">
      <c r="B82" s="4" t="s">
        <v>20</v>
      </c>
      <c r="C82" s="3">
        <v>42689</v>
      </c>
      <c r="D82" s="50" t="str">
        <f t="shared" si="1"/>
        <v>Hospital42689</v>
      </c>
      <c r="E82" s="51" t="s">
        <v>11</v>
      </c>
      <c r="F82" s="51">
        <v>1</v>
      </c>
      <c r="G82" s="105">
        <f>F82/VLOOKUP(D82,References!$D$4:$E$17,2,FALSE)*VLOOKUP(E82,References!$J$4:$L$15,3,FALSE)</f>
        <v>0</v>
      </c>
    </row>
    <row r="83" spans="2:7" x14ac:dyDescent="0.15">
      <c r="B83" s="4" t="s">
        <v>20</v>
      </c>
      <c r="C83" s="3">
        <v>42689</v>
      </c>
      <c r="D83" s="50" t="str">
        <f t="shared" si="1"/>
        <v>Hospital42689</v>
      </c>
      <c r="E83" s="51" t="s">
        <v>6</v>
      </c>
      <c r="F83" s="51">
        <v>4</v>
      </c>
      <c r="G83" s="105">
        <f>F83/VLOOKUP(D83,References!$D$4:$E$17,2,FALSE)*VLOOKUP(E83,References!$J$4:$L$15,3,FALSE)</f>
        <v>0</v>
      </c>
    </row>
    <row r="84" spans="2:7" x14ac:dyDescent="0.15">
      <c r="B84" s="4" t="s">
        <v>20</v>
      </c>
      <c r="C84" s="3">
        <v>42689</v>
      </c>
      <c r="D84" s="50" t="str">
        <f t="shared" si="1"/>
        <v>Hospital42689</v>
      </c>
      <c r="E84" s="51" t="s">
        <v>7</v>
      </c>
      <c r="F84" s="51">
        <v>6</v>
      </c>
      <c r="G84" s="105">
        <f>F84/VLOOKUP(D84,References!$D$4:$E$17,2,FALSE)*VLOOKUP(E84,References!$J$4:$L$15,3,FALSE)</f>
        <v>2.1052631578947368E-2</v>
      </c>
    </row>
    <row r="85" spans="2:7" x14ac:dyDescent="0.15">
      <c r="B85" s="4" t="s">
        <v>20</v>
      </c>
      <c r="C85" s="3">
        <v>42689</v>
      </c>
      <c r="D85" s="50" t="str">
        <f t="shared" si="1"/>
        <v>Hospital42689</v>
      </c>
      <c r="E85" s="51" t="s">
        <v>8</v>
      </c>
      <c r="F85" s="51">
        <v>6</v>
      </c>
      <c r="G85" s="105">
        <f>F85/VLOOKUP(D85,References!$D$4:$E$17,2,FALSE)*VLOOKUP(E85,References!$J$4:$L$15,3,FALSE)</f>
        <v>2.1052631578947368E-2</v>
      </c>
    </row>
    <row r="86" spans="2:7" x14ac:dyDescent="0.15">
      <c r="B86" s="4" t="s">
        <v>20</v>
      </c>
      <c r="C86" s="3">
        <v>42689</v>
      </c>
      <c r="D86" s="50" t="str">
        <f t="shared" si="1"/>
        <v>Hospital42689</v>
      </c>
      <c r="E86" s="51" t="s">
        <v>9</v>
      </c>
      <c r="F86" s="51">
        <v>3</v>
      </c>
      <c r="G86" s="105">
        <f>F86/VLOOKUP(D86,References!$D$4:$E$17,2,FALSE)*VLOOKUP(E86,References!$J$4:$L$15,3,FALSE)</f>
        <v>0</v>
      </c>
    </row>
    <row r="87" spans="2:7" x14ac:dyDescent="0.15">
      <c r="B87" s="4" t="s">
        <v>20</v>
      </c>
      <c r="C87" s="3">
        <v>42724</v>
      </c>
      <c r="D87" s="50" t="str">
        <f t="shared" si="1"/>
        <v>Hospital42724</v>
      </c>
      <c r="E87" s="51" t="s">
        <v>10</v>
      </c>
      <c r="F87" s="51">
        <v>19</v>
      </c>
      <c r="G87" s="105">
        <f>F87/VLOOKUP(D87,References!$D$4:$E$17,2,FALSE)*VLOOKUP(E87,References!$J$4:$L$15,3,FALSE)</f>
        <v>0</v>
      </c>
    </row>
    <row r="88" spans="2:7" x14ac:dyDescent="0.15">
      <c r="B88" s="4" t="s">
        <v>20</v>
      </c>
      <c r="C88" s="3">
        <v>42724</v>
      </c>
      <c r="D88" s="50" t="str">
        <f t="shared" si="1"/>
        <v>Hospital42724</v>
      </c>
      <c r="E88" s="51" t="s">
        <v>0</v>
      </c>
      <c r="F88" s="51">
        <v>13</v>
      </c>
      <c r="G88" s="105">
        <f>F88/VLOOKUP(D88,References!$D$4:$E$17,2,FALSE)*VLOOKUP(E88,References!$J$4:$L$15,3,FALSE)</f>
        <v>4.5138888888888881E-2</v>
      </c>
    </row>
    <row r="89" spans="2:7" x14ac:dyDescent="0.15">
      <c r="B89" s="4" t="s">
        <v>20</v>
      </c>
      <c r="C89" s="3">
        <v>42724</v>
      </c>
      <c r="D89" s="50" t="str">
        <f t="shared" si="1"/>
        <v>Hospital42724</v>
      </c>
      <c r="E89" s="51" t="s">
        <v>1</v>
      </c>
      <c r="F89" s="51">
        <v>9</v>
      </c>
      <c r="G89" s="105">
        <f>F89/VLOOKUP(D89,References!$D$4:$E$17,2,FALSE)*VLOOKUP(E89,References!$J$4:$L$15,3,FALSE)</f>
        <v>3.125E-2</v>
      </c>
    </row>
    <row r="90" spans="2:7" x14ac:dyDescent="0.15">
      <c r="B90" s="4" t="s">
        <v>20</v>
      </c>
      <c r="C90" s="3">
        <v>42724</v>
      </c>
      <c r="D90" s="50" t="str">
        <f t="shared" si="1"/>
        <v>Hospital42724</v>
      </c>
      <c r="E90" s="51" t="s">
        <v>2</v>
      </c>
      <c r="F90" s="51">
        <v>10</v>
      </c>
      <c r="G90" s="105">
        <f>F90/VLOOKUP(D90,References!$D$4:$E$17,2,FALSE)*VLOOKUP(E90,References!$J$4:$L$15,3,FALSE)</f>
        <v>3.4722222222222224E-2</v>
      </c>
    </row>
    <row r="91" spans="2:7" x14ac:dyDescent="0.15">
      <c r="B91" s="4" t="s">
        <v>20</v>
      </c>
      <c r="C91" s="3">
        <v>42724</v>
      </c>
      <c r="D91" s="50" t="str">
        <f t="shared" si="1"/>
        <v>Hospital42724</v>
      </c>
      <c r="E91" s="51" t="s">
        <v>3</v>
      </c>
      <c r="F91" s="51">
        <v>15</v>
      </c>
      <c r="G91" s="105">
        <f>F91/VLOOKUP(D91,References!$D$4:$E$17,2,FALSE)*VLOOKUP(E91,References!$J$4:$L$15,3,FALSE)</f>
        <v>5.2083333333333329E-2</v>
      </c>
    </row>
    <row r="92" spans="2:7" x14ac:dyDescent="0.15">
      <c r="B92" s="4" t="s">
        <v>20</v>
      </c>
      <c r="C92" s="3">
        <v>42724</v>
      </c>
      <c r="D92" s="50" t="str">
        <f t="shared" si="1"/>
        <v>Hospital42724</v>
      </c>
      <c r="E92" s="51" t="s">
        <v>4</v>
      </c>
      <c r="F92" s="51">
        <v>1</v>
      </c>
      <c r="G92" s="105">
        <f>F92/VLOOKUP(D92,References!$D$4:$E$17,2,FALSE)*VLOOKUP(E92,References!$J$4:$L$15,3,FALSE)</f>
        <v>0</v>
      </c>
    </row>
    <row r="93" spans="2:7" x14ac:dyDescent="0.15">
      <c r="B93" s="4" t="s">
        <v>20</v>
      </c>
      <c r="C93" s="3">
        <v>42724</v>
      </c>
      <c r="D93" s="50" t="str">
        <f t="shared" si="1"/>
        <v>Hospital42724</v>
      </c>
      <c r="E93" s="51" t="s">
        <v>5</v>
      </c>
      <c r="F93" s="51">
        <v>4</v>
      </c>
      <c r="G93" s="105">
        <f>F93/VLOOKUP(D93,References!$D$4:$E$17,2,FALSE)*VLOOKUP(E93,References!$J$4:$L$15,3,FALSE)</f>
        <v>0</v>
      </c>
    </row>
    <row r="94" spans="2:7" x14ac:dyDescent="0.15">
      <c r="B94" s="4" t="s">
        <v>20</v>
      </c>
      <c r="C94" s="3">
        <v>42724</v>
      </c>
      <c r="D94" s="50" t="str">
        <f t="shared" si="1"/>
        <v>Hospital42724</v>
      </c>
      <c r="E94" s="51" t="s">
        <v>11</v>
      </c>
      <c r="F94" s="51">
        <v>2</v>
      </c>
      <c r="G94" s="105">
        <f>F94/VLOOKUP(D94,References!$D$4:$E$17,2,FALSE)*VLOOKUP(E94,References!$J$4:$L$15,3,FALSE)</f>
        <v>0</v>
      </c>
    </row>
    <row r="95" spans="2:7" x14ac:dyDescent="0.15">
      <c r="B95" s="4" t="s">
        <v>20</v>
      </c>
      <c r="C95" s="3">
        <v>42724</v>
      </c>
      <c r="D95" s="50" t="str">
        <f t="shared" si="1"/>
        <v>Hospital42724</v>
      </c>
      <c r="E95" s="51" t="s">
        <v>6</v>
      </c>
      <c r="F95" s="51">
        <v>10</v>
      </c>
      <c r="G95" s="105">
        <f>F95/VLOOKUP(D95,References!$D$4:$E$17,2,FALSE)*VLOOKUP(E95,References!$J$4:$L$15,3,FALSE)</f>
        <v>0</v>
      </c>
    </row>
    <row r="96" spans="2:7" x14ac:dyDescent="0.15">
      <c r="B96" s="4" t="s">
        <v>20</v>
      </c>
      <c r="C96" s="3">
        <v>42724</v>
      </c>
      <c r="D96" s="50" t="str">
        <f t="shared" si="1"/>
        <v>Hospital42724</v>
      </c>
      <c r="E96" s="51" t="s">
        <v>7</v>
      </c>
      <c r="F96" s="51">
        <v>25</v>
      </c>
      <c r="G96" s="105">
        <f>F96/VLOOKUP(D96,References!$D$4:$E$17,2,FALSE)*VLOOKUP(E96,References!$J$4:$L$15,3,FALSE)</f>
        <v>8.6805555555555552E-2</v>
      </c>
    </row>
    <row r="97" spans="2:7" x14ac:dyDescent="0.15">
      <c r="B97" s="4" t="s">
        <v>20</v>
      </c>
      <c r="C97" s="3">
        <v>42724</v>
      </c>
      <c r="D97" s="50" t="str">
        <f t="shared" si="1"/>
        <v>Hospital42724</v>
      </c>
      <c r="E97" s="51" t="s">
        <v>8</v>
      </c>
      <c r="F97" s="51">
        <v>24</v>
      </c>
      <c r="G97" s="105">
        <f>F97/VLOOKUP(D97,References!$D$4:$E$17,2,FALSE)*VLOOKUP(E97,References!$J$4:$L$15,3,FALSE)</f>
        <v>8.3333333333333329E-2</v>
      </c>
    </row>
    <row r="98" spans="2:7" x14ac:dyDescent="0.15">
      <c r="B98" s="4" t="s">
        <v>20</v>
      </c>
      <c r="C98" s="3">
        <v>42724</v>
      </c>
      <c r="D98" s="50" t="str">
        <f t="shared" si="1"/>
        <v>Hospital42724</v>
      </c>
      <c r="E98" s="51" t="s">
        <v>9</v>
      </c>
      <c r="F98" s="51">
        <v>10</v>
      </c>
      <c r="G98" s="105">
        <f>F98/VLOOKUP(D98,References!$D$4:$E$17,2,FALSE)*VLOOKUP(E98,References!$J$4:$L$15,3,FALSE)</f>
        <v>0</v>
      </c>
    </row>
    <row r="99" spans="2:7" x14ac:dyDescent="0.15">
      <c r="B99" s="4" t="s">
        <v>19</v>
      </c>
      <c r="C99" s="3">
        <v>42390</v>
      </c>
      <c r="D99" s="50" t="str">
        <f t="shared" si="1"/>
        <v>Municipal42390</v>
      </c>
      <c r="E99" s="51" t="s">
        <v>10</v>
      </c>
      <c r="F99" s="51">
        <v>12</v>
      </c>
      <c r="G99" s="105">
        <f>F99/VLOOKUP(D99,References!$D$4:$E$17,2,FALSE)*VLOOKUP(E99,References!$J$4:$L$15,3,FALSE)</f>
        <v>0</v>
      </c>
    </row>
    <row r="100" spans="2:7" x14ac:dyDescent="0.15">
      <c r="B100" s="4" t="s">
        <v>19</v>
      </c>
      <c r="C100" s="3">
        <v>42390</v>
      </c>
      <c r="D100" s="50" t="str">
        <f t="shared" si="1"/>
        <v>Municipal42390</v>
      </c>
      <c r="E100" s="51" t="s">
        <v>0</v>
      </c>
      <c r="F100" s="51">
        <v>6</v>
      </c>
      <c r="G100" s="105">
        <f>F100/VLOOKUP(D100,References!$D$4:$E$17,2,FALSE)*VLOOKUP(E100,References!$J$4:$L$15,3,FALSE)</f>
        <v>2.1052631578947368E-2</v>
      </c>
    </row>
    <row r="101" spans="2:7" x14ac:dyDescent="0.15">
      <c r="B101" s="4" t="s">
        <v>19</v>
      </c>
      <c r="C101" s="3">
        <v>42390</v>
      </c>
      <c r="D101" s="50" t="str">
        <f t="shared" si="1"/>
        <v>Municipal42390</v>
      </c>
      <c r="E101" s="51" t="s">
        <v>1</v>
      </c>
      <c r="F101" s="51">
        <v>3</v>
      </c>
      <c r="G101" s="105">
        <f>F101/VLOOKUP(D101,References!$D$4:$E$17,2,FALSE)*VLOOKUP(E101,References!$J$4:$L$15,3,FALSE)</f>
        <v>1.0526315789473684E-2</v>
      </c>
    </row>
    <row r="102" spans="2:7" x14ac:dyDescent="0.15">
      <c r="B102" s="4" t="s">
        <v>19</v>
      </c>
      <c r="C102" s="3">
        <v>42390</v>
      </c>
      <c r="D102" s="50" t="str">
        <f t="shared" si="1"/>
        <v>Municipal42390</v>
      </c>
      <c r="E102" s="51" t="s">
        <v>2</v>
      </c>
      <c r="F102" s="51">
        <v>3</v>
      </c>
      <c r="G102" s="105">
        <f>F102/VLOOKUP(D102,References!$D$4:$E$17,2,FALSE)*VLOOKUP(E102,References!$J$4:$L$15,3,FALSE)</f>
        <v>1.0526315789473684E-2</v>
      </c>
    </row>
    <row r="103" spans="2:7" x14ac:dyDescent="0.15">
      <c r="B103" s="4" t="s">
        <v>19</v>
      </c>
      <c r="C103" s="3">
        <v>42390</v>
      </c>
      <c r="D103" s="50" t="str">
        <f t="shared" si="1"/>
        <v>Municipal42390</v>
      </c>
      <c r="E103" s="51" t="s">
        <v>3</v>
      </c>
      <c r="F103" s="51">
        <v>4</v>
      </c>
      <c r="G103" s="105">
        <f>F103/VLOOKUP(D103,References!$D$4:$E$17,2,FALSE)*VLOOKUP(E103,References!$J$4:$L$15,3,FALSE)</f>
        <v>1.4035087719298244E-2</v>
      </c>
    </row>
    <row r="104" spans="2:7" x14ac:dyDescent="0.15">
      <c r="B104" s="4" t="s">
        <v>19</v>
      </c>
      <c r="C104" s="3">
        <v>42390</v>
      </c>
      <c r="D104" s="50" t="str">
        <f t="shared" si="1"/>
        <v>Municipal42390</v>
      </c>
      <c r="E104" s="51" t="s">
        <v>4</v>
      </c>
      <c r="F104" s="51">
        <v>6</v>
      </c>
      <c r="G104" s="105">
        <f>F104/VLOOKUP(D104,References!$D$4:$E$17,2,FALSE)*VLOOKUP(E104,References!$J$4:$L$15,3,FALSE)</f>
        <v>0</v>
      </c>
    </row>
    <row r="105" spans="2:7" x14ac:dyDescent="0.15">
      <c r="B105" s="4" t="s">
        <v>19</v>
      </c>
      <c r="C105" s="3">
        <v>42390</v>
      </c>
      <c r="D105" s="50" t="str">
        <f t="shared" si="1"/>
        <v>Municipal42390</v>
      </c>
      <c r="E105" s="51" t="s">
        <v>5</v>
      </c>
      <c r="F105" s="51">
        <v>0</v>
      </c>
      <c r="G105" s="105">
        <f>F105/VLOOKUP(D105,References!$D$4:$E$17,2,FALSE)*VLOOKUP(E105,References!$J$4:$L$15,3,FALSE)</f>
        <v>0</v>
      </c>
    </row>
    <row r="106" spans="2:7" x14ac:dyDescent="0.15">
      <c r="B106" s="4" t="s">
        <v>19</v>
      </c>
      <c r="C106" s="3">
        <v>42390</v>
      </c>
      <c r="D106" s="50" t="str">
        <f t="shared" si="1"/>
        <v>Municipal42390</v>
      </c>
      <c r="E106" s="51" t="s">
        <v>11</v>
      </c>
      <c r="F106" s="51">
        <v>0</v>
      </c>
      <c r="G106" s="105">
        <f>F106/VLOOKUP(D106,References!$D$4:$E$17,2,FALSE)*VLOOKUP(E106,References!$J$4:$L$15,3,FALSE)</f>
        <v>0</v>
      </c>
    </row>
    <row r="107" spans="2:7" x14ac:dyDescent="0.15">
      <c r="B107" s="4" t="s">
        <v>19</v>
      </c>
      <c r="C107" s="3">
        <v>42390</v>
      </c>
      <c r="D107" s="50" t="str">
        <f t="shared" si="1"/>
        <v>Municipal42390</v>
      </c>
      <c r="E107" s="51" t="s">
        <v>6</v>
      </c>
      <c r="F107" s="51">
        <v>1</v>
      </c>
      <c r="G107" s="105">
        <f>F107/VLOOKUP(D107,References!$D$4:$E$17,2,FALSE)*VLOOKUP(E107,References!$J$4:$L$15,3,FALSE)</f>
        <v>0</v>
      </c>
    </row>
    <row r="108" spans="2:7" x14ac:dyDescent="0.15">
      <c r="B108" s="4" t="s">
        <v>19</v>
      </c>
      <c r="C108" s="3">
        <v>42390</v>
      </c>
      <c r="D108" s="50" t="str">
        <f t="shared" si="1"/>
        <v>Municipal42390</v>
      </c>
      <c r="E108" s="51" t="s">
        <v>7</v>
      </c>
      <c r="F108" s="51">
        <v>11</v>
      </c>
      <c r="G108" s="105">
        <f>F108/VLOOKUP(D108,References!$D$4:$E$17,2,FALSE)*VLOOKUP(E108,References!$J$4:$L$15,3,FALSE)</f>
        <v>3.8596491228070171E-2</v>
      </c>
    </row>
    <row r="109" spans="2:7" x14ac:dyDescent="0.15">
      <c r="B109" s="4" t="s">
        <v>19</v>
      </c>
      <c r="C109" s="3">
        <v>42390</v>
      </c>
      <c r="D109" s="50" t="str">
        <f t="shared" si="1"/>
        <v>Municipal42390</v>
      </c>
      <c r="E109" s="51" t="s">
        <v>8</v>
      </c>
      <c r="F109" s="51">
        <v>10</v>
      </c>
      <c r="G109" s="105">
        <f>F109/VLOOKUP(D109,References!$D$4:$E$17,2,FALSE)*VLOOKUP(E109,References!$J$4:$L$15,3,FALSE)</f>
        <v>3.5087719298245612E-2</v>
      </c>
    </row>
    <row r="110" spans="2:7" x14ac:dyDescent="0.15">
      <c r="B110" s="4" t="s">
        <v>19</v>
      </c>
      <c r="C110" s="3">
        <v>42390</v>
      </c>
      <c r="D110" s="50" t="str">
        <f t="shared" si="1"/>
        <v>Municipal42390</v>
      </c>
      <c r="E110" s="51" t="s">
        <v>9</v>
      </c>
      <c r="F110" s="51">
        <v>3</v>
      </c>
      <c r="G110" s="105">
        <f>F110/VLOOKUP(D110,References!$D$4:$E$17,2,FALSE)*VLOOKUP(E110,References!$J$4:$L$15,3,FALSE)</f>
        <v>0</v>
      </c>
    </row>
    <row r="111" spans="2:7" x14ac:dyDescent="0.15">
      <c r="B111" s="4" t="s">
        <v>19</v>
      </c>
      <c r="C111" s="3">
        <v>42459</v>
      </c>
      <c r="D111" s="50" t="str">
        <f t="shared" si="1"/>
        <v>Municipal42459</v>
      </c>
      <c r="E111" s="51" t="s">
        <v>10</v>
      </c>
      <c r="F111" s="51">
        <v>8</v>
      </c>
      <c r="G111" s="105">
        <f>F111/VLOOKUP(D111,References!$D$4:$E$17,2,FALSE)*VLOOKUP(E111,References!$J$4:$L$15,3,FALSE)</f>
        <v>0</v>
      </c>
    </row>
    <row r="112" spans="2:7" x14ac:dyDescent="0.15">
      <c r="B112" s="4" t="s">
        <v>19</v>
      </c>
      <c r="C112" s="3">
        <v>42459</v>
      </c>
      <c r="D112" s="50" t="str">
        <f t="shared" si="1"/>
        <v>Municipal42459</v>
      </c>
      <c r="E112" s="51" t="s">
        <v>0</v>
      </c>
      <c r="F112" s="51">
        <v>4</v>
      </c>
      <c r="G112" s="105">
        <f>F112/VLOOKUP(D112,References!$D$4:$E$17,2,FALSE)*VLOOKUP(E112,References!$J$4:$L$15,3,FALSE)</f>
        <v>1.1594202898550725E-2</v>
      </c>
    </row>
    <row r="113" spans="2:7" x14ac:dyDescent="0.15">
      <c r="B113" s="4" t="s">
        <v>19</v>
      </c>
      <c r="C113" s="3">
        <v>42459</v>
      </c>
      <c r="D113" s="50" t="str">
        <f t="shared" si="1"/>
        <v>Municipal42459</v>
      </c>
      <c r="E113" s="51" t="s">
        <v>1</v>
      </c>
      <c r="F113" s="51">
        <v>2</v>
      </c>
      <c r="G113" s="105">
        <f>F113/VLOOKUP(D113,References!$D$4:$E$17,2,FALSE)*VLOOKUP(E113,References!$J$4:$L$15,3,FALSE)</f>
        <v>5.7971014492753624E-3</v>
      </c>
    </row>
    <row r="114" spans="2:7" x14ac:dyDescent="0.15">
      <c r="B114" s="4" t="s">
        <v>19</v>
      </c>
      <c r="C114" s="3">
        <v>42459</v>
      </c>
      <c r="D114" s="50" t="str">
        <f t="shared" si="1"/>
        <v>Municipal42459</v>
      </c>
      <c r="E114" s="51" t="s">
        <v>2</v>
      </c>
      <c r="F114" s="51">
        <v>1</v>
      </c>
      <c r="G114" s="105">
        <f>F114/VLOOKUP(D114,References!$D$4:$E$17,2,FALSE)*VLOOKUP(E114,References!$J$4:$L$15,3,FALSE)</f>
        <v>2.8985507246376812E-3</v>
      </c>
    </row>
    <row r="115" spans="2:7" x14ac:dyDescent="0.15">
      <c r="B115" s="4" t="s">
        <v>19</v>
      </c>
      <c r="C115" s="3">
        <v>42459</v>
      </c>
      <c r="D115" s="50" t="str">
        <f t="shared" si="1"/>
        <v>Municipal42459</v>
      </c>
      <c r="E115" s="51" t="s">
        <v>3</v>
      </c>
      <c r="F115" s="51">
        <v>4</v>
      </c>
      <c r="G115" s="105">
        <f>F115/VLOOKUP(D115,References!$D$4:$E$17,2,FALSE)*VLOOKUP(E115,References!$J$4:$L$15,3,FALSE)</f>
        <v>1.1594202898550725E-2</v>
      </c>
    </row>
    <row r="116" spans="2:7" x14ac:dyDescent="0.15">
      <c r="B116" s="4" t="s">
        <v>19</v>
      </c>
      <c r="C116" s="3">
        <v>42459</v>
      </c>
      <c r="D116" s="50" t="str">
        <f t="shared" si="1"/>
        <v>Municipal42459</v>
      </c>
      <c r="E116" s="51" t="s">
        <v>4</v>
      </c>
      <c r="F116" s="51">
        <v>4</v>
      </c>
      <c r="G116" s="105">
        <f>F116/VLOOKUP(D116,References!$D$4:$E$17,2,FALSE)*VLOOKUP(E116,References!$J$4:$L$15,3,FALSE)</f>
        <v>0</v>
      </c>
    </row>
    <row r="117" spans="2:7" x14ac:dyDescent="0.15">
      <c r="B117" s="4" t="s">
        <v>19</v>
      </c>
      <c r="C117" s="3">
        <v>42459</v>
      </c>
      <c r="D117" s="50" t="str">
        <f t="shared" si="1"/>
        <v>Municipal42459</v>
      </c>
      <c r="E117" s="51" t="s">
        <v>5</v>
      </c>
      <c r="F117" s="51">
        <v>0</v>
      </c>
      <c r="G117" s="105">
        <f>F117/VLOOKUP(D117,References!$D$4:$E$17,2,FALSE)*VLOOKUP(E117,References!$J$4:$L$15,3,FALSE)</f>
        <v>0</v>
      </c>
    </row>
    <row r="118" spans="2:7" x14ac:dyDescent="0.15">
      <c r="B118" s="4" t="s">
        <v>19</v>
      </c>
      <c r="C118" s="3">
        <v>42459</v>
      </c>
      <c r="D118" s="50" t="str">
        <f t="shared" si="1"/>
        <v>Municipal42459</v>
      </c>
      <c r="E118" s="51" t="s">
        <v>11</v>
      </c>
      <c r="F118" s="51">
        <v>0</v>
      </c>
      <c r="G118" s="105">
        <f>F118/VLOOKUP(D118,References!$D$4:$E$17,2,FALSE)*VLOOKUP(E118,References!$J$4:$L$15,3,FALSE)</f>
        <v>0</v>
      </c>
    </row>
    <row r="119" spans="2:7" x14ac:dyDescent="0.15">
      <c r="B119" s="4" t="s">
        <v>19</v>
      </c>
      <c r="C119" s="3">
        <v>42459</v>
      </c>
      <c r="D119" s="50" t="str">
        <f t="shared" si="1"/>
        <v>Municipal42459</v>
      </c>
      <c r="E119" s="51" t="s">
        <v>6</v>
      </c>
      <c r="F119" s="51">
        <v>0</v>
      </c>
      <c r="G119" s="105">
        <f>F119/VLOOKUP(D119,References!$D$4:$E$17,2,FALSE)*VLOOKUP(E119,References!$J$4:$L$15,3,FALSE)</f>
        <v>0</v>
      </c>
    </row>
    <row r="120" spans="2:7" x14ac:dyDescent="0.15">
      <c r="B120" s="4" t="s">
        <v>19</v>
      </c>
      <c r="C120" s="3">
        <v>42459</v>
      </c>
      <c r="D120" s="50" t="str">
        <f t="shared" si="1"/>
        <v>Municipal42459</v>
      </c>
      <c r="E120" s="51" t="s">
        <v>7</v>
      </c>
      <c r="F120" s="51">
        <v>8</v>
      </c>
      <c r="G120" s="105">
        <f>F120/VLOOKUP(D120,References!$D$4:$E$17,2,FALSE)*VLOOKUP(E120,References!$J$4:$L$15,3,FALSE)</f>
        <v>2.318840579710145E-2</v>
      </c>
    </row>
    <row r="121" spans="2:7" x14ac:dyDescent="0.15">
      <c r="B121" s="4" t="s">
        <v>19</v>
      </c>
      <c r="C121" s="3">
        <v>42459</v>
      </c>
      <c r="D121" s="50" t="str">
        <f t="shared" si="1"/>
        <v>Municipal42459</v>
      </c>
      <c r="E121" s="51" t="s">
        <v>8</v>
      </c>
      <c r="F121" s="51">
        <v>8</v>
      </c>
      <c r="G121" s="105">
        <f>F121/VLOOKUP(D121,References!$D$4:$E$17,2,FALSE)*VLOOKUP(E121,References!$J$4:$L$15,3,FALSE)</f>
        <v>2.318840579710145E-2</v>
      </c>
    </row>
    <row r="122" spans="2:7" x14ac:dyDescent="0.15">
      <c r="B122" s="4" t="s">
        <v>19</v>
      </c>
      <c r="C122" s="3">
        <v>42459</v>
      </c>
      <c r="D122" s="50" t="str">
        <f t="shared" si="1"/>
        <v>Municipal42459</v>
      </c>
      <c r="E122" s="51" t="s">
        <v>9</v>
      </c>
      <c r="F122" s="51">
        <v>1</v>
      </c>
      <c r="G122" s="105">
        <f>F122/VLOOKUP(D122,References!$D$4:$E$17,2,FALSE)*VLOOKUP(E122,References!$J$4:$L$15,3,FALSE)</f>
        <v>0</v>
      </c>
    </row>
    <row r="123" spans="2:7" x14ac:dyDescent="0.15">
      <c r="B123" s="4" t="s">
        <v>19</v>
      </c>
      <c r="C123" s="3">
        <v>42493</v>
      </c>
      <c r="D123" s="50" t="str">
        <f t="shared" si="1"/>
        <v>Municipal42493</v>
      </c>
      <c r="E123" s="51" t="s">
        <v>10</v>
      </c>
      <c r="F123" s="51">
        <v>8</v>
      </c>
      <c r="G123" s="105">
        <f>F123/VLOOKUP(D123,References!$D$4:$E$17,2,FALSE)*VLOOKUP(E123,References!$J$4:$L$15,3,FALSE)</f>
        <v>0</v>
      </c>
    </row>
    <row r="124" spans="2:7" x14ac:dyDescent="0.15">
      <c r="B124" s="4" t="s">
        <v>19</v>
      </c>
      <c r="C124" s="3">
        <v>42493</v>
      </c>
      <c r="D124" s="50" t="str">
        <f t="shared" si="1"/>
        <v>Municipal42493</v>
      </c>
      <c r="E124" s="51" t="s">
        <v>0</v>
      </c>
      <c r="F124" s="51">
        <v>3</v>
      </c>
      <c r="G124" s="105">
        <f>F124/VLOOKUP(D124,References!$D$4:$E$17,2,FALSE)*VLOOKUP(E124,References!$J$4:$L$15,3,FALSE)</f>
        <v>1.0526315789473684E-2</v>
      </c>
    </row>
    <row r="125" spans="2:7" x14ac:dyDescent="0.15">
      <c r="B125" s="4" t="s">
        <v>19</v>
      </c>
      <c r="C125" s="3">
        <v>42493</v>
      </c>
      <c r="D125" s="50" t="str">
        <f t="shared" si="1"/>
        <v>Municipal42493</v>
      </c>
      <c r="E125" s="51" t="s">
        <v>1</v>
      </c>
      <c r="F125" s="51">
        <v>0</v>
      </c>
      <c r="G125" s="105">
        <f>F125/VLOOKUP(D125,References!$D$4:$E$17,2,FALSE)*VLOOKUP(E125,References!$J$4:$L$15,3,FALSE)</f>
        <v>0</v>
      </c>
    </row>
    <row r="126" spans="2:7" x14ac:dyDescent="0.15">
      <c r="B126" s="4" t="s">
        <v>19</v>
      </c>
      <c r="C126" s="3">
        <v>42493</v>
      </c>
      <c r="D126" s="50" t="str">
        <f t="shared" si="1"/>
        <v>Municipal42493</v>
      </c>
      <c r="E126" s="51" t="s">
        <v>2</v>
      </c>
      <c r="F126" s="51">
        <v>0</v>
      </c>
      <c r="G126" s="105">
        <f>F126/VLOOKUP(D126,References!$D$4:$E$17,2,FALSE)*VLOOKUP(E126,References!$J$4:$L$15,3,FALSE)</f>
        <v>0</v>
      </c>
    </row>
    <row r="127" spans="2:7" x14ac:dyDescent="0.15">
      <c r="B127" s="4" t="s">
        <v>19</v>
      </c>
      <c r="C127" s="3">
        <v>42493</v>
      </c>
      <c r="D127" s="50" t="str">
        <f t="shared" si="1"/>
        <v>Municipal42493</v>
      </c>
      <c r="E127" s="51" t="s">
        <v>3</v>
      </c>
      <c r="F127" s="51">
        <v>3</v>
      </c>
      <c r="G127" s="105">
        <f>F127/VLOOKUP(D127,References!$D$4:$E$17,2,FALSE)*VLOOKUP(E127,References!$J$4:$L$15,3,FALSE)</f>
        <v>1.0526315789473684E-2</v>
      </c>
    </row>
    <row r="128" spans="2:7" x14ac:dyDescent="0.15">
      <c r="B128" s="4" t="s">
        <v>19</v>
      </c>
      <c r="C128" s="3">
        <v>42493</v>
      </c>
      <c r="D128" s="50" t="str">
        <f t="shared" si="1"/>
        <v>Municipal42493</v>
      </c>
      <c r="E128" s="51" t="s">
        <v>4</v>
      </c>
      <c r="F128" s="51">
        <v>2</v>
      </c>
      <c r="G128" s="105">
        <f>F128/VLOOKUP(D128,References!$D$4:$E$17,2,FALSE)*VLOOKUP(E128,References!$J$4:$L$15,3,FALSE)</f>
        <v>0</v>
      </c>
    </row>
    <row r="129" spans="2:7" x14ac:dyDescent="0.15">
      <c r="B129" s="4" t="s">
        <v>19</v>
      </c>
      <c r="C129" s="3">
        <v>42493</v>
      </c>
      <c r="D129" s="50" t="str">
        <f t="shared" si="1"/>
        <v>Municipal42493</v>
      </c>
      <c r="E129" s="51" t="s">
        <v>5</v>
      </c>
      <c r="F129" s="51">
        <v>0</v>
      </c>
      <c r="G129" s="105">
        <f>F129/VLOOKUP(D129,References!$D$4:$E$17,2,FALSE)*VLOOKUP(E129,References!$J$4:$L$15,3,FALSE)</f>
        <v>0</v>
      </c>
    </row>
    <row r="130" spans="2:7" x14ac:dyDescent="0.15">
      <c r="B130" s="4" t="s">
        <v>19</v>
      </c>
      <c r="C130" s="3">
        <v>42493</v>
      </c>
      <c r="D130" s="50" t="str">
        <f t="shared" si="1"/>
        <v>Municipal42493</v>
      </c>
      <c r="E130" s="51" t="s">
        <v>11</v>
      </c>
      <c r="F130" s="51">
        <v>1</v>
      </c>
      <c r="G130" s="105">
        <f>F130/VLOOKUP(D130,References!$D$4:$E$17,2,FALSE)*VLOOKUP(E130,References!$J$4:$L$15,3,FALSE)</f>
        <v>0</v>
      </c>
    </row>
    <row r="131" spans="2:7" x14ac:dyDescent="0.15">
      <c r="B131" s="4" t="s">
        <v>19</v>
      </c>
      <c r="C131" s="3">
        <v>42493</v>
      </c>
      <c r="D131" s="50" t="str">
        <f t="shared" si="1"/>
        <v>Municipal42493</v>
      </c>
      <c r="E131" s="51" t="s">
        <v>6</v>
      </c>
      <c r="F131" s="51">
        <v>0</v>
      </c>
      <c r="G131" s="105">
        <f>F131/VLOOKUP(D131,References!$D$4:$E$17,2,FALSE)*VLOOKUP(E131,References!$J$4:$L$15,3,FALSE)</f>
        <v>0</v>
      </c>
    </row>
    <row r="132" spans="2:7" x14ac:dyDescent="0.15">
      <c r="B132" s="4" t="s">
        <v>19</v>
      </c>
      <c r="C132" s="3">
        <v>42493</v>
      </c>
      <c r="D132" s="50" t="str">
        <f t="shared" ref="D132:D170" si="2">B132&amp;C132</f>
        <v>Municipal42493</v>
      </c>
      <c r="E132" s="51" t="s">
        <v>7</v>
      </c>
      <c r="F132" s="51">
        <v>13</v>
      </c>
      <c r="G132" s="105">
        <f>F132/VLOOKUP(D132,References!$D$4:$E$17,2,FALSE)*VLOOKUP(E132,References!$J$4:$L$15,3,FALSE)</f>
        <v>4.5614035087719301E-2</v>
      </c>
    </row>
    <row r="133" spans="2:7" x14ac:dyDescent="0.15">
      <c r="B133" s="4" t="s">
        <v>19</v>
      </c>
      <c r="C133" s="3">
        <v>42493</v>
      </c>
      <c r="D133" s="50" t="str">
        <f t="shared" si="2"/>
        <v>Municipal42493</v>
      </c>
      <c r="E133" s="51" t="s">
        <v>8</v>
      </c>
      <c r="F133" s="51">
        <v>11</v>
      </c>
      <c r="G133" s="105">
        <f>F133/VLOOKUP(D133,References!$D$4:$E$17,2,FALSE)*VLOOKUP(E133,References!$J$4:$L$15,3,FALSE)</f>
        <v>3.8596491228070171E-2</v>
      </c>
    </row>
    <row r="134" spans="2:7" x14ac:dyDescent="0.15">
      <c r="B134" s="4" t="s">
        <v>19</v>
      </c>
      <c r="C134" s="3">
        <v>42493</v>
      </c>
      <c r="D134" s="50" t="str">
        <f t="shared" si="2"/>
        <v>Municipal42493</v>
      </c>
      <c r="E134" s="51" t="s">
        <v>9</v>
      </c>
      <c r="F134" s="51">
        <v>0</v>
      </c>
      <c r="G134" s="105">
        <f>F134/VLOOKUP(D134,References!$D$4:$E$17,2,FALSE)*VLOOKUP(E134,References!$J$4:$L$15,3,FALSE)</f>
        <v>0</v>
      </c>
    </row>
    <row r="135" spans="2:7" x14ac:dyDescent="0.15">
      <c r="B135" s="4" t="s">
        <v>19</v>
      </c>
      <c r="C135" s="3">
        <v>42535</v>
      </c>
      <c r="D135" s="50" t="str">
        <f t="shared" si="2"/>
        <v>Municipal42535</v>
      </c>
      <c r="E135" s="51" t="s">
        <v>10</v>
      </c>
      <c r="F135" s="51">
        <v>4</v>
      </c>
      <c r="G135" s="105">
        <f>F135/VLOOKUP(D135,References!$D$4:$E$17,2,FALSE)*VLOOKUP(E135,References!$J$4:$L$15,3,FALSE)</f>
        <v>0</v>
      </c>
    </row>
    <row r="136" spans="2:7" x14ac:dyDescent="0.15">
      <c r="B136" s="4" t="s">
        <v>19</v>
      </c>
      <c r="C136" s="3">
        <v>42535</v>
      </c>
      <c r="D136" s="50" t="str">
        <f t="shared" si="2"/>
        <v>Municipal42535</v>
      </c>
      <c r="E136" s="51" t="s">
        <v>0</v>
      </c>
      <c r="F136" s="51">
        <v>3</v>
      </c>
      <c r="G136" s="105">
        <f>F136/VLOOKUP(D136,References!$D$4:$E$17,2,FALSE)*VLOOKUP(E136,References!$J$4:$L$15,3,FALSE)</f>
        <v>2.3809523809523808E-2</v>
      </c>
    </row>
    <row r="137" spans="2:7" x14ac:dyDescent="0.15">
      <c r="B137" s="4" t="s">
        <v>19</v>
      </c>
      <c r="C137" s="3">
        <v>42535</v>
      </c>
      <c r="D137" s="50" t="str">
        <f t="shared" si="2"/>
        <v>Municipal42535</v>
      </c>
      <c r="E137" s="51" t="s">
        <v>1</v>
      </c>
      <c r="F137" s="51">
        <v>1</v>
      </c>
      <c r="G137" s="105">
        <f>F137/VLOOKUP(D137,References!$D$4:$E$17,2,FALSE)*VLOOKUP(E137,References!$J$4:$L$15,3,FALSE)</f>
        <v>7.9365079365079361E-3</v>
      </c>
    </row>
    <row r="138" spans="2:7" x14ac:dyDescent="0.15">
      <c r="B138" s="4" t="s">
        <v>19</v>
      </c>
      <c r="C138" s="3">
        <v>42535</v>
      </c>
      <c r="D138" s="50" t="str">
        <f t="shared" si="2"/>
        <v>Municipal42535</v>
      </c>
      <c r="E138" s="51" t="s">
        <v>2</v>
      </c>
      <c r="F138" s="51">
        <v>0</v>
      </c>
      <c r="G138" s="105">
        <f>F138/VLOOKUP(D138,References!$D$4:$E$17,2,FALSE)*VLOOKUP(E138,References!$J$4:$L$15,3,FALSE)</f>
        <v>0</v>
      </c>
    </row>
    <row r="139" spans="2:7" x14ac:dyDescent="0.15">
      <c r="B139" s="4" t="s">
        <v>19</v>
      </c>
      <c r="C139" s="3">
        <v>42535</v>
      </c>
      <c r="D139" s="50" t="str">
        <f t="shared" si="2"/>
        <v>Municipal42535</v>
      </c>
      <c r="E139" s="51" t="s">
        <v>3</v>
      </c>
      <c r="F139" s="51">
        <v>3</v>
      </c>
      <c r="G139" s="105">
        <f>F139/VLOOKUP(D139,References!$D$4:$E$17,2,FALSE)*VLOOKUP(E139,References!$J$4:$L$15,3,FALSE)</f>
        <v>2.3809523809523808E-2</v>
      </c>
    </row>
    <row r="140" spans="2:7" x14ac:dyDescent="0.15">
      <c r="B140" s="4" t="s">
        <v>19</v>
      </c>
      <c r="C140" s="3">
        <v>42535</v>
      </c>
      <c r="D140" s="50" t="str">
        <f t="shared" si="2"/>
        <v>Municipal42535</v>
      </c>
      <c r="E140" s="51" t="s">
        <v>4</v>
      </c>
      <c r="F140" s="51">
        <v>1</v>
      </c>
      <c r="G140" s="105">
        <f>F140/VLOOKUP(D140,References!$D$4:$E$17,2,FALSE)*VLOOKUP(E140,References!$J$4:$L$15,3,FALSE)</f>
        <v>0</v>
      </c>
    </row>
    <row r="141" spans="2:7" x14ac:dyDescent="0.15">
      <c r="B141" s="4" t="s">
        <v>19</v>
      </c>
      <c r="C141" s="3">
        <v>42535</v>
      </c>
      <c r="D141" s="50" t="str">
        <f t="shared" si="2"/>
        <v>Municipal42535</v>
      </c>
      <c r="E141" s="51" t="s">
        <v>5</v>
      </c>
      <c r="F141" s="51">
        <v>0</v>
      </c>
      <c r="G141" s="105">
        <f>F141/VLOOKUP(D141,References!$D$4:$E$17,2,FALSE)*VLOOKUP(E141,References!$J$4:$L$15,3,FALSE)</f>
        <v>0</v>
      </c>
    </row>
    <row r="142" spans="2:7" x14ac:dyDescent="0.15">
      <c r="B142" s="4" t="s">
        <v>19</v>
      </c>
      <c r="C142" s="3">
        <v>42535</v>
      </c>
      <c r="D142" s="50" t="str">
        <f t="shared" si="2"/>
        <v>Municipal42535</v>
      </c>
      <c r="E142" s="51" t="s">
        <v>11</v>
      </c>
      <c r="F142" s="51">
        <v>0</v>
      </c>
      <c r="G142" s="105">
        <f>F142/VLOOKUP(D142,References!$D$4:$E$17,2,FALSE)*VLOOKUP(E142,References!$J$4:$L$15,3,FALSE)</f>
        <v>0</v>
      </c>
    </row>
    <row r="143" spans="2:7" x14ac:dyDescent="0.15">
      <c r="B143" s="4" t="s">
        <v>19</v>
      </c>
      <c r="C143" s="3">
        <v>42535</v>
      </c>
      <c r="D143" s="50" t="str">
        <f t="shared" si="2"/>
        <v>Municipal42535</v>
      </c>
      <c r="E143" s="51" t="s">
        <v>6</v>
      </c>
      <c r="F143" s="51">
        <v>0</v>
      </c>
      <c r="G143" s="105">
        <f>F143/VLOOKUP(D143,References!$D$4:$E$17,2,FALSE)*VLOOKUP(E143,References!$J$4:$L$15,3,FALSE)</f>
        <v>0</v>
      </c>
    </row>
    <row r="144" spans="2:7" x14ac:dyDescent="0.15">
      <c r="B144" s="4" t="s">
        <v>19</v>
      </c>
      <c r="C144" s="3">
        <v>42535</v>
      </c>
      <c r="D144" s="50" t="str">
        <f t="shared" si="2"/>
        <v>Municipal42535</v>
      </c>
      <c r="E144" s="51" t="s">
        <v>7</v>
      </c>
      <c r="F144" s="51">
        <v>7</v>
      </c>
      <c r="G144" s="105">
        <f>F144/VLOOKUP(D144,References!$D$4:$E$17,2,FALSE)*VLOOKUP(E144,References!$J$4:$L$15,3,FALSE)</f>
        <v>5.5555555555555552E-2</v>
      </c>
    </row>
    <row r="145" spans="2:7" x14ac:dyDescent="0.15">
      <c r="B145" s="4" t="s">
        <v>19</v>
      </c>
      <c r="C145" s="3">
        <v>42535</v>
      </c>
      <c r="D145" s="50" t="str">
        <f t="shared" si="2"/>
        <v>Municipal42535</v>
      </c>
      <c r="E145" s="51" t="s">
        <v>8</v>
      </c>
      <c r="F145" s="51">
        <v>6</v>
      </c>
      <c r="G145" s="105">
        <f>F145/VLOOKUP(D145,References!$D$4:$E$17,2,FALSE)*VLOOKUP(E145,References!$J$4:$L$15,3,FALSE)</f>
        <v>4.7619047619047616E-2</v>
      </c>
    </row>
    <row r="146" spans="2:7" x14ac:dyDescent="0.15">
      <c r="B146" s="4" t="s">
        <v>19</v>
      </c>
      <c r="C146" s="3">
        <v>42535</v>
      </c>
      <c r="D146" s="50" t="str">
        <f t="shared" si="2"/>
        <v>Municipal42535</v>
      </c>
      <c r="E146" s="51" t="s">
        <v>9</v>
      </c>
      <c r="F146" s="51">
        <v>1</v>
      </c>
      <c r="G146" s="105">
        <f>F146/VLOOKUP(D146,References!$D$4:$E$17,2,FALSE)*VLOOKUP(E146,References!$J$4:$L$15,3,FALSE)</f>
        <v>0</v>
      </c>
    </row>
    <row r="147" spans="2:7" x14ac:dyDescent="0.15">
      <c r="B147" s="4" t="s">
        <v>19</v>
      </c>
      <c r="C147" s="3">
        <v>42605</v>
      </c>
      <c r="D147" s="50" t="str">
        <f t="shared" si="2"/>
        <v>Municipal42605</v>
      </c>
      <c r="E147" s="51" t="s">
        <v>10</v>
      </c>
      <c r="F147" s="51">
        <v>10</v>
      </c>
      <c r="G147" s="105">
        <f>F147/VLOOKUP(D147,References!$D$4:$E$17,2,FALSE)*VLOOKUP(E147,References!$J$4:$L$15,3,FALSE)</f>
        <v>0</v>
      </c>
    </row>
    <row r="148" spans="2:7" x14ac:dyDescent="0.15">
      <c r="B148" s="4" t="s">
        <v>19</v>
      </c>
      <c r="C148" s="3">
        <v>42605</v>
      </c>
      <c r="D148" s="50" t="str">
        <f t="shared" si="2"/>
        <v>Municipal42605</v>
      </c>
      <c r="E148" s="51" t="s">
        <v>0</v>
      </c>
      <c r="F148" s="51">
        <v>8</v>
      </c>
      <c r="G148" s="105">
        <f>F148/VLOOKUP(D148,References!$D$4:$E$17,2,FALSE)*VLOOKUP(E148,References!$J$4:$L$15,3,FALSE)</f>
        <v>2.564102564102564E-2</v>
      </c>
    </row>
    <row r="149" spans="2:7" x14ac:dyDescent="0.15">
      <c r="B149" s="4" t="s">
        <v>19</v>
      </c>
      <c r="C149" s="3">
        <v>42605</v>
      </c>
      <c r="D149" s="50" t="str">
        <f t="shared" si="2"/>
        <v>Municipal42605</v>
      </c>
      <c r="E149" s="51" t="s">
        <v>1</v>
      </c>
      <c r="F149" s="51">
        <v>2</v>
      </c>
      <c r="G149" s="105">
        <f>F149/VLOOKUP(D149,References!$D$4:$E$17,2,FALSE)*VLOOKUP(E149,References!$J$4:$L$15,3,FALSE)</f>
        <v>6.41025641025641E-3</v>
      </c>
    </row>
    <row r="150" spans="2:7" x14ac:dyDescent="0.15">
      <c r="B150" s="4" t="s">
        <v>19</v>
      </c>
      <c r="C150" s="3">
        <v>42605</v>
      </c>
      <c r="D150" s="50" t="str">
        <f t="shared" si="2"/>
        <v>Municipal42605</v>
      </c>
      <c r="E150" s="51" t="s">
        <v>2</v>
      </c>
      <c r="F150" s="51">
        <v>2</v>
      </c>
      <c r="G150" s="105">
        <f>F150/VLOOKUP(D150,References!$D$4:$E$17,2,FALSE)*VLOOKUP(E150,References!$J$4:$L$15,3,FALSE)</f>
        <v>6.41025641025641E-3</v>
      </c>
    </row>
    <row r="151" spans="2:7" x14ac:dyDescent="0.15">
      <c r="B151" s="4" t="s">
        <v>19</v>
      </c>
      <c r="C151" s="3">
        <v>42605</v>
      </c>
      <c r="D151" s="50" t="str">
        <f t="shared" si="2"/>
        <v>Municipal42605</v>
      </c>
      <c r="E151" s="51" t="s">
        <v>3</v>
      </c>
      <c r="F151" s="51">
        <v>4</v>
      </c>
      <c r="G151" s="105">
        <f>F151/VLOOKUP(D151,References!$D$4:$E$17,2,FALSE)*VLOOKUP(E151,References!$J$4:$L$15,3,FALSE)</f>
        <v>1.282051282051282E-2</v>
      </c>
    </row>
    <row r="152" spans="2:7" x14ac:dyDescent="0.15">
      <c r="B152" s="4" t="s">
        <v>19</v>
      </c>
      <c r="C152" s="3">
        <v>42605</v>
      </c>
      <c r="D152" s="50" t="str">
        <f t="shared" si="2"/>
        <v>Municipal42605</v>
      </c>
      <c r="E152" s="51" t="s">
        <v>4</v>
      </c>
      <c r="F152" s="51">
        <v>6</v>
      </c>
      <c r="G152" s="105">
        <f>F152/VLOOKUP(D152,References!$D$4:$E$17,2,FALSE)*VLOOKUP(E152,References!$J$4:$L$15,3,FALSE)</f>
        <v>0</v>
      </c>
    </row>
    <row r="153" spans="2:7" x14ac:dyDescent="0.15">
      <c r="B153" s="4" t="s">
        <v>19</v>
      </c>
      <c r="C153" s="3">
        <v>42605</v>
      </c>
      <c r="D153" s="50" t="str">
        <f t="shared" si="2"/>
        <v>Municipal42605</v>
      </c>
      <c r="E153" s="51" t="s">
        <v>5</v>
      </c>
      <c r="F153" s="51">
        <v>0</v>
      </c>
      <c r="G153" s="105">
        <f>F153/VLOOKUP(D153,References!$D$4:$E$17,2,FALSE)*VLOOKUP(E153,References!$J$4:$L$15,3,FALSE)</f>
        <v>0</v>
      </c>
    </row>
    <row r="154" spans="2:7" x14ac:dyDescent="0.15">
      <c r="B154" s="4" t="s">
        <v>19</v>
      </c>
      <c r="C154" s="3">
        <v>42605</v>
      </c>
      <c r="D154" s="50" t="str">
        <f t="shared" si="2"/>
        <v>Municipal42605</v>
      </c>
      <c r="E154" s="51" t="s">
        <v>11</v>
      </c>
      <c r="F154" s="51">
        <v>1</v>
      </c>
      <c r="G154" s="105">
        <f>F154/VLOOKUP(D154,References!$D$4:$E$17,2,FALSE)*VLOOKUP(E154,References!$J$4:$L$15,3,FALSE)</f>
        <v>0</v>
      </c>
    </row>
    <row r="155" spans="2:7" x14ac:dyDescent="0.15">
      <c r="B155" s="4" t="s">
        <v>19</v>
      </c>
      <c r="C155" s="3">
        <v>42605</v>
      </c>
      <c r="D155" s="50" t="str">
        <f t="shared" si="2"/>
        <v>Municipal42605</v>
      </c>
      <c r="E155" s="51" t="s">
        <v>6</v>
      </c>
      <c r="F155" s="51">
        <v>0</v>
      </c>
      <c r="G155" s="105">
        <f>F155/VLOOKUP(D155,References!$D$4:$E$17,2,FALSE)*VLOOKUP(E155,References!$J$4:$L$15,3,FALSE)</f>
        <v>0</v>
      </c>
    </row>
    <row r="156" spans="2:7" x14ac:dyDescent="0.15">
      <c r="B156" s="4" t="s">
        <v>19</v>
      </c>
      <c r="C156" s="3">
        <v>42605</v>
      </c>
      <c r="D156" s="50" t="str">
        <f t="shared" si="2"/>
        <v>Municipal42605</v>
      </c>
      <c r="E156" s="51" t="s">
        <v>7</v>
      </c>
      <c r="F156" s="51">
        <v>9</v>
      </c>
      <c r="G156" s="105">
        <f>F156/VLOOKUP(D156,References!$D$4:$E$17,2,FALSE)*VLOOKUP(E156,References!$J$4:$L$15,3,FALSE)</f>
        <v>2.8846153846153844E-2</v>
      </c>
    </row>
    <row r="157" spans="2:7" x14ac:dyDescent="0.15">
      <c r="B157" s="4" t="s">
        <v>19</v>
      </c>
      <c r="C157" s="3">
        <v>42605</v>
      </c>
      <c r="D157" s="50" t="str">
        <f t="shared" si="2"/>
        <v>Municipal42605</v>
      </c>
      <c r="E157" s="51" t="s">
        <v>8</v>
      </c>
      <c r="F157" s="51">
        <v>9</v>
      </c>
      <c r="G157" s="105">
        <f>F157/VLOOKUP(D157,References!$D$4:$E$17,2,FALSE)*VLOOKUP(E157,References!$J$4:$L$15,3,FALSE)</f>
        <v>2.8846153846153844E-2</v>
      </c>
    </row>
    <row r="158" spans="2:7" x14ac:dyDescent="0.15">
      <c r="B158" s="4" t="s">
        <v>19</v>
      </c>
      <c r="C158" s="3">
        <v>42605</v>
      </c>
      <c r="D158" s="50" t="str">
        <f t="shared" si="2"/>
        <v>Municipal42605</v>
      </c>
      <c r="E158" s="51" t="s">
        <v>9</v>
      </c>
      <c r="F158" s="51">
        <v>2</v>
      </c>
      <c r="G158" s="105">
        <f>F158/VLOOKUP(D158,References!$D$4:$E$17,2,FALSE)*VLOOKUP(E158,References!$J$4:$L$15,3,FALSE)</f>
        <v>0</v>
      </c>
    </row>
    <row r="159" spans="2:7" x14ac:dyDescent="0.15">
      <c r="B159" s="4" t="s">
        <v>19</v>
      </c>
      <c r="C159" s="3">
        <v>42703</v>
      </c>
      <c r="D159" s="50" t="str">
        <f t="shared" si="2"/>
        <v>Municipal42703</v>
      </c>
      <c r="E159" s="51" t="s">
        <v>10</v>
      </c>
      <c r="F159" s="51">
        <v>9</v>
      </c>
      <c r="G159" s="105">
        <f>F159/VLOOKUP(D159,References!$D$4:$E$17,2,FALSE)*VLOOKUP(E159,References!$J$4:$L$15,3,FALSE)</f>
        <v>0</v>
      </c>
    </row>
    <row r="160" spans="2:7" x14ac:dyDescent="0.15">
      <c r="B160" s="4" t="s">
        <v>19</v>
      </c>
      <c r="C160" s="3">
        <v>42703</v>
      </c>
      <c r="D160" s="50" t="str">
        <f t="shared" si="2"/>
        <v>Municipal42703</v>
      </c>
      <c r="E160" s="51" t="s">
        <v>0</v>
      </c>
      <c r="F160" s="51">
        <v>5</v>
      </c>
      <c r="G160" s="105">
        <f>F160/VLOOKUP(D160,References!$D$4:$E$17,2,FALSE)*VLOOKUP(E160,References!$J$4:$L$15,3,FALSE)</f>
        <v>2.0833333333333332E-2</v>
      </c>
    </row>
    <row r="161" spans="2:7" x14ac:dyDescent="0.15">
      <c r="B161" s="4" t="s">
        <v>19</v>
      </c>
      <c r="C161" s="3">
        <v>42703</v>
      </c>
      <c r="D161" s="50" t="str">
        <f t="shared" si="2"/>
        <v>Municipal42703</v>
      </c>
      <c r="E161" s="51" t="s">
        <v>1</v>
      </c>
      <c r="F161" s="51">
        <v>2</v>
      </c>
      <c r="G161" s="105">
        <f>F161/VLOOKUP(D161,References!$D$4:$E$17,2,FALSE)*VLOOKUP(E161,References!$J$4:$L$15,3,FALSE)</f>
        <v>8.3333333333333332E-3</v>
      </c>
    </row>
    <row r="162" spans="2:7" x14ac:dyDescent="0.15">
      <c r="B162" s="4" t="s">
        <v>19</v>
      </c>
      <c r="C162" s="3">
        <v>42703</v>
      </c>
      <c r="D162" s="50" t="str">
        <f t="shared" si="2"/>
        <v>Municipal42703</v>
      </c>
      <c r="E162" s="51" t="s">
        <v>2</v>
      </c>
      <c r="F162" s="51">
        <v>2</v>
      </c>
      <c r="G162" s="105">
        <f>F162/VLOOKUP(D162,References!$D$4:$E$17,2,FALSE)*VLOOKUP(E162,References!$J$4:$L$15,3,FALSE)</f>
        <v>8.3333333333333332E-3</v>
      </c>
    </row>
    <row r="163" spans="2:7" x14ac:dyDescent="0.15">
      <c r="B163" s="4" t="s">
        <v>19</v>
      </c>
      <c r="C163" s="3">
        <v>42703</v>
      </c>
      <c r="D163" s="50" t="str">
        <f t="shared" si="2"/>
        <v>Municipal42703</v>
      </c>
      <c r="E163" s="51" t="s">
        <v>3</v>
      </c>
      <c r="F163" s="51">
        <v>5</v>
      </c>
      <c r="G163" s="105">
        <f>F163/VLOOKUP(D163,References!$D$4:$E$17,2,FALSE)*VLOOKUP(E163,References!$J$4:$L$15,3,FALSE)</f>
        <v>2.0833333333333332E-2</v>
      </c>
    </row>
    <row r="164" spans="2:7" x14ac:dyDescent="0.15">
      <c r="B164" s="4" t="s">
        <v>19</v>
      </c>
      <c r="C164" s="3">
        <v>42703</v>
      </c>
      <c r="D164" s="50" t="str">
        <f t="shared" si="2"/>
        <v>Municipal42703</v>
      </c>
      <c r="E164" s="51" t="s">
        <v>4</v>
      </c>
      <c r="F164" s="51">
        <v>4</v>
      </c>
      <c r="G164" s="105">
        <f>F164/VLOOKUP(D164,References!$D$4:$E$17,2,FALSE)*VLOOKUP(E164,References!$J$4:$L$15,3,FALSE)</f>
        <v>0</v>
      </c>
    </row>
    <row r="165" spans="2:7" x14ac:dyDescent="0.15">
      <c r="B165" s="4" t="s">
        <v>19</v>
      </c>
      <c r="C165" s="3">
        <v>42703</v>
      </c>
      <c r="D165" s="50" t="str">
        <f t="shared" si="2"/>
        <v>Municipal42703</v>
      </c>
      <c r="E165" s="51" t="s">
        <v>5</v>
      </c>
      <c r="F165" s="51">
        <v>0</v>
      </c>
      <c r="G165" s="105">
        <f>F165/VLOOKUP(D165,References!$D$4:$E$17,2,FALSE)*VLOOKUP(E165,References!$J$4:$L$15,3,FALSE)</f>
        <v>0</v>
      </c>
    </row>
    <row r="166" spans="2:7" x14ac:dyDescent="0.15">
      <c r="B166" s="4" t="s">
        <v>19</v>
      </c>
      <c r="C166" s="3">
        <v>42703</v>
      </c>
      <c r="D166" s="50" t="str">
        <f t="shared" si="2"/>
        <v>Municipal42703</v>
      </c>
      <c r="E166" s="51" t="s">
        <v>11</v>
      </c>
      <c r="F166" s="51">
        <v>0</v>
      </c>
      <c r="G166" s="105">
        <f>F166/VLOOKUP(D166,References!$D$4:$E$17,2,FALSE)*VLOOKUP(E166,References!$J$4:$L$15,3,FALSE)</f>
        <v>0</v>
      </c>
    </row>
    <row r="167" spans="2:7" x14ac:dyDescent="0.15">
      <c r="B167" s="4" t="s">
        <v>19</v>
      </c>
      <c r="C167" s="3">
        <v>42703</v>
      </c>
      <c r="D167" s="50" t="str">
        <f t="shared" si="2"/>
        <v>Municipal42703</v>
      </c>
      <c r="E167" s="51" t="s">
        <v>6</v>
      </c>
      <c r="F167" s="51">
        <v>1</v>
      </c>
      <c r="G167" s="105">
        <f>F167/VLOOKUP(D167,References!$D$4:$E$17,2,FALSE)*VLOOKUP(E167,References!$J$4:$L$15,3,FALSE)</f>
        <v>0</v>
      </c>
    </row>
    <row r="168" spans="2:7" x14ac:dyDescent="0.15">
      <c r="B168" s="4" t="s">
        <v>19</v>
      </c>
      <c r="C168" s="3">
        <v>42703</v>
      </c>
      <c r="D168" s="50" t="str">
        <f t="shared" si="2"/>
        <v>Municipal42703</v>
      </c>
      <c r="E168" s="51" t="s">
        <v>7</v>
      </c>
      <c r="F168" s="51">
        <v>10</v>
      </c>
      <c r="G168" s="105">
        <f>F168/VLOOKUP(D168,References!$D$4:$E$17,2,FALSE)*VLOOKUP(E168,References!$J$4:$L$15,3,FALSE)</f>
        <v>4.1666666666666664E-2</v>
      </c>
    </row>
    <row r="169" spans="2:7" x14ac:dyDescent="0.15">
      <c r="B169" s="4" t="s">
        <v>19</v>
      </c>
      <c r="C169" s="3">
        <v>42703</v>
      </c>
      <c r="D169" s="50" t="str">
        <f t="shared" si="2"/>
        <v>Municipal42703</v>
      </c>
      <c r="E169" s="51" t="s">
        <v>8</v>
      </c>
      <c r="F169" s="51">
        <v>10</v>
      </c>
      <c r="G169" s="105">
        <f>F169/VLOOKUP(D169,References!$D$4:$E$17,2,FALSE)*VLOOKUP(E169,References!$J$4:$L$15,3,FALSE)</f>
        <v>4.1666666666666664E-2</v>
      </c>
    </row>
    <row r="170" spans="2:7" x14ac:dyDescent="0.15">
      <c r="B170" s="8" t="s">
        <v>19</v>
      </c>
      <c r="C170" s="24">
        <v>42703</v>
      </c>
      <c r="D170" s="52" t="str">
        <f t="shared" si="2"/>
        <v>Municipal42703</v>
      </c>
      <c r="E170" s="53" t="s">
        <v>9</v>
      </c>
      <c r="F170" s="53">
        <v>2</v>
      </c>
      <c r="G170" s="106">
        <f>F170/VLOOKUP(D170,References!$D$4:$E$17,2,FALSE)*VLOOKUP(E170,References!$J$4:$L$15,3,FALSE)</f>
        <v>0</v>
      </c>
    </row>
  </sheetData>
  <autoFilter ref="B2:F170" xr:uid="{F7D6CD25-0043-BB42-8B8F-FF99551D87B3}"/>
  <mergeCells count="1">
    <mergeCell ref="I2:N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0361A-A1D4-874F-A00C-1807E86CA8D0}">
  <sheetPr codeName="Sheet6">
    <tabColor rgb="FF00B050"/>
  </sheetPr>
  <dimension ref="B2:AA18"/>
  <sheetViews>
    <sheetView tabSelected="1" zoomScaleNormal="150" workbookViewId="0">
      <selection activeCell="I29" sqref="I29"/>
    </sheetView>
  </sheetViews>
  <sheetFormatPr baseColWidth="10" defaultRowHeight="16" x14ac:dyDescent="0.2"/>
  <cols>
    <col min="1" max="1" width="4" style="92" customWidth="1"/>
    <col min="2" max="2" width="16.83203125" style="92" bestFit="1" customWidth="1"/>
    <col min="3" max="3" width="22.33203125" style="95" bestFit="1" customWidth="1"/>
    <col min="4" max="4" width="20.5" style="95" bestFit="1" customWidth="1"/>
    <col min="5" max="5" width="20.5" style="95" hidden="1" customWidth="1"/>
    <col min="6" max="6" width="16.6640625" style="95" bestFit="1" customWidth="1"/>
    <col min="7" max="7" width="19.1640625" style="95" bestFit="1" customWidth="1"/>
    <col min="8" max="8" width="22" style="95" bestFit="1" customWidth="1"/>
    <col min="9" max="9" width="18.83203125" style="92" customWidth="1"/>
    <col min="10" max="10" width="16.5" style="15" bestFit="1" customWidth="1"/>
    <col min="11" max="11" width="16.5" style="15" customWidth="1"/>
    <col min="12" max="12" width="24.1640625" style="92" customWidth="1"/>
    <col min="13" max="13" width="21.1640625" style="92" customWidth="1"/>
    <col min="14" max="14" width="18.33203125" style="92" customWidth="1"/>
    <col min="15" max="15" width="10.83203125" style="92"/>
    <col min="16" max="16" width="23.83203125" style="92" bestFit="1" customWidth="1"/>
    <col min="17" max="17" width="3.83203125" style="92" customWidth="1"/>
    <col min="18" max="18" width="14.1640625" style="92" bestFit="1" customWidth="1"/>
    <col min="19" max="19" width="12.1640625" style="92" bestFit="1" customWidth="1"/>
    <col min="20" max="20" width="12.1640625" style="92" customWidth="1"/>
    <col min="21" max="21" width="14.1640625" style="92" bestFit="1" customWidth="1"/>
    <col min="22" max="22" width="12.1640625" style="92" bestFit="1" customWidth="1"/>
    <col min="23" max="23" width="12.1640625" style="92" customWidth="1"/>
    <col min="24" max="24" width="26" style="92" bestFit="1" customWidth="1"/>
    <col min="25" max="25" width="26" style="92" customWidth="1"/>
    <col min="26" max="26" width="7.1640625" style="92" customWidth="1"/>
    <col min="27" max="27" width="18.33203125" style="92" bestFit="1" customWidth="1"/>
    <col min="28" max="28" width="15.83203125" style="92" bestFit="1" customWidth="1"/>
    <col min="29" max="16384" width="10.83203125" style="92"/>
  </cols>
  <sheetData>
    <row r="2" spans="2:27" s="103" customFormat="1" x14ac:dyDescent="0.2">
      <c r="B2" s="100" t="s">
        <v>32</v>
      </c>
      <c r="C2" s="99" t="s">
        <v>26</v>
      </c>
      <c r="D2" s="99" t="s">
        <v>33</v>
      </c>
      <c r="E2" s="99" t="s">
        <v>31</v>
      </c>
      <c r="F2" s="99" t="s">
        <v>34</v>
      </c>
      <c r="G2" s="99" t="s">
        <v>35</v>
      </c>
      <c r="H2" s="99" t="s">
        <v>36</v>
      </c>
      <c r="I2" s="99" t="s">
        <v>61</v>
      </c>
      <c r="J2" s="101" t="s">
        <v>55</v>
      </c>
      <c r="K2" s="101" t="s">
        <v>56</v>
      </c>
      <c r="L2" s="99" t="s">
        <v>49</v>
      </c>
      <c r="M2" s="102" t="s">
        <v>57</v>
      </c>
    </row>
    <row r="3" spans="2:27" x14ac:dyDescent="0.2">
      <c r="B3" s="13" t="s">
        <v>37</v>
      </c>
      <c r="C3" s="14" t="s">
        <v>41</v>
      </c>
      <c r="D3" s="14" t="s">
        <v>38</v>
      </c>
      <c r="E3" s="14" t="str">
        <f>C3&amp;D3</f>
        <v>NoneBSI</v>
      </c>
      <c r="F3" s="14">
        <v>6.7</v>
      </c>
      <c r="G3" s="14">
        <v>0</v>
      </c>
      <c r="H3" s="14">
        <v>0</v>
      </c>
      <c r="I3" s="33">
        <f>SUM(I6:I7)*4</f>
        <v>3917.4595679376698</v>
      </c>
      <c r="J3" s="15">
        <f>F3*VLOOKUP($F$2,References!$N$3:$O$7,2,FALSE)+G3*VLOOKUP($G$2,References!$N$3:$O$7,2,FALSE)+H3*VLOOKUP('Cost Calculations'!$H$2,References!$N$3:$O$7,2,FALSE)</f>
        <v>5601.2</v>
      </c>
      <c r="L3" s="16">
        <f>I3*J3</f>
        <v>21942474.531932477</v>
      </c>
      <c r="M3" s="27"/>
      <c r="Z3" s="15"/>
    </row>
    <row r="4" spans="2:27" x14ac:dyDescent="0.2">
      <c r="B4" s="13" t="s">
        <v>37</v>
      </c>
      <c r="C4" s="14" t="s">
        <v>41</v>
      </c>
      <c r="D4" s="14" t="s">
        <v>42</v>
      </c>
      <c r="E4" s="14" t="str">
        <f t="shared" ref="E4:E11" si="0">C4&amp;D4</f>
        <v>NoneUTI</v>
      </c>
      <c r="F4" s="14">
        <v>0</v>
      </c>
      <c r="G4" s="14">
        <v>0</v>
      </c>
      <c r="H4" s="14">
        <v>1</v>
      </c>
      <c r="I4" s="33">
        <f t="shared" ref="I4:I5" si="1">SUM(I7:I8)*4</f>
        <v>22615.936725298074</v>
      </c>
      <c r="J4" s="15">
        <f>F4*VLOOKUP($F$2,References!$N$3:$O$7,2,FALSE)+G4*VLOOKUP($G$2,References!$N$3:$O$7,2,FALSE)+H4*VLOOKUP('Cost Calculations'!$H$2,References!$N$3:$O$7,2,FALSE)</f>
        <v>155</v>
      </c>
      <c r="L4" s="15">
        <f t="shared" ref="L4:L11" si="2">I4*J4</f>
        <v>3505470.1924212016</v>
      </c>
      <c r="M4" s="27"/>
      <c r="Z4" s="15"/>
      <c r="AA4" s="15"/>
    </row>
    <row r="5" spans="2:27" x14ac:dyDescent="0.2">
      <c r="B5" s="13" t="s">
        <v>37</v>
      </c>
      <c r="C5" s="14" t="s">
        <v>41</v>
      </c>
      <c r="D5" s="14" t="s">
        <v>39</v>
      </c>
      <c r="E5" s="14" t="str">
        <f t="shared" si="0"/>
        <v>NoneSSTI</v>
      </c>
      <c r="F5" s="14">
        <v>0</v>
      </c>
      <c r="G5" s="14">
        <v>0</v>
      </c>
      <c r="H5" s="14">
        <v>3.7</v>
      </c>
      <c r="I5" s="33">
        <f t="shared" si="1"/>
        <v>22315.936725298074</v>
      </c>
      <c r="J5" s="15">
        <f>F5*VLOOKUP($F$2,References!$N$3:$O$7,2,FALSE)+G5*VLOOKUP($G$2,References!$N$3:$O$7,2,FALSE)+H5*VLOOKUP('Cost Calculations'!$H$2,References!$N$3:$O$7,2,FALSE)</f>
        <v>573.5</v>
      </c>
      <c r="L5" s="15">
        <f t="shared" si="2"/>
        <v>12798189.711958446</v>
      </c>
      <c r="M5" s="27"/>
      <c r="P5" s="97"/>
      <c r="Q5" s="15"/>
      <c r="R5" s="15"/>
      <c r="S5" s="15"/>
      <c r="T5" s="15"/>
      <c r="U5" s="15"/>
      <c r="V5" s="15"/>
    </row>
    <row r="6" spans="2:27" x14ac:dyDescent="0.2">
      <c r="B6" s="13" t="s">
        <v>43</v>
      </c>
      <c r="C6" s="14" t="s">
        <v>44</v>
      </c>
      <c r="D6" s="14" t="s">
        <v>38</v>
      </c>
      <c r="E6" s="14" t="str">
        <f t="shared" si="0"/>
        <v>ESBLBSI</v>
      </c>
      <c r="F6" s="14">
        <v>12.8</v>
      </c>
      <c r="G6" s="14">
        <v>0</v>
      </c>
      <c r="H6" s="14">
        <v>0</v>
      </c>
      <c r="I6" s="33">
        <f>1769/1.97</f>
        <v>897.96954314720813</v>
      </c>
      <c r="J6" s="15">
        <f>F6*VLOOKUP($F$2,References!$N$3:$O$7,2,FALSE)+G6*VLOOKUP($G$2,References!$N$3:$O$7,2,FALSE)+H6*VLOOKUP('Cost Calculations'!$H$2,References!$N$3:$O$7,2,FALSE)</f>
        <v>10700.800000000001</v>
      </c>
      <c r="K6" s="15">
        <f>J6-VLOOKUP("none"&amp;D6,$E$3:$J$5,6,FALSE)</f>
        <v>5099.6000000000013</v>
      </c>
      <c r="L6" s="15">
        <f t="shared" si="2"/>
        <v>9608992.4873096459</v>
      </c>
      <c r="M6" s="27">
        <f>K6*I6</f>
        <v>4579285.4822335038</v>
      </c>
      <c r="Q6" s="15"/>
      <c r="R6" s="15"/>
      <c r="S6" s="15"/>
      <c r="T6" s="15"/>
      <c r="U6" s="15"/>
      <c r="V6" s="15"/>
      <c r="AA6" s="15"/>
    </row>
    <row r="7" spans="2:27" x14ac:dyDescent="0.2">
      <c r="B7" s="13" t="s">
        <v>43</v>
      </c>
      <c r="C7" s="14" t="s">
        <v>45</v>
      </c>
      <c r="D7" s="14" t="s">
        <v>38</v>
      </c>
      <c r="E7" s="14" t="str">
        <f t="shared" si="0"/>
        <v>CPEBSI</v>
      </c>
      <c r="F7" s="14">
        <v>14.8</v>
      </c>
      <c r="G7" s="14">
        <v>0</v>
      </c>
      <c r="H7" s="14">
        <v>0</v>
      </c>
      <c r="I7" s="33">
        <f>280/3.44</f>
        <v>81.395348837209298</v>
      </c>
      <c r="J7" s="15">
        <f>F7*References!O4+G7*VLOOKUP($G$2,References!$N$3:$O$7,2,FALSE)+H7*VLOOKUP('Cost Calculations'!$H$2,References!$N$3:$O$7,2,FALSE)</f>
        <v>14089.6</v>
      </c>
      <c r="K7" s="15">
        <f t="shared" ref="K7:K11" si="3">J7-VLOOKUP("none"&amp;D7,$E$3:$J$5,6,FALSE)</f>
        <v>8488.4000000000015</v>
      </c>
      <c r="L7" s="15">
        <f t="shared" si="2"/>
        <v>1146827.9069767441</v>
      </c>
      <c r="M7" s="27">
        <f t="shared" ref="M7:M11" si="4">K7*I7</f>
        <v>690916.27906976757</v>
      </c>
      <c r="Q7" s="15"/>
      <c r="R7" s="15"/>
      <c r="S7" s="15"/>
      <c r="T7" s="15"/>
      <c r="U7" s="15"/>
      <c r="V7" s="15"/>
      <c r="W7" s="15"/>
      <c r="X7" s="15"/>
      <c r="AA7" s="15"/>
    </row>
    <row r="8" spans="2:27" x14ac:dyDescent="0.2">
      <c r="B8" s="13" t="s">
        <v>43</v>
      </c>
      <c r="C8" s="14" t="s">
        <v>44</v>
      </c>
      <c r="D8" s="14" t="s">
        <v>42</v>
      </c>
      <c r="E8" s="14" t="str">
        <f t="shared" si="0"/>
        <v>ESBLUTI</v>
      </c>
      <c r="F8" s="14">
        <v>2</v>
      </c>
      <c r="G8" s="14">
        <v>0.5</v>
      </c>
      <c r="H8" s="14">
        <v>0.5</v>
      </c>
      <c r="I8" s="33">
        <f>10978/1.97</f>
        <v>5572.5888324873094</v>
      </c>
      <c r="J8" s="15">
        <f>F8*VLOOKUP($F$2,References!$N$3:$O$7,2,FALSE)+G8*VLOOKUP($G$2,References!$N$3:$O$7,2,FALSE)+H8*VLOOKUP('Cost Calculations'!$H$2,References!$N$3:$O$7,2,FALSE)</f>
        <v>1934</v>
      </c>
      <c r="K8" s="15">
        <f t="shared" si="3"/>
        <v>1779</v>
      </c>
      <c r="L8" s="15">
        <f t="shared" si="2"/>
        <v>10777386.802030457</v>
      </c>
      <c r="M8" s="27">
        <f t="shared" si="4"/>
        <v>9913635.5329949241</v>
      </c>
      <c r="Q8" s="15"/>
      <c r="R8" s="15"/>
      <c r="S8" s="15"/>
      <c r="T8" s="15"/>
      <c r="U8" s="15"/>
      <c r="V8" s="15"/>
    </row>
    <row r="9" spans="2:27" x14ac:dyDescent="0.2">
      <c r="B9" s="13" t="s">
        <v>43</v>
      </c>
      <c r="C9" s="14" t="s">
        <v>45</v>
      </c>
      <c r="D9" s="14" t="s">
        <v>42</v>
      </c>
      <c r="E9" s="14" t="str">
        <f t="shared" si="0"/>
        <v>CPEUTI</v>
      </c>
      <c r="F9" s="14">
        <v>4</v>
      </c>
      <c r="G9" s="14">
        <v>0.5</v>
      </c>
      <c r="H9" s="14">
        <v>1.5</v>
      </c>
      <c r="I9" s="33">
        <f>22/3.44</f>
        <v>6.3953488372093021</v>
      </c>
      <c r="J9" s="15">
        <f>F9*VLOOKUP($F$2,References!$N$3:$O$7,2,FALSE)+G9*VLOOKUP($G$2,References!$N$3:$O$7,2,FALSE)+H9*VLOOKUP('Cost Calculations'!$H$2,References!$N$3:$O$7,2,FALSE)</f>
        <v>3761</v>
      </c>
      <c r="K9" s="15">
        <f t="shared" si="3"/>
        <v>3606</v>
      </c>
      <c r="L9" s="15">
        <f t="shared" si="2"/>
        <v>24052.906976744187</v>
      </c>
      <c r="M9" s="27">
        <f t="shared" si="4"/>
        <v>23061.627906976744</v>
      </c>
      <c r="Q9" s="15"/>
      <c r="R9" s="15"/>
      <c r="S9" s="15"/>
      <c r="T9" s="15"/>
      <c r="U9" s="15"/>
      <c r="V9" s="15"/>
    </row>
    <row r="10" spans="2:27" x14ac:dyDescent="0.2">
      <c r="B10" s="13" t="s">
        <v>43</v>
      </c>
      <c r="C10" s="14" t="s">
        <v>44</v>
      </c>
      <c r="D10" s="14" t="s">
        <v>39</v>
      </c>
      <c r="E10" s="14" t="str">
        <f t="shared" si="0"/>
        <v>ESBLSSTI</v>
      </c>
      <c r="F10" s="14">
        <v>0</v>
      </c>
      <c r="G10" s="14">
        <v>0</v>
      </c>
      <c r="H10" s="14">
        <v>4.9000000000000004</v>
      </c>
      <c r="I10" s="33">
        <f>535/1.97</f>
        <v>271.57360406091374</v>
      </c>
      <c r="J10" s="15">
        <f>F10*VLOOKUP($F$2,References!$N$3:$O$7,2,FALSE)+G10*VLOOKUP($G$2,References!$N$3:$O$7,2,FALSE)+H10*VLOOKUP('Cost Calculations'!$H$2,References!$N$3:$O$7,2,FALSE)</f>
        <v>759.5</v>
      </c>
      <c r="K10" s="15">
        <f t="shared" si="3"/>
        <v>186</v>
      </c>
      <c r="L10" s="15">
        <f t="shared" si="2"/>
        <v>206260.15228426398</v>
      </c>
      <c r="M10" s="27">
        <f t="shared" si="4"/>
        <v>50512.690355329956</v>
      </c>
      <c r="Q10" s="15"/>
      <c r="R10" s="15"/>
      <c r="S10" s="15"/>
      <c r="T10" s="15"/>
      <c r="U10" s="15"/>
      <c r="V10" s="15"/>
      <c r="W10" s="15"/>
      <c r="X10" s="15"/>
    </row>
    <row r="11" spans="2:27" x14ac:dyDescent="0.2">
      <c r="B11" s="17" t="s">
        <v>43</v>
      </c>
      <c r="C11" s="18" t="s">
        <v>45</v>
      </c>
      <c r="D11" s="18" t="s">
        <v>39</v>
      </c>
      <c r="E11" s="31" t="str">
        <f t="shared" si="0"/>
        <v>CPESSTI</v>
      </c>
      <c r="F11" s="18">
        <v>0</v>
      </c>
      <c r="G11" s="18">
        <v>2</v>
      </c>
      <c r="H11" s="18">
        <v>4.9000000000000004</v>
      </c>
      <c r="I11" s="34">
        <f>11/3.44</f>
        <v>3.1976744186046511</v>
      </c>
      <c r="J11" s="19">
        <f>F11*VLOOKUP($F$2,References!$N$3:$O$7,2,FALSE)+G11*VLOOKUP($G$2,References!$N$3:$O$7,2,FALSE)+H11*VLOOKUP('Cost Calculations'!$H$2,References!$N$3:$O$7,2,FALSE)</f>
        <v>1497.5</v>
      </c>
      <c r="K11" s="19">
        <f t="shared" si="3"/>
        <v>924</v>
      </c>
      <c r="L11" s="19">
        <f t="shared" si="2"/>
        <v>4788.5174418604647</v>
      </c>
      <c r="M11" s="28">
        <f t="shared" si="4"/>
        <v>2954.6511627906975</v>
      </c>
    </row>
    <row r="12" spans="2:27" x14ac:dyDescent="0.2">
      <c r="P12" s="91"/>
      <c r="Q12" s="91"/>
      <c r="R12" s="91"/>
      <c r="S12" s="91"/>
      <c r="T12" s="91"/>
      <c r="U12" s="91"/>
      <c r="V12" s="91"/>
      <c r="W12" s="91"/>
    </row>
    <row r="13" spans="2:27" ht="16" customHeight="1" x14ac:dyDescent="0.2">
      <c r="B13" s="142" t="s">
        <v>59</v>
      </c>
      <c r="C13" s="142"/>
      <c r="D13" s="142"/>
      <c r="E13" s="142"/>
      <c r="F13" s="142"/>
      <c r="G13" s="142"/>
      <c r="I13" s="96"/>
    </row>
    <row r="14" spans="2:27" x14ac:dyDescent="0.2">
      <c r="B14" s="142"/>
      <c r="C14" s="142"/>
      <c r="D14" s="142"/>
      <c r="E14" s="142"/>
      <c r="F14" s="142"/>
      <c r="G14" s="142"/>
      <c r="I14" s="91"/>
    </row>
    <row r="15" spans="2:27" x14ac:dyDescent="0.2">
      <c r="B15" s="142"/>
      <c r="C15" s="142"/>
      <c r="D15" s="142"/>
      <c r="E15" s="142"/>
      <c r="F15" s="142"/>
      <c r="G15" s="142"/>
      <c r="I15" s="91"/>
      <c r="K15" s="110"/>
      <c r="L15" s="111" t="s">
        <v>94</v>
      </c>
      <c r="M15" s="112" t="s">
        <v>54</v>
      </c>
      <c r="Q15" s="97"/>
    </row>
    <row r="16" spans="2:27" x14ac:dyDescent="0.2">
      <c r="K16" s="108" t="s">
        <v>82</v>
      </c>
      <c r="L16" s="15" cm="1">
        <f t="array" ref="L16">SUM(I3:I11*J3:J11)/SUM(I3:I11)</f>
        <v>1077.7981137109607</v>
      </c>
      <c r="M16" s="93">
        <f>SQRT((SUM(($L$16-J3)^2*I3,(L16-J4)^2*I4,(L16-J5)^2*I5,(L16-J6)^2*I6,(L16-J7)^2*I7,(L16-J8)^2*I8,(L16-J9)^2*I9,(L16-J10)^2*I10,(L16-J11)^2*I11)/SUM(I3:I11)))</f>
        <v>1924.2794573012447</v>
      </c>
      <c r="R16" s="15"/>
      <c r="S16" s="15"/>
      <c r="T16" s="15"/>
      <c r="U16" s="15"/>
      <c r="V16" s="15"/>
      <c r="W16" s="15"/>
    </row>
    <row r="17" spans="9:23" x14ac:dyDescent="0.2">
      <c r="I17" s="91"/>
      <c r="J17" s="98"/>
      <c r="K17" s="109" t="s">
        <v>81</v>
      </c>
      <c r="L17" s="19" cm="1">
        <f t="array" ref="L17">SUM(I6:I11*K6:K11)/SUM(I6:I11)</f>
        <v>2233.2939386511971</v>
      </c>
      <c r="M17" s="94">
        <f>SQRT((SUM((L17-K8)^2*I8,(L17-K9)^2*I9,(L17-K10)^2*I10,(L17-K11)^2*I11,(L17-K6)^2*I6,(L17-K7)^2*I7)/SUM(I6:I11)))</f>
        <v>1372.2933748835253</v>
      </c>
    </row>
    <row r="18" spans="9:23" x14ac:dyDescent="0.2">
      <c r="J18" s="98"/>
      <c r="R18" s="15"/>
      <c r="S18" s="15"/>
      <c r="T18" s="15"/>
      <c r="U18" s="15"/>
      <c r="V18" s="15"/>
      <c r="W18" s="15"/>
    </row>
  </sheetData>
  <mergeCells count="1">
    <mergeCell ref="B13:G1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5E67B-BA2C-F349-8EFF-E443D38F197E}">
  <sheetPr codeName="Sheet4">
    <tabColor rgb="FF00B050"/>
  </sheetPr>
  <dimension ref="B2:P13"/>
  <sheetViews>
    <sheetView zoomScale="125" zoomScaleNormal="296" workbookViewId="0">
      <selection activeCell="I3" sqref="I3"/>
    </sheetView>
  </sheetViews>
  <sheetFormatPr baseColWidth="10" defaultRowHeight="13" x14ac:dyDescent="0.15"/>
  <cols>
    <col min="1" max="1" width="3" style="1" customWidth="1"/>
    <col min="2" max="2" width="0" style="1" hidden="1" customWidth="1"/>
    <col min="3" max="3" width="10.83203125" style="1"/>
    <col min="4" max="4" width="13.5" style="1" hidden="1" customWidth="1"/>
    <col min="5" max="5" width="10.5" style="1" hidden="1" customWidth="1"/>
    <col min="6" max="6" width="12" style="1" bestFit="1" customWidth="1"/>
    <col min="7" max="7" width="2.33203125" style="1" customWidth="1"/>
    <col min="8" max="8" width="8.1640625" style="1" bestFit="1" customWidth="1"/>
    <col min="9" max="10" width="13.83203125" style="11" customWidth="1"/>
    <col min="11" max="11" width="3.5" style="1" customWidth="1"/>
    <col min="12" max="12" width="10.83203125" style="1"/>
    <col min="13" max="13" width="5.33203125" style="1" customWidth="1"/>
    <col min="14" max="14" width="12.83203125" style="1" customWidth="1"/>
    <col min="15" max="15" width="5.33203125" style="1" customWidth="1"/>
    <col min="16" max="16" width="12.83203125" style="1" customWidth="1"/>
    <col min="17" max="16384" width="10.83203125" style="1"/>
  </cols>
  <sheetData>
    <row r="2" spans="2:16" x14ac:dyDescent="0.15">
      <c r="C2" s="136" t="s">
        <v>84</v>
      </c>
      <c r="D2" s="137"/>
      <c r="E2" s="137"/>
      <c r="F2" s="137"/>
      <c r="G2" s="65"/>
      <c r="H2" s="65"/>
      <c r="I2" s="137" t="s">
        <v>87</v>
      </c>
      <c r="J2" s="138"/>
      <c r="L2" s="133" t="s">
        <v>89</v>
      </c>
      <c r="M2" s="134"/>
      <c r="N2" s="134"/>
      <c r="O2" s="134"/>
      <c r="P2" s="135"/>
    </row>
    <row r="3" spans="2:16" x14ac:dyDescent="0.15">
      <c r="B3" s="40" t="s">
        <v>25</v>
      </c>
      <c r="C3" s="87" t="s">
        <v>21</v>
      </c>
      <c r="D3" s="88" t="s">
        <v>31</v>
      </c>
      <c r="E3" s="88" t="s">
        <v>76</v>
      </c>
      <c r="F3" s="88" t="s">
        <v>83</v>
      </c>
      <c r="G3" s="88"/>
      <c r="H3" s="88"/>
      <c r="I3" s="89" t="s">
        <v>85</v>
      </c>
      <c r="J3" s="90" t="s">
        <v>86</v>
      </c>
      <c r="L3" s="58"/>
      <c r="M3" s="143" t="s">
        <v>79</v>
      </c>
      <c r="N3" s="143"/>
      <c r="O3" s="143" t="s">
        <v>80</v>
      </c>
      <c r="P3" s="144"/>
    </row>
    <row r="4" spans="2:16" x14ac:dyDescent="0.15">
      <c r="B4" s="37" t="s">
        <v>20</v>
      </c>
      <c r="C4" s="54">
        <v>42390</v>
      </c>
      <c r="D4" s="35" t="str">
        <f>B4&amp;C4</f>
        <v>Hospital42390</v>
      </c>
      <c r="E4" s="36">
        <f>SUMIF('Surveillance Data'!D:D,'Expected Outcomes'!D:D,'Surveillance Data'!G:G)*100</f>
        <v>22.222222222222221</v>
      </c>
      <c r="F4" s="38">
        <f>E4/SUM(References!$L$4:$L$15)</f>
        <v>11.111111111111112</v>
      </c>
      <c r="G4" s="38"/>
      <c r="H4" s="38"/>
      <c r="I4" s="41">
        <f>$F4/100*$M$4+(1-$F4/100)*$O$4</f>
        <v>8.8888888888888892E-2</v>
      </c>
      <c r="J4" s="45">
        <f>F4/100*$M$5+(1-F4/100)*$O$5</f>
        <v>0.12666666666666668</v>
      </c>
      <c r="L4" s="58" t="s">
        <v>82</v>
      </c>
      <c r="M4" s="2">
        <v>0</v>
      </c>
      <c r="N4" s="1" t="s">
        <v>90</v>
      </c>
      <c r="O4" s="2">
        <v>0.1</v>
      </c>
      <c r="P4" s="6" t="s">
        <v>90</v>
      </c>
    </row>
    <row r="5" spans="2:16" x14ac:dyDescent="0.15">
      <c r="B5" s="37" t="s">
        <v>20</v>
      </c>
      <c r="C5" s="54">
        <v>42451</v>
      </c>
      <c r="D5" s="35" t="str">
        <f t="shared" ref="D5:D11" si="0">B5&amp;C5</f>
        <v>Hospital42451</v>
      </c>
      <c r="E5" s="36">
        <f>SUMIF('Surveillance Data'!D:D,'Expected Outcomes'!D:D,'Surveillance Data'!G:G)*100</f>
        <v>9.5238095238095237</v>
      </c>
      <c r="F5" s="38">
        <f>E5/SUM(References!$L$4:$L$15)</f>
        <v>4.7619047619047628</v>
      </c>
      <c r="G5" s="38"/>
      <c r="H5" s="38"/>
      <c r="I5" s="41">
        <f t="shared" ref="I5:I10" si="1">$F5/100*$M$4+(1-$F5/100)*$O$4</f>
        <v>9.5238095238095233E-2</v>
      </c>
      <c r="J5" s="45">
        <f t="shared" ref="J5:J11" si="2">F5/100*$M$5+(1-F5/100)*$O$5</f>
        <v>0.1</v>
      </c>
      <c r="L5" s="59" t="s">
        <v>81</v>
      </c>
      <c r="M5" s="9">
        <v>0.5</v>
      </c>
      <c r="N5" s="12" t="s">
        <v>90</v>
      </c>
      <c r="O5" s="9">
        <v>0.08</v>
      </c>
      <c r="P5" s="7" t="s">
        <v>90</v>
      </c>
    </row>
    <row r="6" spans="2:16" x14ac:dyDescent="0.15">
      <c r="B6" s="37" t="s">
        <v>20</v>
      </c>
      <c r="C6" s="54">
        <v>42459</v>
      </c>
      <c r="D6" s="35" t="str">
        <f t="shared" si="0"/>
        <v>Hospital42459</v>
      </c>
      <c r="E6" s="36">
        <f>SUMIF('Surveillance Data'!D:D,'Expected Outcomes'!D:D,'Surveillance Data'!G:G)*100</f>
        <v>23.958333333333332</v>
      </c>
      <c r="F6" s="38">
        <f>E6/SUM(References!$L$4:$L$15)</f>
        <v>11.979166666666668</v>
      </c>
      <c r="G6" s="38"/>
      <c r="H6" s="38"/>
      <c r="I6" s="41">
        <f t="shared" si="1"/>
        <v>8.8020833333333326E-2</v>
      </c>
      <c r="J6" s="45">
        <f t="shared" si="2"/>
        <v>0.1303125</v>
      </c>
    </row>
    <row r="7" spans="2:16" x14ac:dyDescent="0.15">
      <c r="B7" s="37" t="s">
        <v>20</v>
      </c>
      <c r="C7" s="54">
        <v>42493</v>
      </c>
      <c r="D7" s="35" t="str">
        <f t="shared" si="0"/>
        <v>Hospital42493</v>
      </c>
      <c r="E7" s="36">
        <f>SUMIF('Surveillance Data'!D:D,'Expected Outcomes'!D:D,'Surveillance Data'!G:G)*100</f>
        <v>23.65591397849462</v>
      </c>
      <c r="F7" s="38">
        <f>E7/SUM(References!$L$4:$L$15)</f>
        <v>11.827956989247312</v>
      </c>
      <c r="G7" s="38"/>
      <c r="H7" s="38"/>
      <c r="I7" s="41">
        <f t="shared" si="1"/>
        <v>8.8172043010752696E-2</v>
      </c>
      <c r="J7" s="45">
        <f t="shared" si="2"/>
        <v>0.12967741935483873</v>
      </c>
    </row>
    <row r="8" spans="2:16" x14ac:dyDescent="0.15">
      <c r="B8" s="37" t="s">
        <v>20</v>
      </c>
      <c r="C8" s="54">
        <v>42543</v>
      </c>
      <c r="D8" s="35" t="str">
        <f t="shared" si="0"/>
        <v>Hospital42543</v>
      </c>
      <c r="E8" s="36">
        <f>SUMIF('Surveillance Data'!D:D,'Expected Outcomes'!D:D,'Surveillance Data'!G:G)*100</f>
        <v>43.05555555555555</v>
      </c>
      <c r="F8" s="38">
        <f>E8/SUM(References!$L$4:$L$15)</f>
        <v>21.527777777777779</v>
      </c>
      <c r="G8" s="38"/>
      <c r="H8" s="38"/>
      <c r="I8" s="41">
        <f t="shared" si="1"/>
        <v>7.8472222222222221E-2</v>
      </c>
      <c r="J8" s="45">
        <f t="shared" si="2"/>
        <v>0.17041666666666666</v>
      </c>
    </row>
    <row r="9" spans="2:16" x14ac:dyDescent="0.15">
      <c r="B9" s="37" t="s">
        <v>20</v>
      </c>
      <c r="C9" s="54">
        <v>42641</v>
      </c>
      <c r="D9" s="35" t="str">
        <f t="shared" si="0"/>
        <v>Hospital42641</v>
      </c>
      <c r="E9" s="36">
        <f>SUMIF('Surveillance Data'!D:D,'Expected Outcomes'!D:D,'Surveillance Data'!G:G)*100</f>
        <v>26.736111111111111</v>
      </c>
      <c r="F9" s="38">
        <f>E9/SUM(References!$L$4:$L$15)</f>
        <v>13.368055555555557</v>
      </c>
      <c r="G9" s="38"/>
      <c r="H9" s="38"/>
      <c r="I9" s="41">
        <f t="shared" si="1"/>
        <v>8.6631944444444442E-2</v>
      </c>
      <c r="J9" s="45">
        <f t="shared" si="2"/>
        <v>0.13614583333333335</v>
      </c>
    </row>
    <row r="10" spans="2:16" x14ac:dyDescent="0.15">
      <c r="B10" s="37" t="s">
        <v>20</v>
      </c>
      <c r="C10" s="54">
        <v>42689</v>
      </c>
      <c r="D10" s="35" t="str">
        <f t="shared" si="0"/>
        <v>Hospital42689</v>
      </c>
      <c r="E10" s="36">
        <f>SUMIF('Surveillance Data'!D:D,'Expected Outcomes'!D:D,'Surveillance Data'!G:G)*100</f>
        <v>10.175438596491226</v>
      </c>
      <c r="F10" s="38">
        <f>E10/SUM(References!$L$4:$L$15)</f>
        <v>5.0877192982456139</v>
      </c>
      <c r="G10" s="38"/>
      <c r="H10" s="38"/>
      <c r="I10" s="41">
        <f t="shared" si="1"/>
        <v>9.4912280701754392E-2</v>
      </c>
      <c r="J10" s="45">
        <f t="shared" si="2"/>
        <v>0.10136842105263157</v>
      </c>
    </row>
    <row r="11" spans="2:16" x14ac:dyDescent="0.15">
      <c r="B11" s="37" t="s">
        <v>20</v>
      </c>
      <c r="C11" s="55">
        <v>42724</v>
      </c>
      <c r="D11" s="29" t="str">
        <f t="shared" si="0"/>
        <v>Hospital42724</v>
      </c>
      <c r="E11" s="30">
        <f>SUMIF('Surveillance Data'!D:D,'Expected Outcomes'!D:D,'Surveillance Data'!G:G)*100</f>
        <v>33.333333333333329</v>
      </c>
      <c r="F11" s="42">
        <f>E11/SUM(References!$L$4:$L$15)</f>
        <v>16.666666666666668</v>
      </c>
      <c r="G11" s="38"/>
      <c r="H11" s="42"/>
      <c r="I11" s="43">
        <f>$F11/100*$M$4+(1-$F11/100)*$O$4</f>
        <v>8.3333333333333329E-2</v>
      </c>
      <c r="J11" s="10">
        <f t="shared" si="2"/>
        <v>0.15000000000000002</v>
      </c>
    </row>
    <row r="12" spans="2:16" x14ac:dyDescent="0.15">
      <c r="B12" s="37"/>
      <c r="C12" s="48"/>
      <c r="D12" s="35"/>
      <c r="E12" s="36"/>
      <c r="F12" s="38"/>
      <c r="G12" s="38"/>
      <c r="H12" s="61" t="s">
        <v>88</v>
      </c>
      <c r="I12" s="44">
        <f>AVERAGE(I4:I11)</f>
        <v>8.7958705146603075E-2</v>
      </c>
      <c r="J12" s="46">
        <f>AVERAGE(J4:J11)</f>
        <v>0.1305734383842671</v>
      </c>
    </row>
    <row r="13" spans="2:16" x14ac:dyDescent="0.15">
      <c r="B13" s="37"/>
      <c r="C13" s="49"/>
      <c r="D13" s="29"/>
      <c r="E13" s="30"/>
      <c r="F13" s="42"/>
      <c r="G13" s="42"/>
      <c r="H13" s="62" t="s">
        <v>93</v>
      </c>
      <c r="I13" s="56">
        <f>STDEV(I4:I11)</f>
        <v>5.5472524022765861E-3</v>
      </c>
      <c r="J13" s="47">
        <f>STDEV(J4:J11)</f>
        <v>2.329846008956174E-2</v>
      </c>
    </row>
  </sheetData>
  <mergeCells count="5">
    <mergeCell ref="C2:F2"/>
    <mergeCell ref="I2:J2"/>
    <mergeCell ref="M3:N3"/>
    <mergeCell ref="O3:P3"/>
    <mergeCell ref="L2:P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9A27-B257-9D49-9C22-DBBE89928B54}">
  <sheetPr>
    <tabColor rgb="FF00B050"/>
  </sheetPr>
  <dimension ref="B3:F20"/>
  <sheetViews>
    <sheetView zoomScale="165" workbookViewId="0">
      <selection activeCell="F5" sqref="F5"/>
    </sheetView>
  </sheetViews>
  <sheetFormatPr baseColWidth="10" defaultRowHeight="13" x14ac:dyDescent="0.15"/>
  <cols>
    <col min="1" max="1" width="2.83203125" style="1" customWidth="1"/>
    <col min="2" max="2" width="10.83203125" style="11"/>
    <col min="3" max="4" width="0" style="11" hidden="1" customWidth="1"/>
    <col min="5" max="5" width="14.5" style="1" bestFit="1" customWidth="1"/>
    <col min="6" max="6" width="14" style="1" customWidth="1"/>
    <col min="7" max="16384" width="10.83203125" style="1"/>
  </cols>
  <sheetData>
    <row r="3" spans="2:6" ht="29" customHeight="1" x14ac:dyDescent="0.15">
      <c r="B3" s="66" t="s">
        <v>97</v>
      </c>
      <c r="C3" s="121" t="s">
        <v>44</v>
      </c>
      <c r="D3" s="121" t="s">
        <v>45</v>
      </c>
      <c r="E3" s="121" t="s">
        <v>95</v>
      </c>
      <c r="F3" s="122" t="s">
        <v>96</v>
      </c>
    </row>
    <row r="4" spans="2:6" x14ac:dyDescent="0.15">
      <c r="B4" s="113">
        <v>2016</v>
      </c>
      <c r="C4" s="11">
        <f>C18/1.97</f>
        <v>11300</v>
      </c>
      <c r="D4" s="114">
        <f>D18/3.44</f>
        <v>139.82558139534885</v>
      </c>
      <c r="E4" s="117">
        <f>SUM(C4:D4)</f>
        <v>11439.825581395349</v>
      </c>
      <c r="F4" s="118">
        <f>E4*5</f>
        <v>57199.127906976748</v>
      </c>
    </row>
    <row r="5" spans="2:6" x14ac:dyDescent="0.15">
      <c r="B5" s="113">
        <v>2017</v>
      </c>
      <c r="C5" s="11">
        <v>11300</v>
      </c>
      <c r="D5" s="114">
        <f>D18/3.44</f>
        <v>139.82558139534885</v>
      </c>
      <c r="E5" s="117">
        <f t="shared" ref="E5:E18" si="0">SUM(C5:D5)</f>
        <v>11439.825581395349</v>
      </c>
      <c r="F5" s="118">
        <f t="shared" ref="F5:F18" si="1">E5*5</f>
        <v>57199.127906976748</v>
      </c>
    </row>
    <row r="6" spans="2:6" x14ac:dyDescent="0.15">
      <c r="B6" s="113">
        <v>2018</v>
      </c>
      <c r="C6" s="11">
        <v>11303</v>
      </c>
      <c r="D6" s="11">
        <v>140</v>
      </c>
      <c r="E6" s="117">
        <f t="shared" si="0"/>
        <v>11443</v>
      </c>
      <c r="F6" s="118">
        <f t="shared" si="1"/>
        <v>57215</v>
      </c>
    </row>
    <row r="7" spans="2:6" x14ac:dyDescent="0.15">
      <c r="B7" s="113">
        <v>2019</v>
      </c>
      <c r="C7" s="11">
        <v>12071</v>
      </c>
      <c r="D7" s="11">
        <v>174</v>
      </c>
      <c r="E7" s="117">
        <f t="shared" si="0"/>
        <v>12245</v>
      </c>
      <c r="F7" s="118">
        <f t="shared" si="1"/>
        <v>61225</v>
      </c>
    </row>
    <row r="8" spans="2:6" x14ac:dyDescent="0.15">
      <c r="B8" s="113">
        <v>2020</v>
      </c>
      <c r="C8" s="11">
        <v>12929</v>
      </c>
      <c r="D8" s="11">
        <v>197</v>
      </c>
      <c r="E8" s="117">
        <f t="shared" si="0"/>
        <v>13126</v>
      </c>
      <c r="F8" s="118">
        <f t="shared" si="1"/>
        <v>65630</v>
      </c>
    </row>
    <row r="9" spans="2:6" x14ac:dyDescent="0.15">
      <c r="B9" s="113">
        <v>2021</v>
      </c>
      <c r="C9" s="11">
        <v>13857</v>
      </c>
      <c r="D9" s="11">
        <v>248</v>
      </c>
      <c r="E9" s="117">
        <f t="shared" si="0"/>
        <v>14105</v>
      </c>
      <c r="F9" s="118">
        <f t="shared" si="1"/>
        <v>70525</v>
      </c>
    </row>
    <row r="10" spans="2:6" x14ac:dyDescent="0.15">
      <c r="B10" s="113">
        <v>2022</v>
      </c>
      <c r="C10" s="11">
        <v>14838</v>
      </c>
      <c r="D10" s="11">
        <v>231</v>
      </c>
      <c r="E10" s="117">
        <f t="shared" si="0"/>
        <v>15069</v>
      </c>
      <c r="F10" s="118">
        <f t="shared" si="1"/>
        <v>75345</v>
      </c>
    </row>
    <row r="11" spans="2:6" x14ac:dyDescent="0.15">
      <c r="B11" s="113">
        <v>2023</v>
      </c>
      <c r="C11" s="11">
        <v>15389</v>
      </c>
      <c r="D11" s="11">
        <v>286</v>
      </c>
      <c r="E11" s="117">
        <f t="shared" si="0"/>
        <v>15675</v>
      </c>
      <c r="F11" s="118">
        <f t="shared" si="1"/>
        <v>78375</v>
      </c>
    </row>
    <row r="12" spans="2:6" x14ac:dyDescent="0.15">
      <c r="B12" s="113">
        <v>2024</v>
      </c>
      <c r="C12" s="11">
        <v>16415</v>
      </c>
      <c r="D12" s="11">
        <v>325</v>
      </c>
      <c r="E12" s="117">
        <f t="shared" si="0"/>
        <v>16740</v>
      </c>
      <c r="F12" s="118">
        <f t="shared" si="1"/>
        <v>83700</v>
      </c>
    </row>
    <row r="13" spans="2:6" x14ac:dyDescent="0.15">
      <c r="B13" s="113">
        <v>2025</v>
      </c>
      <c r="C13" s="11">
        <v>17464</v>
      </c>
      <c r="D13" s="11">
        <v>324</v>
      </c>
      <c r="E13" s="117">
        <f t="shared" si="0"/>
        <v>17788</v>
      </c>
      <c r="F13" s="118">
        <f t="shared" si="1"/>
        <v>88940</v>
      </c>
    </row>
    <row r="14" spans="2:6" x14ac:dyDescent="0.15">
      <c r="B14" s="113">
        <v>2026</v>
      </c>
      <c r="C14" s="11">
        <v>18371</v>
      </c>
      <c r="D14" s="11">
        <v>330</v>
      </c>
      <c r="E14" s="117">
        <f t="shared" si="0"/>
        <v>18701</v>
      </c>
      <c r="F14" s="118">
        <f t="shared" si="1"/>
        <v>93505</v>
      </c>
    </row>
    <row r="15" spans="2:6" x14ac:dyDescent="0.15">
      <c r="B15" s="113">
        <v>2027</v>
      </c>
      <c r="C15" s="11">
        <v>19290</v>
      </c>
      <c r="D15" s="11">
        <v>382</v>
      </c>
      <c r="E15" s="117">
        <f t="shared" si="0"/>
        <v>19672</v>
      </c>
      <c r="F15" s="118">
        <f t="shared" si="1"/>
        <v>98360</v>
      </c>
    </row>
    <row r="16" spans="2:6" x14ac:dyDescent="0.15">
      <c r="B16" s="113">
        <v>2028</v>
      </c>
      <c r="C16" s="11">
        <v>20293</v>
      </c>
      <c r="D16" s="11">
        <v>435</v>
      </c>
      <c r="E16" s="117">
        <f t="shared" si="0"/>
        <v>20728</v>
      </c>
      <c r="F16" s="118">
        <f t="shared" si="1"/>
        <v>103640</v>
      </c>
    </row>
    <row r="17" spans="2:6" x14ac:dyDescent="0.15">
      <c r="B17" s="113">
        <v>2029</v>
      </c>
      <c r="C17" s="11">
        <v>21168</v>
      </c>
      <c r="D17" s="11">
        <v>435</v>
      </c>
      <c r="E17" s="117">
        <f t="shared" si="0"/>
        <v>21603</v>
      </c>
      <c r="F17" s="118">
        <f t="shared" si="1"/>
        <v>108015</v>
      </c>
    </row>
    <row r="18" spans="2:6" x14ac:dyDescent="0.15">
      <c r="B18" s="113">
        <v>2030</v>
      </c>
      <c r="C18" s="11">
        <v>22261</v>
      </c>
      <c r="D18" s="11">
        <v>481</v>
      </c>
      <c r="E18" s="117">
        <f t="shared" si="0"/>
        <v>22742</v>
      </c>
      <c r="F18" s="118">
        <f t="shared" si="1"/>
        <v>113710</v>
      </c>
    </row>
    <row r="19" spans="2:6" x14ac:dyDescent="0.15">
      <c r="B19" s="115" t="s">
        <v>98</v>
      </c>
      <c r="C19" s="116">
        <f>SUM(C4:C18)</f>
        <v>238249</v>
      </c>
      <c r="D19" s="116">
        <f t="shared" ref="D19:F19" si="2">SUM(D4:D18)</f>
        <v>4267.6511627906975</v>
      </c>
      <c r="E19" s="119">
        <f t="shared" si="2"/>
        <v>242516.65116279072</v>
      </c>
      <c r="F19" s="120">
        <f t="shared" si="2"/>
        <v>1212583.2558139535</v>
      </c>
    </row>
    <row r="20" spans="2:6" x14ac:dyDescent="0.15">
      <c r="D20" s="3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04825-7896-8148-8A44-ED6664842C67}">
  <sheetPr codeName="Sheet9">
    <tabColor rgb="FF00B050"/>
  </sheetPr>
  <dimension ref="B2:D23"/>
  <sheetViews>
    <sheetView topLeftCell="A9" zoomScale="200" workbookViewId="0">
      <selection activeCell="D27" sqref="D27"/>
    </sheetView>
  </sheetViews>
  <sheetFormatPr baseColWidth="10" defaultRowHeight="13" x14ac:dyDescent="0.15"/>
  <cols>
    <col min="1" max="1" width="2.1640625" style="1" customWidth="1"/>
    <col min="2" max="2" width="34" style="1" bestFit="1" customWidth="1"/>
    <col min="3" max="3" width="16.6640625" style="11" bestFit="1" customWidth="1"/>
    <col min="4" max="4" width="15.33203125" style="123" bestFit="1" customWidth="1"/>
    <col min="5" max="16384" width="10.83203125" style="1"/>
  </cols>
  <sheetData>
    <row r="2" spans="2:4" x14ac:dyDescent="0.15">
      <c r="B2" s="133" t="s">
        <v>121</v>
      </c>
      <c r="C2" s="134"/>
      <c r="D2" s="135"/>
    </row>
    <row r="3" spans="2:4" x14ac:dyDescent="0.15">
      <c r="B3" s="57" t="s">
        <v>99</v>
      </c>
      <c r="C3" s="60" t="s">
        <v>114</v>
      </c>
      <c r="D3" s="124">
        <f>'Cost Calculations'!L16</f>
        <v>1077.7981137109607</v>
      </c>
    </row>
    <row r="4" spans="2:4" x14ac:dyDescent="0.15">
      <c r="B4" s="57" t="s">
        <v>100</v>
      </c>
      <c r="C4" s="60" t="s">
        <v>115</v>
      </c>
      <c r="D4" s="124">
        <f>'Cost Calculations'!L17</f>
        <v>2233.2939386511971</v>
      </c>
    </row>
    <row r="5" spans="2:4" x14ac:dyDescent="0.15">
      <c r="B5" s="57" t="s">
        <v>105</v>
      </c>
      <c r="C5" s="60" t="s">
        <v>85</v>
      </c>
      <c r="D5" s="125">
        <f>'Expected Outcomes'!I12</f>
        <v>8.7958705146603075E-2</v>
      </c>
    </row>
    <row r="6" spans="2:4" x14ac:dyDescent="0.15">
      <c r="B6" s="57" t="s">
        <v>106</v>
      </c>
      <c r="C6" s="60" t="s">
        <v>86</v>
      </c>
      <c r="D6" s="125">
        <f>'Expected Outcomes'!J12</f>
        <v>0.1305734383842671</v>
      </c>
    </row>
    <row r="7" spans="2:4" x14ac:dyDescent="0.15">
      <c r="B7" s="57" t="s">
        <v>107</v>
      </c>
      <c r="C7" s="60" t="s">
        <v>116</v>
      </c>
      <c r="D7" s="124">
        <f>'Cost Calculations'!M16*'Cost Calculations'!M16</f>
        <v>3702851.429791573</v>
      </c>
    </row>
    <row r="8" spans="2:4" x14ac:dyDescent="0.15">
      <c r="B8" s="57" t="s">
        <v>108</v>
      </c>
      <c r="C8" s="60" t="s">
        <v>117</v>
      </c>
      <c r="D8" s="124">
        <f>'Cost Calculations'!M17*'Cost Calculations'!M17</f>
        <v>1883189.1067492156</v>
      </c>
    </row>
    <row r="9" spans="2:4" x14ac:dyDescent="0.15">
      <c r="B9" s="57" t="s">
        <v>109</v>
      </c>
      <c r="C9" s="60" t="s">
        <v>118</v>
      </c>
      <c r="D9" s="125">
        <f>'Expected Outcomes'!I13*'Expected Outcomes'!I13</f>
        <v>3.0772009214563353E-5</v>
      </c>
    </row>
    <row r="10" spans="2:4" x14ac:dyDescent="0.15">
      <c r="B10" s="57" t="s">
        <v>110</v>
      </c>
      <c r="C10" s="60" t="s">
        <v>119</v>
      </c>
      <c r="D10" s="125">
        <f>'Expected Outcomes'!J13*'Expected Outcomes'!J13</f>
        <v>5.4281824254490119E-4</v>
      </c>
    </row>
    <row r="11" spans="2:4" x14ac:dyDescent="0.15">
      <c r="B11" s="57" t="s">
        <v>101</v>
      </c>
      <c r="C11" s="60" t="s">
        <v>63</v>
      </c>
      <c r="D11" s="128">
        <v>100000</v>
      </c>
    </row>
    <row r="12" spans="2:4" x14ac:dyDescent="0.15">
      <c r="B12" s="57" t="s">
        <v>112</v>
      </c>
      <c r="C12" s="60" t="s">
        <v>64</v>
      </c>
      <c r="D12" s="124">
        <f>D4-D3</f>
        <v>1155.4958249402364</v>
      </c>
    </row>
    <row r="13" spans="2:4" x14ac:dyDescent="0.15">
      <c r="B13" s="57" t="s">
        <v>111</v>
      </c>
      <c r="C13" s="60" t="s">
        <v>120</v>
      </c>
      <c r="D13" s="125">
        <f>D6-D5</f>
        <v>4.2614733237664029E-2</v>
      </c>
    </row>
    <row r="14" spans="2:4" x14ac:dyDescent="0.15">
      <c r="B14" s="57" t="s">
        <v>65</v>
      </c>
      <c r="C14" s="60" t="s">
        <v>66</v>
      </c>
      <c r="D14" s="125">
        <f>D10+D9</f>
        <v>5.7359025175946453E-4</v>
      </c>
    </row>
    <row r="15" spans="2:4" x14ac:dyDescent="0.15">
      <c r="B15" s="57" t="s">
        <v>102</v>
      </c>
      <c r="C15" s="60" t="s">
        <v>77</v>
      </c>
      <c r="D15" s="124">
        <f>SUM(D7:D8)</f>
        <v>5586040.5365407886</v>
      </c>
    </row>
    <row r="16" spans="2:4" x14ac:dyDescent="0.15">
      <c r="B16" s="57" t="s">
        <v>104</v>
      </c>
      <c r="C16" s="60" t="s">
        <v>78</v>
      </c>
      <c r="D16" s="126">
        <v>-3</v>
      </c>
    </row>
    <row r="17" spans="2:4" x14ac:dyDescent="0.15">
      <c r="B17" s="57" t="s">
        <v>113</v>
      </c>
      <c r="C17" s="60" t="s">
        <v>67</v>
      </c>
      <c r="D17" s="124">
        <f>D11*D13-D12</f>
        <v>3105.977498826167</v>
      </c>
    </row>
    <row r="18" spans="2:4" x14ac:dyDescent="0.15">
      <c r="B18" s="57" t="s">
        <v>103</v>
      </c>
      <c r="C18" s="60" t="s">
        <v>68</v>
      </c>
      <c r="D18" s="124">
        <f>D11*D11*D14+D15-2*D11*D16</f>
        <v>11921943.054135434</v>
      </c>
    </row>
    <row r="19" spans="2:4" x14ac:dyDescent="0.15">
      <c r="B19" s="57" t="s">
        <v>69</v>
      </c>
      <c r="C19" s="60" t="s">
        <v>70</v>
      </c>
      <c r="D19" s="124">
        <f>D17/SQRT(D18)</f>
        <v>0.89954891411156113</v>
      </c>
    </row>
    <row r="20" spans="2:4" x14ac:dyDescent="0.15">
      <c r="B20" s="57" t="s">
        <v>71</v>
      </c>
      <c r="C20" s="60" t="s">
        <v>72</v>
      </c>
      <c r="D20" s="124">
        <f>_xlfn.NORM.DIST(D19,0,1,0)</f>
        <v>0.26619326931839821</v>
      </c>
    </row>
    <row r="21" spans="2:4" x14ac:dyDescent="0.15">
      <c r="B21" s="57" t="s">
        <v>73</v>
      </c>
      <c r="C21" s="60" t="s">
        <v>74</v>
      </c>
      <c r="D21" s="124">
        <f>(_xlfn.NORM.DIST(-D19,0,1,1)-(D17&lt;0))</f>
        <v>0.18418017701151609</v>
      </c>
    </row>
    <row r="22" spans="2:4" x14ac:dyDescent="0.15">
      <c r="B22" s="127" t="s">
        <v>122</v>
      </c>
      <c r="C22" s="39"/>
      <c r="D22" s="129">
        <f>D20-D19*(D21)</f>
        <v>0.10051419108681378</v>
      </c>
    </row>
    <row r="23" spans="2:4" x14ac:dyDescent="0.15">
      <c r="B23" s="130" t="s">
        <v>123</v>
      </c>
      <c r="C23" s="131"/>
      <c r="D23" s="132">
        <f>D22*SQRT(D18)*'N Calculations'!F19</f>
        <v>420835599.13945729</v>
      </c>
    </row>
  </sheetData>
  <mergeCells count="1">
    <mergeCell ref="B2:D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References</vt:lpstr>
      <vt:lpstr>Surveillance Data</vt:lpstr>
      <vt:lpstr>Cost Calculations</vt:lpstr>
      <vt:lpstr>Expected Outcomes</vt:lpstr>
      <vt:lpstr>N Calculations</vt:lpstr>
      <vt:lpstr>EVPI Calculations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2022-11-13T02:15:15Z</dcterms:created>
  <dcterms:modified xsi:type="dcterms:W3CDTF">2023-03-29T01:42:04Z</dcterms:modified>
</cp:coreProperties>
</file>