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0425efff40d62efa/ドキュメント/DX/"/>
    </mc:Choice>
  </mc:AlternateContent>
  <xr:revisionPtr revIDLastSave="90" documentId="11_AD4D066CA252ABDACC1048D01156D16C72EEDF52" xr6:coauthVersionLast="47" xr6:coauthVersionMax="47" xr10:uidLastSave="{732F8DD5-2091-481F-8208-9BEA66FF8B7D}"/>
  <bookViews>
    <workbookView xWindow="1764" yWindow="768" windowWidth="15168" windowHeight="10428" tabRatio="670" firstSheet="18" activeTab="20" xr2:uid="{00000000-000D-0000-FFFF-FFFF00000000}"/>
  </bookViews>
  <sheets>
    <sheet name="二項分布" sheetId="4" r:id="rId1"/>
    <sheet name="ポアソン分布" sheetId="1" r:id="rId2"/>
    <sheet name="幾何分布" sheetId="2" r:id="rId3"/>
    <sheet name="母平均の点推定" sheetId="5" r:id="rId4"/>
    <sheet name="信頼区間z" sheetId="6" r:id="rId5"/>
    <sheet name="信頼区間t" sheetId="7" r:id="rId6"/>
    <sheet name="EX24平均値検定" sheetId="11" r:id="rId7"/>
    <sheet name="母比率の区間推定" sheetId="8" r:id="rId8"/>
    <sheet name="標準正規分布表" sheetId="9" r:id="rId9"/>
    <sheet name="t分布表" sheetId="18" r:id="rId10"/>
    <sheet name="χ2乗分布" sheetId="10" r:id="rId11"/>
    <sheet name="χ2乗分布 (2)" sheetId="12" r:id="rId12"/>
    <sheet name="F分布" sheetId="13" r:id="rId13"/>
    <sheet name="F分布表" sheetId="16" r:id="rId14"/>
    <sheet name="Welchのt検定" sheetId="14" r:id="rId15"/>
    <sheet name="一元配置分散分析" sheetId="15" r:id="rId16"/>
    <sheet name="片側t検定" sheetId="17" r:id="rId17"/>
    <sheet name="ハンバーガー" sheetId="19" r:id="rId18"/>
    <sheet name="toi43U" sheetId="20" r:id="rId19"/>
    <sheet name="note" sheetId="21" r:id="rId20"/>
    <sheet name="IceCream" sheetId="22" r:id="rId21"/>
  </sheets>
  <definedNames>
    <definedName name="_xlchart.v1.0" hidden="1">ハンバーガー!$B$2:$B$50</definedName>
    <definedName name="_xlchart.v1.1" hidden="1">ハンバーガー!$C$2:$C$50</definedName>
    <definedName name="_xlchart.v1.2" hidden="1">ハンバーガー!$I$2:$I$50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21" l="1"/>
  <c r="O42" i="20"/>
  <c r="O43" i="20"/>
  <c r="O45" i="20"/>
  <c r="O46" i="20"/>
  <c r="O41" i="20"/>
  <c r="O38" i="20"/>
  <c r="O39" i="20"/>
  <c r="O40" i="20"/>
  <c r="O37" i="20"/>
  <c r="O47" i="20" s="1"/>
  <c r="L42" i="20"/>
  <c r="L40" i="20"/>
  <c r="O44" i="20" s="1"/>
  <c r="I41" i="20"/>
  <c r="J39" i="20" s="1"/>
  <c r="K39" i="20" s="1"/>
  <c r="D40" i="20"/>
  <c r="C40" i="20"/>
  <c r="D41" i="20"/>
  <c r="C41" i="20"/>
  <c r="E37" i="20"/>
  <c r="D38" i="20"/>
  <c r="C38" i="20"/>
  <c r="D30" i="20"/>
  <c r="E30" i="20"/>
  <c r="F30" i="20"/>
  <c r="G30" i="20"/>
  <c r="C30" i="20"/>
  <c r="C23" i="20"/>
  <c r="P38" i="20" l="1"/>
  <c r="Q38" i="20" s="1"/>
  <c r="P46" i="20"/>
  <c r="Q46" i="20" s="1"/>
  <c r="P44" i="20"/>
  <c r="Q44" i="20" s="1"/>
  <c r="P43" i="20"/>
  <c r="Q43" i="20" s="1"/>
  <c r="P39" i="20"/>
  <c r="Q39" i="20" s="1"/>
  <c r="P45" i="20"/>
  <c r="Q45" i="20" s="1"/>
  <c r="P41" i="20"/>
  <c r="Q41" i="20" s="1"/>
  <c r="P37" i="20"/>
  <c r="Q37" i="20" s="1"/>
  <c r="P40" i="20"/>
  <c r="Q40" i="20" s="1"/>
  <c r="P42" i="20"/>
  <c r="Q42" i="20" s="1"/>
  <c r="C42" i="20"/>
  <c r="D42" i="20"/>
  <c r="L43" i="20"/>
  <c r="M37" i="20" s="1"/>
  <c r="N37" i="20" s="1"/>
  <c r="J37" i="20"/>
  <c r="K37" i="20" s="1"/>
  <c r="K41" i="20" s="1"/>
  <c r="K42" i="20" s="1"/>
  <c r="J38" i="20"/>
  <c r="K38" i="20" s="1"/>
  <c r="J40" i="20"/>
  <c r="K40" i="20" s="1"/>
  <c r="E38" i="20"/>
  <c r="E39" i="20" s="1"/>
  <c r="E40" i="20" s="1"/>
  <c r="H30" i="20"/>
  <c r="I30" i="20" s="1"/>
  <c r="C31" i="20" s="1"/>
  <c r="C32" i="20" s="1"/>
  <c r="C33" i="20" s="1"/>
  <c r="Q47" i="20" l="1"/>
  <c r="Q48" i="20" s="1"/>
  <c r="E42" i="20"/>
  <c r="E41" i="20" s="1"/>
  <c r="E43" i="20" s="1"/>
  <c r="M39" i="20"/>
  <c r="N39" i="20" s="1"/>
  <c r="M40" i="20"/>
  <c r="N40" i="20" s="1"/>
  <c r="M41" i="20"/>
  <c r="N41" i="20" s="1"/>
  <c r="M42" i="20"/>
  <c r="N42" i="20" s="1"/>
  <c r="M38" i="20"/>
  <c r="N38" i="20" s="1"/>
  <c r="F31" i="20"/>
  <c r="F32" i="20" s="1"/>
  <c r="F33" i="20" s="1"/>
  <c r="G31" i="20"/>
  <c r="G32" i="20" s="1"/>
  <c r="G33" i="20" s="1"/>
  <c r="D31" i="20"/>
  <c r="D32" i="20" s="1"/>
  <c r="D33" i="20" s="1"/>
  <c r="E31" i="20"/>
  <c r="E32" i="20" s="1"/>
  <c r="E33" i="20" s="1"/>
  <c r="N43" i="20" l="1"/>
  <c r="N44" i="20" s="1"/>
  <c r="H33" i="20"/>
  <c r="I33" i="20" s="1"/>
  <c r="G5" i="20" l="1"/>
  <c r="D9" i="20"/>
  <c r="E9" i="20"/>
  <c r="F9" i="20"/>
  <c r="C9" i="20"/>
  <c r="C117" i="19"/>
  <c r="D117" i="19" s="1"/>
  <c r="C118" i="19"/>
  <c r="D118" i="19" s="1"/>
  <c r="C116" i="19"/>
  <c r="D116" i="19" s="1"/>
  <c r="B124" i="19"/>
  <c r="A124" i="19"/>
  <c r="B108" i="19"/>
  <c r="C106" i="19" s="1"/>
  <c r="D106" i="19" s="1"/>
  <c r="A108" i="19"/>
  <c r="F84" i="19"/>
  <c r="G84" i="19" s="1"/>
  <c r="H91" i="19"/>
  <c r="I86" i="19" s="1"/>
  <c r="J86" i="19" s="1"/>
  <c r="E91" i="19"/>
  <c r="F90" i="19" s="1"/>
  <c r="G90" i="19" s="1"/>
  <c r="B91" i="19"/>
  <c r="C81" i="19" s="1"/>
  <c r="D81" i="19" s="1"/>
  <c r="A91" i="19"/>
  <c r="J67" i="19"/>
  <c r="K67" i="19" s="1"/>
  <c r="H72" i="19"/>
  <c r="J70" i="19" s="1"/>
  <c r="K70" i="19" s="1"/>
  <c r="G72" i="19"/>
  <c r="B72" i="19"/>
  <c r="D61" i="19" s="1"/>
  <c r="E61" i="19" s="1"/>
  <c r="A72" i="19"/>
  <c r="G51" i="19"/>
  <c r="A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2" i="19"/>
  <c r="H51" i="19"/>
  <c r="J50" i="19" s="1"/>
  <c r="K50" i="19" s="1"/>
  <c r="B51" i="19"/>
  <c r="D7" i="19" s="1"/>
  <c r="E7" i="19" s="1"/>
  <c r="J44" i="17"/>
  <c r="J40" i="17"/>
  <c r="D30" i="17"/>
  <c r="D31" i="17"/>
  <c r="D69" i="17" s="1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29" i="17"/>
  <c r="D70" i="17" s="1"/>
  <c r="C71" i="17"/>
  <c r="B71" i="17"/>
  <c r="C70" i="17"/>
  <c r="B70" i="17"/>
  <c r="C69" i="17"/>
  <c r="B69" i="17"/>
  <c r="J17" i="17"/>
  <c r="J13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" i="17"/>
  <c r="C24" i="17"/>
  <c r="B24" i="17"/>
  <c r="C23" i="17"/>
  <c r="B23" i="17"/>
  <c r="C22" i="17"/>
  <c r="B22" i="17"/>
  <c r="U28" i="15"/>
  <c r="V28" i="15"/>
  <c r="W28" i="15"/>
  <c r="V29" i="15"/>
  <c r="W29" i="15"/>
  <c r="U27" i="15"/>
  <c r="V27" i="15"/>
  <c r="W27" i="15"/>
  <c r="B29" i="15"/>
  <c r="B28" i="15"/>
  <c r="B27" i="15"/>
  <c r="D24" i="15"/>
  <c r="C22" i="15"/>
  <c r="C4" i="15"/>
  <c r="U9" i="15"/>
  <c r="V9" i="15"/>
  <c r="W9" i="15"/>
  <c r="U10" i="15"/>
  <c r="V10" i="15"/>
  <c r="W10" i="15"/>
  <c r="W11" i="15"/>
  <c r="U12" i="15"/>
  <c r="V12" i="15"/>
  <c r="W12" i="15"/>
  <c r="S13" i="15"/>
  <c r="T13" i="15"/>
  <c r="U13" i="15"/>
  <c r="V13" i="15"/>
  <c r="W13" i="15"/>
  <c r="R14" i="15"/>
  <c r="S14" i="15"/>
  <c r="T14" i="15"/>
  <c r="U14" i="15"/>
  <c r="V14" i="15"/>
  <c r="W14" i="15"/>
  <c r="V15" i="15"/>
  <c r="W15" i="15"/>
  <c r="B10" i="15"/>
  <c r="C10" i="15" s="1"/>
  <c r="B11" i="15"/>
  <c r="B12" i="15"/>
  <c r="B13" i="15"/>
  <c r="B14" i="15"/>
  <c r="B15" i="15"/>
  <c r="B9" i="15"/>
  <c r="D6" i="15"/>
  <c r="O9" i="15" s="1"/>
  <c r="B8" i="13"/>
  <c r="B22" i="13"/>
  <c r="B21" i="13"/>
  <c r="B20" i="13"/>
  <c r="B10" i="13"/>
  <c r="B9" i="13"/>
  <c r="B9" i="14"/>
  <c r="C9" i="12"/>
  <c r="C15" i="12" s="1"/>
  <c r="D16" i="12" s="1"/>
  <c r="B9" i="12"/>
  <c r="B15" i="12" s="1"/>
  <c r="C8" i="12"/>
  <c r="C14" i="12" s="1"/>
  <c r="B8" i="12"/>
  <c r="B14" i="12" s="1"/>
  <c r="D40" i="11"/>
  <c r="D41" i="11" s="1"/>
  <c r="D44" i="11" s="1"/>
  <c r="D31" i="11"/>
  <c r="D34" i="11" s="1"/>
  <c r="D23" i="11"/>
  <c r="D26" i="11" s="1"/>
  <c r="C8" i="11"/>
  <c r="D8" i="11" s="1"/>
  <c r="B12" i="11"/>
  <c r="C3" i="11" s="1"/>
  <c r="D3" i="11" s="1"/>
  <c r="C51" i="10"/>
  <c r="D47" i="10" s="1"/>
  <c r="C38" i="10"/>
  <c r="D31" i="10" s="1"/>
  <c r="E31" i="10" s="1"/>
  <c r="C12" i="10"/>
  <c r="B50" i="8"/>
  <c r="B49" i="8"/>
  <c r="B48" i="8"/>
  <c r="B40" i="8"/>
  <c r="B39" i="8"/>
  <c r="B38" i="8"/>
  <c r="B30" i="8"/>
  <c r="B29" i="8"/>
  <c r="B28" i="8"/>
  <c r="B20" i="8"/>
  <c r="B19" i="8"/>
  <c r="B18" i="8"/>
  <c r="B9" i="8"/>
  <c r="B8" i="8"/>
  <c r="B7" i="8"/>
  <c r="B32" i="7"/>
  <c r="C28" i="7" s="1"/>
  <c r="D28" i="7" s="1"/>
  <c r="B13" i="7"/>
  <c r="C8" i="7" s="1"/>
  <c r="D8" i="7" s="1"/>
  <c r="C48" i="6"/>
  <c r="C49" i="6" s="1"/>
  <c r="C51" i="6" s="1"/>
  <c r="C38" i="6"/>
  <c r="C39" i="6" s="1"/>
  <c r="C41" i="6" s="1"/>
  <c r="C28" i="6"/>
  <c r="C29" i="6" s="1"/>
  <c r="C31" i="6" s="1"/>
  <c r="C34" i="6" s="1"/>
  <c r="C15" i="6"/>
  <c r="C17" i="6" s="1"/>
  <c r="C13" i="6"/>
  <c r="C20" i="6" s="1"/>
  <c r="H3" i="5"/>
  <c r="I3" i="5" s="1"/>
  <c r="H8" i="5"/>
  <c r="I8" i="5" s="1"/>
  <c r="H9" i="5"/>
  <c r="I9" i="5" s="1"/>
  <c r="H10" i="5"/>
  <c r="I10" i="5" s="1"/>
  <c r="H11" i="5"/>
  <c r="I11" i="5" s="1"/>
  <c r="G12" i="5"/>
  <c r="G13" i="5" s="1"/>
  <c r="H2" i="5" s="1"/>
  <c r="I2" i="5" s="1"/>
  <c r="B12" i="5"/>
  <c r="B13" i="5" s="1"/>
  <c r="C3" i="1"/>
  <c r="D12" i="1" s="1"/>
  <c r="C4" i="4"/>
  <c r="D135" i="4" s="1"/>
  <c r="E10" i="1"/>
  <c r="E11" i="1"/>
  <c r="E12" i="1"/>
  <c r="E13" i="1"/>
  <c r="E14" i="1"/>
  <c r="E15" i="1"/>
  <c r="E16" i="1"/>
  <c r="C17" i="1"/>
  <c r="D17" i="1"/>
  <c r="E17" i="1"/>
  <c r="E9" i="1"/>
  <c r="D8" i="1"/>
  <c r="E8" i="1"/>
  <c r="E7" i="1"/>
  <c r="C139" i="4"/>
  <c r="C138" i="4"/>
  <c r="C137" i="4"/>
  <c r="C136" i="4"/>
  <c r="C135" i="4"/>
  <c r="C134" i="4"/>
  <c r="C133" i="4"/>
  <c r="D132" i="4"/>
  <c r="C132" i="4"/>
  <c r="C131" i="4"/>
  <c r="C130" i="4"/>
  <c r="C129" i="4"/>
  <c r="D128" i="4"/>
  <c r="C128" i="4"/>
  <c r="D127" i="4"/>
  <c r="C127" i="4"/>
  <c r="C126" i="4"/>
  <c r="D125" i="4"/>
  <c r="C125" i="4"/>
  <c r="C124" i="4"/>
  <c r="D123" i="4"/>
  <c r="C123" i="4"/>
  <c r="C122" i="4"/>
  <c r="D121" i="4"/>
  <c r="C121" i="4"/>
  <c r="C120" i="4"/>
  <c r="C119" i="4"/>
  <c r="C118" i="4"/>
  <c r="D117" i="4"/>
  <c r="C117" i="4"/>
  <c r="C116" i="4"/>
  <c r="C115" i="4"/>
  <c r="C114" i="4"/>
  <c r="D113" i="4"/>
  <c r="C113" i="4"/>
  <c r="C112" i="4"/>
  <c r="C111" i="4"/>
  <c r="C110" i="4"/>
  <c r="D109" i="4"/>
  <c r="C109" i="4"/>
  <c r="C108" i="4"/>
  <c r="C107" i="4"/>
  <c r="C106" i="4"/>
  <c r="D105" i="4"/>
  <c r="C105" i="4"/>
  <c r="C104" i="4"/>
  <c r="C103" i="4"/>
  <c r="C102" i="4"/>
  <c r="D101" i="4"/>
  <c r="C101" i="4"/>
  <c r="C100" i="4"/>
  <c r="C99" i="4"/>
  <c r="C98" i="4"/>
  <c r="D97" i="4"/>
  <c r="C97" i="4"/>
  <c r="C96" i="4"/>
  <c r="C95" i="4"/>
  <c r="C94" i="4"/>
  <c r="D93" i="4"/>
  <c r="C93" i="4"/>
  <c r="C92" i="4"/>
  <c r="C91" i="4"/>
  <c r="C90" i="4"/>
  <c r="D89" i="4"/>
  <c r="C89" i="4"/>
  <c r="C88" i="4"/>
  <c r="C87" i="4"/>
  <c r="C86" i="4"/>
  <c r="D85" i="4"/>
  <c r="C85" i="4"/>
  <c r="C84" i="4"/>
  <c r="C83" i="4"/>
  <c r="C82" i="4"/>
  <c r="D81" i="4"/>
  <c r="C81" i="4"/>
  <c r="C80" i="4"/>
  <c r="C79" i="4"/>
  <c r="C78" i="4"/>
  <c r="D77" i="4"/>
  <c r="C77" i="4"/>
  <c r="C76" i="4"/>
  <c r="C75" i="4"/>
  <c r="C74" i="4"/>
  <c r="D73" i="4"/>
  <c r="C73" i="4"/>
  <c r="C72" i="4"/>
  <c r="C71" i="4"/>
  <c r="C70" i="4"/>
  <c r="D69" i="4"/>
  <c r="C69" i="4"/>
  <c r="C68" i="4"/>
  <c r="C67" i="4"/>
  <c r="C66" i="4"/>
  <c r="D65" i="4"/>
  <c r="C65" i="4"/>
  <c r="C64" i="4"/>
  <c r="C63" i="4"/>
  <c r="C62" i="4"/>
  <c r="D61" i="4"/>
  <c r="C61" i="4"/>
  <c r="C60" i="4"/>
  <c r="C59" i="4"/>
  <c r="C58" i="4"/>
  <c r="D57" i="4"/>
  <c r="C57" i="4"/>
  <c r="C56" i="4"/>
  <c r="C55" i="4"/>
  <c r="C54" i="4"/>
  <c r="D53" i="4"/>
  <c r="C53" i="4"/>
  <c r="C52" i="4"/>
  <c r="C51" i="4"/>
  <c r="C50" i="4"/>
  <c r="D49" i="4"/>
  <c r="C49" i="4"/>
  <c r="C48" i="4"/>
  <c r="C47" i="4"/>
  <c r="C46" i="4"/>
  <c r="D45" i="4"/>
  <c r="C45" i="4"/>
  <c r="C44" i="4"/>
  <c r="C43" i="4"/>
  <c r="C42" i="4"/>
  <c r="D41" i="4"/>
  <c r="C41" i="4"/>
  <c r="C40" i="4"/>
  <c r="C39" i="4"/>
  <c r="C38" i="4"/>
  <c r="D37" i="4"/>
  <c r="C37" i="4"/>
  <c r="C36" i="4"/>
  <c r="C35" i="4"/>
  <c r="C34" i="4"/>
  <c r="D33" i="4"/>
  <c r="C33" i="4"/>
  <c r="C32" i="4"/>
  <c r="C31" i="4"/>
  <c r="C30" i="4"/>
  <c r="D29" i="4"/>
  <c r="C29" i="4"/>
  <c r="D28" i="4"/>
  <c r="C28" i="4"/>
  <c r="D27" i="4"/>
  <c r="C27" i="4"/>
  <c r="D26" i="4"/>
  <c r="C26" i="4"/>
  <c r="C25" i="4"/>
  <c r="C24" i="4"/>
  <c r="C23" i="4"/>
  <c r="D22" i="4"/>
  <c r="C22" i="4"/>
  <c r="C21" i="4"/>
  <c r="D20" i="4"/>
  <c r="C20" i="4"/>
  <c r="D19" i="4"/>
  <c r="C19" i="4"/>
  <c r="C18" i="4"/>
  <c r="D17" i="4"/>
  <c r="C17" i="4"/>
  <c r="D16" i="4"/>
  <c r="C16" i="4"/>
  <c r="D15" i="4"/>
  <c r="C15" i="4"/>
  <c r="C14" i="4"/>
  <c r="D13" i="4"/>
  <c r="C13" i="4"/>
  <c r="D12" i="4"/>
  <c r="C12" i="4"/>
  <c r="D11" i="4"/>
  <c r="C11" i="4"/>
  <c r="C10" i="4"/>
  <c r="D9" i="4"/>
  <c r="C9" i="4"/>
  <c r="D8" i="4"/>
  <c r="C8" i="4"/>
  <c r="D7" i="4"/>
  <c r="C7" i="4"/>
  <c r="F23" i="2"/>
  <c r="F3" i="2"/>
  <c r="F20" i="2" s="1"/>
  <c r="C20" i="2"/>
  <c r="C21" i="2"/>
  <c r="C22" i="2"/>
  <c r="C23" i="2"/>
  <c r="C24" i="2"/>
  <c r="C25" i="2"/>
  <c r="C17" i="2"/>
  <c r="C18" i="2"/>
  <c r="C19" i="2"/>
  <c r="D6" i="2"/>
  <c r="D7" i="2" s="1"/>
  <c r="C8" i="2"/>
  <c r="C9" i="2"/>
  <c r="C10" i="2"/>
  <c r="C11" i="2"/>
  <c r="C12" i="2"/>
  <c r="C13" i="2"/>
  <c r="C14" i="2"/>
  <c r="C15" i="2"/>
  <c r="C16" i="2"/>
  <c r="C7" i="2"/>
  <c r="C6" i="2"/>
  <c r="E34" i="17" l="1"/>
  <c r="F34" i="17" s="1"/>
  <c r="E42" i="17"/>
  <c r="F42" i="17" s="1"/>
  <c r="E50" i="17"/>
  <c r="F50" i="17" s="1"/>
  <c r="E58" i="17"/>
  <c r="F58" i="17" s="1"/>
  <c r="E66" i="17"/>
  <c r="F66" i="17" s="1"/>
  <c r="E35" i="17"/>
  <c r="F35" i="17" s="1"/>
  <c r="E43" i="17"/>
  <c r="F43" i="17" s="1"/>
  <c r="E51" i="17"/>
  <c r="F51" i="17" s="1"/>
  <c r="J37" i="17" s="1"/>
  <c r="E59" i="17"/>
  <c r="F59" i="17" s="1"/>
  <c r="E67" i="17"/>
  <c r="F67" i="17" s="1"/>
  <c r="E36" i="17"/>
  <c r="F36" i="17" s="1"/>
  <c r="E44" i="17"/>
  <c r="F44" i="17" s="1"/>
  <c r="E52" i="17"/>
  <c r="F52" i="17" s="1"/>
  <c r="E60" i="17"/>
  <c r="F60" i="17" s="1"/>
  <c r="E68" i="17"/>
  <c r="F68" i="17" s="1"/>
  <c r="E37" i="17"/>
  <c r="F37" i="17" s="1"/>
  <c r="E45" i="17"/>
  <c r="F45" i="17" s="1"/>
  <c r="E53" i="17"/>
  <c r="F53" i="17" s="1"/>
  <c r="E61" i="17"/>
  <c r="F61" i="17" s="1"/>
  <c r="E30" i="17"/>
  <c r="F30" i="17" s="1"/>
  <c r="E38" i="17"/>
  <c r="F38" i="17" s="1"/>
  <c r="E46" i="17"/>
  <c r="F46" i="17" s="1"/>
  <c r="E54" i="17"/>
  <c r="F54" i="17" s="1"/>
  <c r="E62" i="17"/>
  <c r="F62" i="17" s="1"/>
  <c r="E31" i="17"/>
  <c r="F31" i="17" s="1"/>
  <c r="E39" i="17"/>
  <c r="F39" i="17" s="1"/>
  <c r="E47" i="17"/>
  <c r="F47" i="17" s="1"/>
  <c r="E55" i="17"/>
  <c r="F55" i="17" s="1"/>
  <c r="E63" i="17"/>
  <c r="F63" i="17" s="1"/>
  <c r="E29" i="17"/>
  <c r="F29" i="17" s="1"/>
  <c r="E32" i="17"/>
  <c r="F32" i="17" s="1"/>
  <c r="E40" i="17"/>
  <c r="F40" i="17" s="1"/>
  <c r="E48" i="17"/>
  <c r="F48" i="17" s="1"/>
  <c r="E56" i="17"/>
  <c r="F56" i="17" s="1"/>
  <c r="E64" i="17"/>
  <c r="F64" i="17" s="1"/>
  <c r="J38" i="17"/>
  <c r="J41" i="17" s="1"/>
  <c r="J48" i="17" s="1"/>
  <c r="E33" i="17"/>
  <c r="F33" i="17" s="1"/>
  <c r="E41" i="17"/>
  <c r="F41" i="17" s="1"/>
  <c r="E49" i="17"/>
  <c r="F49" i="17" s="1"/>
  <c r="E57" i="17"/>
  <c r="F57" i="17" s="1"/>
  <c r="E65" i="17"/>
  <c r="F65" i="17" s="1"/>
  <c r="C9" i="5"/>
  <c r="D9" i="5" s="1"/>
  <c r="C7" i="5"/>
  <c r="D7" i="5" s="1"/>
  <c r="C8" i="5"/>
  <c r="D8" i="5" s="1"/>
  <c r="H4" i="5"/>
  <c r="I4" i="5" s="1"/>
  <c r="D30" i="10"/>
  <c r="E30" i="10" s="1"/>
  <c r="C98" i="19"/>
  <c r="D98" i="19" s="1"/>
  <c r="E132" i="4"/>
  <c r="D46" i="10"/>
  <c r="C105" i="19"/>
  <c r="D105" i="19" s="1"/>
  <c r="D50" i="10"/>
  <c r="C2" i="15"/>
  <c r="C3" i="15" s="1"/>
  <c r="C103" i="19"/>
  <c r="D103" i="19" s="1"/>
  <c r="C123" i="19"/>
  <c r="D123" i="19" s="1"/>
  <c r="D29" i="10"/>
  <c r="D49" i="10"/>
  <c r="C122" i="19"/>
  <c r="D122" i="19" s="1"/>
  <c r="H7" i="5"/>
  <c r="I7" i="5" s="1"/>
  <c r="I12" i="5" s="1"/>
  <c r="I14" i="5" s="1"/>
  <c r="I15" i="5" s="1"/>
  <c r="I16" i="5" s="1"/>
  <c r="D36" i="10"/>
  <c r="E36" i="10" s="1"/>
  <c r="D48" i="10"/>
  <c r="C14" i="15"/>
  <c r="C121" i="19"/>
  <c r="D121" i="19" s="1"/>
  <c r="F6" i="2"/>
  <c r="C12" i="1"/>
  <c r="H6" i="5"/>
  <c r="I6" i="5" s="1"/>
  <c r="D35" i="10"/>
  <c r="E35" i="10" s="1"/>
  <c r="D67" i="19"/>
  <c r="E67" i="19" s="1"/>
  <c r="F89" i="19"/>
  <c r="G89" i="19" s="1"/>
  <c r="C120" i="19"/>
  <c r="D120" i="19" s="1"/>
  <c r="F11" i="2"/>
  <c r="H5" i="5"/>
  <c r="I5" i="5" s="1"/>
  <c r="D34" i="10"/>
  <c r="E34" i="10" s="1"/>
  <c r="C12" i="15"/>
  <c r="D64" i="19"/>
  <c r="E64" i="19" s="1"/>
  <c r="C119" i="19"/>
  <c r="D119" i="19" s="1"/>
  <c r="D124" i="19" s="1"/>
  <c r="G9" i="20"/>
  <c r="H8" i="20" s="1"/>
  <c r="C101" i="19"/>
  <c r="D101" i="19" s="1"/>
  <c r="D63" i="19"/>
  <c r="E63" i="19" s="1"/>
  <c r="C100" i="19"/>
  <c r="D100" i="19" s="1"/>
  <c r="C104" i="19"/>
  <c r="D104" i="19" s="1"/>
  <c r="C99" i="19"/>
  <c r="D99" i="19" s="1"/>
  <c r="C107" i="19"/>
  <c r="D107" i="19" s="1"/>
  <c r="C102" i="19"/>
  <c r="D102" i="19" s="1"/>
  <c r="D59" i="19"/>
  <c r="E59" i="19" s="1"/>
  <c r="D58" i="19"/>
  <c r="E58" i="19" s="1"/>
  <c r="D49" i="19"/>
  <c r="E49" i="19" s="1"/>
  <c r="J58" i="19"/>
  <c r="K58" i="19" s="1"/>
  <c r="C88" i="19"/>
  <c r="D88" i="19" s="1"/>
  <c r="D40" i="19"/>
  <c r="E40" i="19" s="1"/>
  <c r="D56" i="19"/>
  <c r="E56" i="19" s="1"/>
  <c r="J59" i="19"/>
  <c r="K59" i="19" s="1"/>
  <c r="C83" i="19"/>
  <c r="D83" i="19" s="1"/>
  <c r="D30" i="19"/>
  <c r="E30" i="19" s="1"/>
  <c r="D68" i="19"/>
  <c r="E68" i="19" s="1"/>
  <c r="J66" i="19"/>
  <c r="K66" i="19" s="1"/>
  <c r="F78" i="19"/>
  <c r="G78" i="19" s="1"/>
  <c r="D65" i="19"/>
  <c r="E65" i="19" s="1"/>
  <c r="J63" i="19"/>
  <c r="K63" i="19" s="1"/>
  <c r="J71" i="19"/>
  <c r="K71" i="19" s="1"/>
  <c r="C90" i="19"/>
  <c r="D90" i="19" s="1"/>
  <c r="C85" i="19"/>
  <c r="D85" i="19" s="1"/>
  <c r="F81" i="19"/>
  <c r="G81" i="19" s="1"/>
  <c r="F86" i="19"/>
  <c r="G86" i="19" s="1"/>
  <c r="I82" i="19"/>
  <c r="J82" i="19" s="1"/>
  <c r="D69" i="19"/>
  <c r="E69" i="19" s="1"/>
  <c r="D60" i="19"/>
  <c r="E60" i="19" s="1"/>
  <c r="J56" i="19"/>
  <c r="K56" i="19" s="1"/>
  <c r="J64" i="19"/>
  <c r="K64" i="19" s="1"/>
  <c r="C89" i="19"/>
  <c r="D89" i="19" s="1"/>
  <c r="C80" i="19"/>
  <c r="D80" i="19" s="1"/>
  <c r="F87" i="19"/>
  <c r="G87" i="19" s="1"/>
  <c r="I78" i="19"/>
  <c r="J78" i="19" s="1"/>
  <c r="I87" i="19"/>
  <c r="J87" i="19" s="1"/>
  <c r="J57" i="19"/>
  <c r="K57" i="19" s="1"/>
  <c r="J65" i="19"/>
  <c r="K65" i="19" s="1"/>
  <c r="C84" i="19"/>
  <c r="D84" i="19" s="1"/>
  <c r="C79" i="19"/>
  <c r="D79" i="19" s="1"/>
  <c r="F82" i="19"/>
  <c r="G82" i="19" s="1"/>
  <c r="F88" i="19"/>
  <c r="G88" i="19" s="1"/>
  <c r="I83" i="19"/>
  <c r="J83" i="19" s="1"/>
  <c r="F83" i="19"/>
  <c r="G83" i="19" s="1"/>
  <c r="I79" i="19"/>
  <c r="J79" i="19" s="1"/>
  <c r="I88" i="19"/>
  <c r="J88" i="19" s="1"/>
  <c r="D21" i="19"/>
  <c r="E21" i="19" s="1"/>
  <c r="D71" i="19"/>
  <c r="E71" i="19" s="1"/>
  <c r="D62" i="19"/>
  <c r="E62" i="19" s="1"/>
  <c r="D57" i="19"/>
  <c r="E57" i="19" s="1"/>
  <c r="J60" i="19"/>
  <c r="K60" i="19" s="1"/>
  <c r="J68" i="19"/>
  <c r="K68" i="19" s="1"/>
  <c r="C87" i="19"/>
  <c r="D87" i="19" s="1"/>
  <c r="F79" i="19"/>
  <c r="G79" i="19" s="1"/>
  <c r="I80" i="19"/>
  <c r="J80" i="19" s="1"/>
  <c r="I89" i="19"/>
  <c r="J89" i="19" s="1"/>
  <c r="I84" i="19"/>
  <c r="J84" i="19" s="1"/>
  <c r="D12" i="19"/>
  <c r="E12" i="19" s="1"/>
  <c r="D66" i="19"/>
  <c r="E66" i="19" s="1"/>
  <c r="J61" i="19"/>
  <c r="K61" i="19" s="1"/>
  <c r="J69" i="19"/>
  <c r="K69" i="19" s="1"/>
  <c r="C78" i="19"/>
  <c r="D78" i="19" s="1"/>
  <c r="C82" i="19"/>
  <c r="D82" i="19" s="1"/>
  <c r="F80" i="19"/>
  <c r="G80" i="19" s="1"/>
  <c r="F85" i="19"/>
  <c r="G85" i="19" s="1"/>
  <c r="I85" i="19"/>
  <c r="J85" i="19" s="1"/>
  <c r="I90" i="19"/>
  <c r="J90" i="19" s="1"/>
  <c r="D3" i="19"/>
  <c r="E3" i="19" s="1"/>
  <c r="D70" i="19"/>
  <c r="E70" i="19" s="1"/>
  <c r="J62" i="19"/>
  <c r="K62" i="19" s="1"/>
  <c r="C86" i="19"/>
  <c r="D86" i="19" s="1"/>
  <c r="I81" i="19"/>
  <c r="J81" i="19" s="1"/>
  <c r="D48" i="19"/>
  <c r="E48" i="19" s="1"/>
  <c r="D38" i="19"/>
  <c r="E38" i="19" s="1"/>
  <c r="D29" i="19"/>
  <c r="E29" i="19" s="1"/>
  <c r="D20" i="19"/>
  <c r="E20" i="19" s="1"/>
  <c r="D11" i="19"/>
  <c r="E11" i="19" s="1"/>
  <c r="J9" i="19"/>
  <c r="K9" i="19" s="1"/>
  <c r="D46" i="19"/>
  <c r="E46" i="19" s="1"/>
  <c r="D37" i="19"/>
  <c r="E37" i="19" s="1"/>
  <c r="D28" i="19"/>
  <c r="E28" i="19" s="1"/>
  <c r="D19" i="19"/>
  <c r="E19" i="19" s="1"/>
  <c r="D10" i="19"/>
  <c r="E10" i="19" s="1"/>
  <c r="J17" i="19"/>
  <c r="K17" i="19" s="1"/>
  <c r="D45" i="19"/>
  <c r="E45" i="19" s="1"/>
  <c r="D36" i="19"/>
  <c r="E36" i="19" s="1"/>
  <c r="D27" i="19"/>
  <c r="E27" i="19" s="1"/>
  <c r="D18" i="19"/>
  <c r="E18" i="19" s="1"/>
  <c r="D9" i="19"/>
  <c r="E9" i="19" s="1"/>
  <c r="J25" i="19"/>
  <c r="K25" i="19" s="1"/>
  <c r="D44" i="19"/>
  <c r="E44" i="19" s="1"/>
  <c r="D35" i="19"/>
  <c r="E35" i="19" s="1"/>
  <c r="D26" i="19"/>
  <c r="E26" i="19" s="1"/>
  <c r="D17" i="19"/>
  <c r="E17" i="19" s="1"/>
  <c r="D8" i="19"/>
  <c r="E8" i="19" s="1"/>
  <c r="J33" i="19"/>
  <c r="K33" i="19" s="1"/>
  <c r="D43" i="19"/>
  <c r="E43" i="19" s="1"/>
  <c r="D34" i="19"/>
  <c r="E34" i="19" s="1"/>
  <c r="D25" i="19"/>
  <c r="E25" i="19" s="1"/>
  <c r="D16" i="19"/>
  <c r="E16" i="19" s="1"/>
  <c r="D6" i="19"/>
  <c r="E6" i="19" s="1"/>
  <c r="J41" i="19"/>
  <c r="K41" i="19" s="1"/>
  <c r="D2" i="19"/>
  <c r="E2" i="19" s="1"/>
  <c r="D42" i="19"/>
  <c r="E42" i="19" s="1"/>
  <c r="D33" i="19"/>
  <c r="E33" i="19" s="1"/>
  <c r="D24" i="19"/>
  <c r="E24" i="19" s="1"/>
  <c r="D14" i="19"/>
  <c r="E14" i="19" s="1"/>
  <c r="D5" i="19"/>
  <c r="E5" i="19" s="1"/>
  <c r="D50" i="19"/>
  <c r="E50" i="19" s="1"/>
  <c r="D41" i="19"/>
  <c r="E41" i="19" s="1"/>
  <c r="D32" i="19"/>
  <c r="E32" i="19" s="1"/>
  <c r="D22" i="19"/>
  <c r="E22" i="19" s="1"/>
  <c r="D13" i="19"/>
  <c r="E13" i="19" s="1"/>
  <c r="D4" i="19"/>
  <c r="E4" i="19" s="1"/>
  <c r="J43" i="19"/>
  <c r="K43" i="19" s="1"/>
  <c r="J44" i="19"/>
  <c r="K44" i="19" s="1"/>
  <c r="J3" i="19"/>
  <c r="K3" i="19" s="1"/>
  <c r="J11" i="19"/>
  <c r="K11" i="19" s="1"/>
  <c r="J19" i="19"/>
  <c r="K19" i="19" s="1"/>
  <c r="J27" i="19"/>
  <c r="K27" i="19" s="1"/>
  <c r="J35" i="19"/>
  <c r="K35" i="19" s="1"/>
  <c r="J4" i="19"/>
  <c r="K4" i="19" s="1"/>
  <c r="J12" i="19"/>
  <c r="K12" i="19" s="1"/>
  <c r="J20" i="19"/>
  <c r="K20" i="19" s="1"/>
  <c r="J28" i="19"/>
  <c r="K28" i="19" s="1"/>
  <c r="J36" i="19"/>
  <c r="K36" i="19" s="1"/>
  <c r="D47" i="19"/>
  <c r="E47" i="19" s="1"/>
  <c r="D39" i="19"/>
  <c r="E39" i="19" s="1"/>
  <c r="D31" i="19"/>
  <c r="E31" i="19" s="1"/>
  <c r="D23" i="19"/>
  <c r="E23" i="19" s="1"/>
  <c r="D15" i="19"/>
  <c r="E15" i="19" s="1"/>
  <c r="J5" i="19"/>
  <c r="K5" i="19" s="1"/>
  <c r="J13" i="19"/>
  <c r="K13" i="19" s="1"/>
  <c r="J21" i="19"/>
  <c r="K21" i="19" s="1"/>
  <c r="J29" i="19"/>
  <c r="K29" i="19" s="1"/>
  <c r="J37" i="19"/>
  <c r="K37" i="19" s="1"/>
  <c r="J45" i="19"/>
  <c r="K45" i="19" s="1"/>
  <c r="J6" i="19"/>
  <c r="K6" i="19" s="1"/>
  <c r="J14" i="19"/>
  <c r="K14" i="19" s="1"/>
  <c r="J22" i="19"/>
  <c r="K22" i="19" s="1"/>
  <c r="J30" i="19"/>
  <c r="K30" i="19" s="1"/>
  <c r="J38" i="19"/>
  <c r="K38" i="19" s="1"/>
  <c r="J46" i="19"/>
  <c r="K46" i="19" s="1"/>
  <c r="J7" i="19"/>
  <c r="K7" i="19" s="1"/>
  <c r="J15" i="19"/>
  <c r="K15" i="19" s="1"/>
  <c r="J23" i="19"/>
  <c r="K23" i="19" s="1"/>
  <c r="J31" i="19"/>
  <c r="K31" i="19" s="1"/>
  <c r="J39" i="19"/>
  <c r="K39" i="19" s="1"/>
  <c r="J47" i="19"/>
  <c r="K47" i="19" s="1"/>
  <c r="J8" i="19"/>
  <c r="K8" i="19" s="1"/>
  <c r="J16" i="19"/>
  <c r="K16" i="19" s="1"/>
  <c r="J24" i="19"/>
  <c r="K24" i="19" s="1"/>
  <c r="J32" i="19"/>
  <c r="K32" i="19" s="1"/>
  <c r="J40" i="19"/>
  <c r="K40" i="19" s="1"/>
  <c r="J48" i="19"/>
  <c r="K48" i="19" s="1"/>
  <c r="J49" i="19"/>
  <c r="K49" i="19" s="1"/>
  <c r="J2" i="19"/>
  <c r="K2" i="19" s="1"/>
  <c r="J10" i="19"/>
  <c r="K10" i="19" s="1"/>
  <c r="J18" i="19"/>
  <c r="K18" i="19" s="1"/>
  <c r="J26" i="19"/>
  <c r="K26" i="19" s="1"/>
  <c r="J34" i="19"/>
  <c r="K34" i="19" s="1"/>
  <c r="J42" i="19"/>
  <c r="K42" i="19" s="1"/>
  <c r="D23" i="17"/>
  <c r="E19" i="17" s="1"/>
  <c r="F19" i="17" s="1"/>
  <c r="E13" i="17"/>
  <c r="F13" i="17" s="1"/>
  <c r="E21" i="17"/>
  <c r="F21" i="17" s="1"/>
  <c r="E9" i="17"/>
  <c r="F9" i="17" s="1"/>
  <c r="E10" i="17"/>
  <c r="F10" i="17" s="1"/>
  <c r="D24" i="17"/>
  <c r="D22" i="17"/>
  <c r="C11" i="15"/>
  <c r="C15" i="15"/>
  <c r="C13" i="15"/>
  <c r="P29" i="15"/>
  <c r="T27" i="15"/>
  <c r="O28" i="15"/>
  <c r="S27" i="15"/>
  <c r="T29" i="15"/>
  <c r="N28" i="15"/>
  <c r="R27" i="15"/>
  <c r="S29" i="15"/>
  <c r="O27" i="15"/>
  <c r="U29" i="15"/>
  <c r="C28" i="15"/>
  <c r="Q27" i="15"/>
  <c r="R29" i="15"/>
  <c r="T28" i="15"/>
  <c r="N27" i="15"/>
  <c r="P27" i="15"/>
  <c r="Q29" i="15"/>
  <c r="S28" i="15"/>
  <c r="R28" i="15"/>
  <c r="C27" i="15"/>
  <c r="C29" i="15"/>
  <c r="O29" i="15"/>
  <c r="Q28" i="15"/>
  <c r="N29" i="15"/>
  <c r="P28" i="15"/>
  <c r="C20" i="15"/>
  <c r="C21" i="15" s="1"/>
  <c r="C9" i="15"/>
  <c r="P15" i="15"/>
  <c r="Q14" i="15"/>
  <c r="Q13" i="15"/>
  <c r="S11" i="15"/>
  <c r="T11" i="15"/>
  <c r="O15" i="15"/>
  <c r="P14" i="15"/>
  <c r="R13" i="15"/>
  <c r="S12" i="15"/>
  <c r="R12" i="15"/>
  <c r="N10" i="15"/>
  <c r="T10" i="15"/>
  <c r="T9" i="15"/>
  <c r="S9" i="15"/>
  <c r="P11" i="15"/>
  <c r="R9" i="15"/>
  <c r="Q9" i="15"/>
  <c r="P9" i="15"/>
  <c r="N9" i="15"/>
  <c r="O14" i="15"/>
  <c r="P13" i="15"/>
  <c r="Q12" i="15"/>
  <c r="R11" i="15"/>
  <c r="S10" i="15"/>
  <c r="N15" i="15"/>
  <c r="U15" i="15"/>
  <c r="O13" i="15"/>
  <c r="P12" i="15"/>
  <c r="Q11" i="15"/>
  <c r="R10" i="15"/>
  <c r="N14" i="15"/>
  <c r="T15" i="15"/>
  <c r="O12" i="15"/>
  <c r="Q10" i="15"/>
  <c r="N13" i="15"/>
  <c r="S15" i="15"/>
  <c r="O11" i="15"/>
  <c r="P10" i="15"/>
  <c r="N12" i="15"/>
  <c r="R15" i="15"/>
  <c r="V11" i="15"/>
  <c r="O10" i="15"/>
  <c r="N11" i="15"/>
  <c r="Q15" i="15"/>
  <c r="T12" i="15"/>
  <c r="U11" i="15"/>
  <c r="C10" i="11"/>
  <c r="D10" i="11" s="1"/>
  <c r="C9" i="11"/>
  <c r="D9" i="11" s="1"/>
  <c r="C7" i="11"/>
  <c r="D7" i="11" s="1"/>
  <c r="C6" i="11"/>
  <c r="D6" i="11" s="1"/>
  <c r="C2" i="11"/>
  <c r="D2" i="11" s="1"/>
  <c r="C4" i="11"/>
  <c r="D4" i="11" s="1"/>
  <c r="C5" i="11"/>
  <c r="D5" i="11" s="1"/>
  <c r="C11" i="11"/>
  <c r="D11" i="11" s="1"/>
  <c r="E50" i="10"/>
  <c r="D11" i="10"/>
  <c r="E11" i="10" s="1"/>
  <c r="E46" i="10"/>
  <c r="D7" i="10"/>
  <c r="E7" i="10" s="1"/>
  <c r="E47" i="10"/>
  <c r="D33" i="10"/>
  <c r="E33" i="10" s="1"/>
  <c r="E48" i="10"/>
  <c r="E49" i="10"/>
  <c r="D37" i="10"/>
  <c r="E37" i="10" s="1"/>
  <c r="D32" i="10"/>
  <c r="E32" i="10" s="1"/>
  <c r="D10" i="10"/>
  <c r="E10" i="10" s="1"/>
  <c r="D6" i="10"/>
  <c r="E6" i="10" s="1"/>
  <c r="D9" i="10"/>
  <c r="E9" i="10" s="1"/>
  <c r="D5" i="10"/>
  <c r="E5" i="10" s="1"/>
  <c r="C21" i="10"/>
  <c r="D2" i="10"/>
  <c r="E2" i="10" s="1"/>
  <c r="D4" i="10"/>
  <c r="E4" i="10" s="1"/>
  <c r="E29" i="10"/>
  <c r="D8" i="10"/>
  <c r="E8" i="10" s="1"/>
  <c r="D3" i="10"/>
  <c r="E3" i="10" s="1"/>
  <c r="E26" i="10"/>
  <c r="E25" i="10"/>
  <c r="C27" i="7"/>
  <c r="C31" i="7"/>
  <c r="D31" i="7" s="1"/>
  <c r="C30" i="7"/>
  <c r="D30" i="7" s="1"/>
  <c r="C29" i="7"/>
  <c r="D29" i="7" s="1"/>
  <c r="C7" i="7"/>
  <c r="D7" i="7" s="1"/>
  <c r="D27" i="7"/>
  <c r="C6" i="7"/>
  <c r="D6" i="7" s="1"/>
  <c r="C3" i="7"/>
  <c r="D3" i="7" s="1"/>
  <c r="C5" i="7"/>
  <c r="D5" i="7" s="1"/>
  <c r="C12" i="7"/>
  <c r="D12" i="7" s="1"/>
  <c r="C4" i="7"/>
  <c r="D4" i="7" s="1"/>
  <c r="C11" i="7"/>
  <c r="D11" i="7" s="1"/>
  <c r="C10" i="7"/>
  <c r="D10" i="7" s="1"/>
  <c r="C9" i="7"/>
  <c r="D9" i="7" s="1"/>
  <c r="C19" i="6"/>
  <c r="C54" i="6"/>
  <c r="C53" i="6"/>
  <c r="C44" i="6"/>
  <c r="C43" i="6"/>
  <c r="C33" i="6"/>
  <c r="C6" i="5"/>
  <c r="D6" i="5" s="1"/>
  <c r="C5" i="5"/>
  <c r="D5" i="5" s="1"/>
  <c r="C2" i="5"/>
  <c r="D2" i="5" s="1"/>
  <c r="C4" i="5"/>
  <c r="D4" i="5" s="1"/>
  <c r="C11" i="5"/>
  <c r="D11" i="5" s="1"/>
  <c r="C3" i="5"/>
  <c r="D3" i="5" s="1"/>
  <c r="C10" i="5"/>
  <c r="D10" i="5" s="1"/>
  <c r="G7" i="2"/>
  <c r="F9" i="2"/>
  <c r="F14" i="2"/>
  <c r="F13" i="2"/>
  <c r="F8" i="2"/>
  <c r="F25" i="2"/>
  <c r="F12" i="2"/>
  <c r="F19" i="2"/>
  <c r="F24" i="2"/>
  <c r="F18" i="2"/>
  <c r="F7" i="2"/>
  <c r="F17" i="2"/>
  <c r="F22" i="2"/>
  <c r="D8" i="2"/>
  <c r="D9" i="2" s="1"/>
  <c r="G6" i="2"/>
  <c r="F10" i="2"/>
  <c r="F16" i="2"/>
  <c r="F21" i="2"/>
  <c r="F15" i="2"/>
  <c r="D14" i="1"/>
  <c r="C14" i="1"/>
  <c r="F14" i="1" s="1"/>
  <c r="D11" i="1"/>
  <c r="C8" i="1"/>
  <c r="F8" i="1" s="1"/>
  <c r="D16" i="1"/>
  <c r="C11" i="1"/>
  <c r="C16" i="1"/>
  <c r="D13" i="1"/>
  <c r="D9" i="1"/>
  <c r="C13" i="1"/>
  <c r="F13" i="1" s="1"/>
  <c r="D10" i="1"/>
  <c r="D7" i="1"/>
  <c r="C9" i="1"/>
  <c r="F9" i="1" s="1"/>
  <c r="D15" i="1"/>
  <c r="C10" i="1"/>
  <c r="C7" i="1"/>
  <c r="C15" i="1"/>
  <c r="D139" i="4"/>
  <c r="E20" i="4"/>
  <c r="E26" i="4"/>
  <c r="F17" i="1"/>
  <c r="F12" i="1"/>
  <c r="E17" i="4"/>
  <c r="E33" i="4"/>
  <c r="E7" i="4"/>
  <c r="E28" i="4"/>
  <c r="E19" i="4"/>
  <c r="E11" i="4"/>
  <c r="E15" i="4"/>
  <c r="E127" i="4"/>
  <c r="E135" i="4"/>
  <c r="E12" i="4"/>
  <c r="D23" i="4"/>
  <c r="E23" i="4" s="1"/>
  <c r="D30" i="4"/>
  <c r="E30" i="4" s="1"/>
  <c r="D34" i="4"/>
  <c r="E34" i="4" s="1"/>
  <c r="D38" i="4"/>
  <c r="E38" i="4" s="1"/>
  <c r="D42" i="4"/>
  <c r="E42" i="4" s="1"/>
  <c r="D46" i="4"/>
  <c r="E46" i="4" s="1"/>
  <c r="D50" i="4"/>
  <c r="E50" i="4" s="1"/>
  <c r="D54" i="4"/>
  <c r="E54" i="4" s="1"/>
  <c r="D58" i="4"/>
  <c r="E58" i="4" s="1"/>
  <c r="D62" i="4"/>
  <c r="E62" i="4" s="1"/>
  <c r="D66" i="4"/>
  <c r="E66" i="4" s="1"/>
  <c r="D70" i="4"/>
  <c r="E70" i="4" s="1"/>
  <c r="D74" i="4"/>
  <c r="E74" i="4" s="1"/>
  <c r="D78" i="4"/>
  <c r="E78" i="4" s="1"/>
  <c r="D82" i="4"/>
  <c r="E82" i="4" s="1"/>
  <c r="D86" i="4"/>
  <c r="E86" i="4" s="1"/>
  <c r="D90" i="4"/>
  <c r="E90" i="4" s="1"/>
  <c r="D94" i="4"/>
  <c r="E94" i="4" s="1"/>
  <c r="D98" i="4"/>
  <c r="E98" i="4" s="1"/>
  <c r="D102" i="4"/>
  <c r="E102" i="4" s="1"/>
  <c r="D106" i="4"/>
  <c r="E106" i="4" s="1"/>
  <c r="D110" i="4"/>
  <c r="E110" i="4" s="1"/>
  <c r="D114" i="4"/>
  <c r="E114" i="4" s="1"/>
  <c r="D118" i="4"/>
  <c r="E118" i="4" s="1"/>
  <c r="D122" i="4"/>
  <c r="E122" i="4" s="1"/>
  <c r="D129" i="4"/>
  <c r="E129" i="4" s="1"/>
  <c r="D136" i="4"/>
  <c r="E136" i="4" s="1"/>
  <c r="D126" i="4"/>
  <c r="E126" i="4" s="1"/>
  <c r="D133" i="4"/>
  <c r="E9" i="4"/>
  <c r="E13" i="4"/>
  <c r="D24" i="4"/>
  <c r="E24" i="4" s="1"/>
  <c r="D31" i="4"/>
  <c r="E31" i="4" s="1"/>
  <c r="D35" i="4"/>
  <c r="E35" i="4" s="1"/>
  <c r="D39" i="4"/>
  <c r="E39" i="4" s="1"/>
  <c r="D43" i="4"/>
  <c r="E43" i="4" s="1"/>
  <c r="D47" i="4"/>
  <c r="E47" i="4" s="1"/>
  <c r="D51" i="4"/>
  <c r="E51" i="4" s="1"/>
  <c r="D55" i="4"/>
  <c r="E55" i="4" s="1"/>
  <c r="D59" i="4"/>
  <c r="E59" i="4" s="1"/>
  <c r="D63" i="4"/>
  <c r="E63" i="4" s="1"/>
  <c r="D67" i="4"/>
  <c r="E67" i="4" s="1"/>
  <c r="D71" i="4"/>
  <c r="E71" i="4" s="1"/>
  <c r="D75" i="4"/>
  <c r="E75" i="4" s="1"/>
  <c r="D79" i="4"/>
  <c r="E79" i="4" s="1"/>
  <c r="D83" i="4"/>
  <c r="E83" i="4" s="1"/>
  <c r="D87" i="4"/>
  <c r="E87" i="4" s="1"/>
  <c r="D91" i="4"/>
  <c r="E91" i="4" s="1"/>
  <c r="D95" i="4"/>
  <c r="E95" i="4" s="1"/>
  <c r="D99" i="4"/>
  <c r="E99" i="4" s="1"/>
  <c r="D103" i="4"/>
  <c r="E103" i="4" s="1"/>
  <c r="D107" i="4"/>
  <c r="E107" i="4" s="1"/>
  <c r="D111" i="4"/>
  <c r="E111" i="4" s="1"/>
  <c r="D115" i="4"/>
  <c r="E115" i="4" s="1"/>
  <c r="D119" i="4"/>
  <c r="E119" i="4" s="1"/>
  <c r="D130" i="4"/>
  <c r="E130" i="4" s="1"/>
  <c r="D137" i="4"/>
  <c r="E137" i="4" s="1"/>
  <c r="D21" i="4"/>
  <c r="E21" i="4" s="1"/>
  <c r="D25" i="4"/>
  <c r="E25" i="4" s="1"/>
  <c r="D32" i="4"/>
  <c r="E32" i="4" s="1"/>
  <c r="D36" i="4"/>
  <c r="D40" i="4"/>
  <c r="E40" i="4" s="1"/>
  <c r="D44" i="4"/>
  <c r="E44" i="4" s="1"/>
  <c r="D48" i="4"/>
  <c r="E48" i="4" s="1"/>
  <c r="D52" i="4"/>
  <c r="E52" i="4" s="1"/>
  <c r="D56" i="4"/>
  <c r="E56" i="4" s="1"/>
  <c r="D60" i="4"/>
  <c r="E60" i="4" s="1"/>
  <c r="D64" i="4"/>
  <c r="E64" i="4" s="1"/>
  <c r="D68" i="4"/>
  <c r="E68" i="4" s="1"/>
  <c r="D72" i="4"/>
  <c r="E72" i="4" s="1"/>
  <c r="D76" i="4"/>
  <c r="E76" i="4" s="1"/>
  <c r="D80" i="4"/>
  <c r="E80" i="4" s="1"/>
  <c r="D84" i="4"/>
  <c r="E84" i="4" s="1"/>
  <c r="D88" i="4"/>
  <c r="E88" i="4" s="1"/>
  <c r="D92" i="4"/>
  <c r="E92" i="4" s="1"/>
  <c r="D96" i="4"/>
  <c r="E96" i="4" s="1"/>
  <c r="D100" i="4"/>
  <c r="E100" i="4" s="1"/>
  <c r="D104" i="4"/>
  <c r="E104" i="4" s="1"/>
  <c r="D108" i="4"/>
  <c r="E108" i="4" s="1"/>
  <c r="D112" i="4"/>
  <c r="E112" i="4" s="1"/>
  <c r="D116" i="4"/>
  <c r="E116" i="4" s="1"/>
  <c r="D120" i="4"/>
  <c r="E120" i="4" s="1"/>
  <c r="D131" i="4"/>
  <c r="E131" i="4" s="1"/>
  <c r="D138" i="4"/>
  <c r="E138" i="4" s="1"/>
  <c r="E36" i="4"/>
  <c r="D134" i="4"/>
  <c r="E3" i="4"/>
  <c r="D10" i="4"/>
  <c r="E10" i="4" s="1"/>
  <c r="D14" i="4"/>
  <c r="E14" i="4" s="1"/>
  <c r="D18" i="4"/>
  <c r="E18" i="4" s="1"/>
  <c r="E29" i="4"/>
  <c r="E41" i="4"/>
  <c r="E49" i="4"/>
  <c r="E57" i="4"/>
  <c r="E65" i="4"/>
  <c r="E73" i="4"/>
  <c r="E81" i="4"/>
  <c r="E89" i="4"/>
  <c r="E97" i="4"/>
  <c r="E105" i="4"/>
  <c r="E113" i="4"/>
  <c r="D124" i="4"/>
  <c r="E124" i="4" s="1"/>
  <c r="E139" i="4"/>
  <c r="E16" i="4"/>
  <c r="E123" i="4"/>
  <c r="E133" i="4"/>
  <c r="E27" i="4"/>
  <c r="E37" i="4"/>
  <c r="E53" i="4"/>
  <c r="E69" i="4"/>
  <c r="E85" i="4"/>
  <c r="E101" i="4"/>
  <c r="E117" i="4"/>
  <c r="E134" i="4"/>
  <c r="E121" i="4"/>
  <c r="E128" i="4"/>
  <c r="E8" i="4"/>
  <c r="E125" i="4"/>
  <c r="E22" i="4"/>
  <c r="E45" i="4"/>
  <c r="E61" i="4"/>
  <c r="E77" i="4"/>
  <c r="E93" i="4"/>
  <c r="E109" i="4"/>
  <c r="D127" i="19" l="1"/>
  <c r="D128" i="19" s="1"/>
  <c r="D125" i="19"/>
  <c r="D126" i="19" s="1"/>
  <c r="F10" i="1"/>
  <c r="F16" i="1"/>
  <c r="E6" i="17"/>
  <c r="F6" i="17" s="1"/>
  <c r="F11" i="1"/>
  <c r="E51" i="10"/>
  <c r="E52" i="10" s="1"/>
  <c r="E15" i="17"/>
  <c r="F15" i="17" s="1"/>
  <c r="F69" i="17"/>
  <c r="D108" i="19"/>
  <c r="D12" i="5"/>
  <c r="E18" i="17"/>
  <c r="F18" i="17" s="1"/>
  <c r="F7" i="1"/>
  <c r="E14" i="17"/>
  <c r="F14" i="17" s="1"/>
  <c r="F11" i="20"/>
  <c r="F12" i="20" s="1"/>
  <c r="F13" i="20" s="1"/>
  <c r="C11" i="20"/>
  <c r="C12" i="20" s="1"/>
  <c r="C13" i="20" s="1"/>
  <c r="D11" i="20"/>
  <c r="D12" i="20" s="1"/>
  <c r="D13" i="20" s="1"/>
  <c r="E11" i="20"/>
  <c r="E12" i="20" s="1"/>
  <c r="E13" i="20" s="1"/>
  <c r="D111" i="19"/>
  <c r="D109" i="19"/>
  <c r="D110" i="19" s="1"/>
  <c r="K72" i="19"/>
  <c r="K73" i="19" s="1"/>
  <c r="K74" i="19" s="1"/>
  <c r="G91" i="19"/>
  <c r="G92" i="19" s="1"/>
  <c r="G93" i="19" s="1"/>
  <c r="E72" i="19"/>
  <c r="E73" i="19" s="1"/>
  <c r="E74" i="19" s="1"/>
  <c r="K51" i="19"/>
  <c r="K52" i="19" s="1"/>
  <c r="K53" i="19" s="1"/>
  <c r="D91" i="19"/>
  <c r="D92" i="19" s="1"/>
  <c r="D93" i="19" s="1"/>
  <c r="J91" i="19"/>
  <c r="J92" i="19" s="1"/>
  <c r="J93" i="19" s="1"/>
  <c r="E51" i="19"/>
  <c r="E52" i="19" s="1"/>
  <c r="E53" i="19" s="1"/>
  <c r="E17" i="17"/>
  <c r="F17" i="17" s="1"/>
  <c r="E20" i="17"/>
  <c r="F20" i="17" s="1"/>
  <c r="E16" i="17"/>
  <c r="F16" i="17" s="1"/>
  <c r="E12" i="17"/>
  <c r="F12" i="17" s="1"/>
  <c r="E2" i="17"/>
  <c r="F2" i="17" s="1"/>
  <c r="E3" i="17"/>
  <c r="F3" i="17" s="1"/>
  <c r="J11" i="17"/>
  <c r="E8" i="17"/>
  <c r="F8" i="17" s="1"/>
  <c r="E5" i="17"/>
  <c r="F5" i="17" s="1"/>
  <c r="E11" i="17"/>
  <c r="F11" i="17" s="1"/>
  <c r="E7" i="17"/>
  <c r="F7" i="17" s="1"/>
  <c r="E4" i="17"/>
  <c r="F4" i="17" s="1"/>
  <c r="C30" i="15"/>
  <c r="B20" i="15" s="1"/>
  <c r="D20" i="15" s="1"/>
  <c r="C16" i="15"/>
  <c r="B2" i="15" s="1"/>
  <c r="D2" i="15" s="1"/>
  <c r="O25" i="15"/>
  <c r="B22" i="15" s="1"/>
  <c r="B21" i="15" s="1"/>
  <c r="D21" i="15" s="1"/>
  <c r="E20" i="15" s="1"/>
  <c r="O7" i="15"/>
  <c r="B4" i="15" s="1"/>
  <c r="B3" i="15" s="1"/>
  <c r="D3" i="15" s="1"/>
  <c r="D12" i="11"/>
  <c r="D13" i="11" s="1"/>
  <c r="D14" i="11" s="1"/>
  <c r="D17" i="11" s="1"/>
  <c r="E38" i="10"/>
  <c r="E39" i="10" s="1"/>
  <c r="E43" i="10" s="1"/>
  <c r="E56" i="10"/>
  <c r="E55" i="10"/>
  <c r="E12" i="10"/>
  <c r="E13" i="10" s="1"/>
  <c r="D32" i="7"/>
  <c r="D33" i="7" s="1"/>
  <c r="D34" i="7" s="1"/>
  <c r="D36" i="7" s="1"/>
  <c r="D13" i="7"/>
  <c r="D14" i="7" s="1"/>
  <c r="D15" i="7" s="1"/>
  <c r="D17" i="7" s="1"/>
  <c r="D20" i="7" s="1"/>
  <c r="I13" i="5"/>
  <c r="D10" i="2"/>
  <c r="G9" i="2"/>
  <c r="G8" i="2"/>
  <c r="F15" i="1"/>
  <c r="E42" i="10" l="1"/>
  <c r="D14" i="5"/>
  <c r="D13" i="5"/>
  <c r="F71" i="17"/>
  <c r="F70" i="17"/>
  <c r="D134" i="19"/>
  <c r="D133" i="19"/>
  <c r="D135" i="19"/>
  <c r="D132" i="19"/>
  <c r="G13" i="20"/>
  <c r="H13" i="20" s="1"/>
  <c r="F22" i="17"/>
  <c r="E22" i="17"/>
  <c r="E2" i="15"/>
  <c r="E17" i="10"/>
  <c r="E16" i="10"/>
  <c r="D38" i="7"/>
  <c r="D39" i="7"/>
  <c r="D19" i="7"/>
  <c r="D11" i="2"/>
  <c r="G10" i="2"/>
  <c r="F23" i="17" l="1"/>
  <c r="F24" i="17"/>
  <c r="J10" i="17" s="1"/>
  <c r="J14" i="17" s="1"/>
  <c r="J21" i="17" s="1"/>
  <c r="G11" i="2"/>
  <c r="D12" i="2"/>
  <c r="D13" i="2" l="1"/>
  <c r="G12" i="2"/>
  <c r="D14" i="2" l="1"/>
  <c r="G13" i="2"/>
  <c r="D15" i="2" l="1"/>
  <c r="G14" i="2"/>
  <c r="D16" i="2" l="1"/>
  <c r="G15" i="2"/>
  <c r="D17" i="2" l="1"/>
  <c r="G16" i="2"/>
  <c r="D18" i="2" l="1"/>
  <c r="G17" i="2"/>
  <c r="D19" i="2" l="1"/>
  <c r="G18" i="2"/>
  <c r="D20" i="2" l="1"/>
  <c r="G19" i="2"/>
  <c r="D21" i="2" l="1"/>
  <c r="G20" i="2"/>
  <c r="D22" i="2" l="1"/>
  <c r="G21" i="2"/>
  <c r="D23" i="2" l="1"/>
  <c r="G22" i="2"/>
  <c r="D24" i="2" l="1"/>
  <c r="G23" i="2"/>
  <c r="D25" i="2" l="1"/>
  <c r="G25" i="2" s="1"/>
  <c r="G24" i="2"/>
</calcChain>
</file>

<file path=xl/sharedStrings.xml><?xml version="1.0" encoding="utf-8"?>
<sst xmlns="http://schemas.openxmlformats.org/spreadsheetml/2006/main" count="567" uniqueCount="286">
  <si>
    <t>P(X=k) = nCk p^k (1-p)^(n-k)</t>
    <phoneticPr fontId="1"/>
  </si>
  <si>
    <t>n</t>
    <phoneticPr fontId="1"/>
  </si>
  <si>
    <t>p</t>
    <phoneticPr fontId="1"/>
  </si>
  <si>
    <t>k</t>
    <phoneticPr fontId="1"/>
  </si>
  <si>
    <t>nCk</t>
    <phoneticPr fontId="1"/>
  </si>
  <si>
    <t>p^k (1-p)^(n-k)</t>
  </si>
  <si>
    <t>P(X=k)</t>
  </si>
  <si>
    <t>P(X=k) = (1-p)^(k-1) p</t>
    <phoneticPr fontId="1"/>
  </si>
  <si>
    <t>P(X=k)</t>
    <phoneticPr fontId="1"/>
  </si>
  <si>
    <t>1-p</t>
    <phoneticPr fontId="1"/>
  </si>
  <si>
    <t>(1-p)^k</t>
    <phoneticPr fontId="1"/>
  </si>
  <si>
    <t>P(X=k) = e^-λ λ^k/k!</t>
    <phoneticPr fontId="1"/>
  </si>
  <si>
    <t>λ = np</t>
    <phoneticPr fontId="1"/>
  </si>
  <si>
    <t>e^-λ</t>
    <phoneticPr fontId="1"/>
  </si>
  <si>
    <t>λ^k</t>
    <phoneticPr fontId="1"/>
  </si>
  <si>
    <t>k!</t>
    <phoneticPr fontId="1"/>
  </si>
  <si>
    <t>E(X) = 1/p</t>
    <phoneticPr fontId="1"/>
  </si>
  <si>
    <t>E(X) = λ</t>
    <phoneticPr fontId="1"/>
  </si>
  <si>
    <t>E(X) = np</t>
    <phoneticPr fontId="1"/>
  </si>
  <si>
    <t>μ^ =</t>
    <phoneticPr fontId="1"/>
  </si>
  <si>
    <t>xi</t>
    <phoneticPr fontId="1"/>
  </si>
  <si>
    <t>xi - x_</t>
    <phoneticPr fontId="1"/>
  </si>
  <si>
    <t>^2</t>
    <phoneticPr fontId="1"/>
  </si>
  <si>
    <t>i</t>
    <phoneticPr fontId="1"/>
  </si>
  <si>
    <t>標本分散</t>
    <rPh sb="0" eb="4">
      <t>ヒョウホンブンサン</t>
    </rPh>
    <phoneticPr fontId="1"/>
  </si>
  <si>
    <t>ふへん分散</t>
    <rPh sb="3" eb="5">
      <t>ブンサン</t>
    </rPh>
    <phoneticPr fontId="1"/>
  </si>
  <si>
    <t>s =</t>
    <phoneticPr fontId="1"/>
  </si>
  <si>
    <t>標準誤差</t>
    <rPh sb="0" eb="2">
      <t>ヒョウジュン</t>
    </rPh>
    <rPh sb="2" eb="4">
      <t>ゴサ</t>
    </rPh>
    <phoneticPr fontId="1"/>
  </si>
  <si>
    <t>兵庫</t>
  </si>
  <si>
    <t>大阪</t>
  </si>
  <si>
    <t>奈良</t>
  </si>
  <si>
    <t>岩手</t>
  </si>
  <si>
    <t>千葉</t>
  </si>
  <si>
    <t>茨城</t>
  </si>
  <si>
    <t>福岡</t>
  </si>
  <si>
    <t>山梨</t>
  </si>
  <si>
    <t>滋賀</t>
  </si>
  <si>
    <t>鳥取</t>
  </si>
  <si>
    <t>No.</t>
  </si>
  <si>
    <t>都道府県</t>
  </si>
  <si>
    <t>全スクリーン数</t>
  </si>
  <si>
    <t>標本平均</t>
    <rPh sb="0" eb="4">
      <t>ヒョウホンヘイキン</t>
    </rPh>
    <phoneticPr fontId="1"/>
  </si>
  <si>
    <t>σ^2</t>
    <phoneticPr fontId="1"/>
  </si>
  <si>
    <t>√(σ^2/n)</t>
    <phoneticPr fontId="1"/>
  </si>
  <si>
    <t>x_ - μ</t>
    <phoneticPr fontId="1"/>
  </si>
  <si>
    <t>μ&gt;</t>
    <phoneticPr fontId="1"/>
  </si>
  <si>
    <t>μ&lt;</t>
    <phoneticPr fontId="1"/>
  </si>
  <si>
    <t>母平均の区間推定では「95%信頼区間（95％CI）」を求めることが多いですが、</t>
    <phoneticPr fontId="1"/>
  </si>
  <si>
    <t>という作業を100回やったときに、97回はその区間の中に母平均が含まれる」ということを意味します。</t>
    <phoneticPr fontId="1"/>
  </si>
  <si>
    <r>
      <t>これは</t>
    </r>
    <r>
      <rPr>
        <b/>
        <sz val="10"/>
        <color rgb="FF333333"/>
        <rFont val="メイリオ"/>
        <family val="3"/>
        <charset val="128"/>
      </rPr>
      <t>「母集団から標本を取ってきて、その標本平均から母平均の95%信頼区間を求める、</t>
    </r>
    <phoneticPr fontId="1"/>
  </si>
  <si>
    <t>z(90%)</t>
    <phoneticPr fontId="1"/>
  </si>
  <si>
    <t>z(95%)</t>
    <phoneticPr fontId="1"/>
  </si>
  <si>
    <t>z(99%)</t>
    <phoneticPr fontId="1"/>
  </si>
  <si>
    <t>母分散</t>
    <rPh sb="0" eb="3">
      <t>ボブンサン</t>
    </rPh>
    <phoneticPr fontId="1"/>
  </si>
  <si>
    <t>母分散が分かっている場合（レアケース）</t>
    <rPh sb="0" eb="3">
      <t>ボブンサン</t>
    </rPh>
    <rPh sb="4" eb="5">
      <t>ワ</t>
    </rPh>
    <rPh sb="10" eb="12">
      <t>バアイ</t>
    </rPh>
    <phoneticPr fontId="1"/>
  </si>
  <si>
    <t>部品Aの重さ (g)</t>
  </si>
  <si>
    <t>不偏分散</t>
    <rPh sb="0" eb="2">
      <t>フヘン</t>
    </rPh>
    <rPh sb="2" eb="4">
      <t>ブンサン</t>
    </rPh>
    <phoneticPr fontId="1"/>
  </si>
  <si>
    <t>s^2</t>
    <phoneticPr fontId="1"/>
  </si>
  <si>
    <t>Ai-x_</t>
    <phoneticPr fontId="1"/>
  </si>
  <si>
    <t>(Ai-x_)^2</t>
    <phoneticPr fontId="1"/>
  </si>
  <si>
    <t>√(s^2/n)</t>
    <phoneticPr fontId="1"/>
  </si>
  <si>
    <t>t(95%)</t>
    <phoneticPr fontId="1"/>
  </si>
  <si>
    <t>Σ</t>
    <phoneticPr fontId="1"/>
  </si>
  <si>
    <t>=Σ/(n-1)</t>
    <phoneticPr fontId="1"/>
  </si>
  <si>
    <t>標準誤差</t>
    <rPh sb="0" eb="4">
      <t>ヒョウジュンゴサ</t>
    </rPh>
    <phoneticPr fontId="1"/>
  </si>
  <si>
    <t>表より</t>
    <rPh sb="0" eb="1">
      <t>ヒョウ</t>
    </rPh>
    <phoneticPr fontId="1"/>
  </si>
  <si>
    <t>母平均の差の信頼区間</t>
  </si>
  <si>
    <t>■対応があるデータの場合</t>
  </si>
  <si>
    <t>■対応がないデータの場合</t>
  </si>
  <si>
    <t>平均値</t>
    <phoneticPr fontId="1"/>
  </si>
  <si>
    <t>不偏分散</t>
    <phoneticPr fontId="1"/>
  </si>
  <si>
    <t>調査人数</t>
    <rPh sb="0" eb="4">
      <t>チョウサニンズウ</t>
    </rPh>
    <phoneticPr fontId="1"/>
  </si>
  <si>
    <t>A番組を見た</t>
    <rPh sb="1" eb="3">
      <t>バングミ</t>
    </rPh>
    <rPh sb="4" eb="5">
      <t>ミ</t>
    </rPh>
    <phoneticPr fontId="1"/>
  </si>
  <si>
    <t>割合</t>
    <rPh sb="0" eb="2">
      <t>ワリアイ</t>
    </rPh>
    <phoneticPr fontId="1"/>
  </si>
  <si>
    <t>下限値</t>
    <rPh sb="0" eb="3">
      <t>カゲンチ</t>
    </rPh>
    <phoneticPr fontId="1"/>
  </si>
  <si>
    <t>比率</t>
    <rPh sb="0" eb="2">
      <t>ヒリツ</t>
    </rPh>
    <phoneticPr fontId="1"/>
  </si>
  <si>
    <t>上限値</t>
    <rPh sb="0" eb="3">
      <t>ジョウゲンチ</t>
    </rPh>
    <phoneticPr fontId="1"/>
  </si>
  <si>
    <t>信頼係数</t>
    <rPh sb="0" eb="4">
      <t>シンライケイスウ</t>
    </rPh>
    <phoneticPr fontId="1"/>
  </si>
  <si>
    <t>■信頼区間</t>
    <rPh sb="1" eb="5">
      <t>シンライクカン</t>
    </rPh>
    <phoneticPr fontId="1"/>
  </si>
  <si>
    <t>サイコロで６</t>
    <phoneticPr fontId="1"/>
  </si>
  <si>
    <t>芸能人の認知度</t>
    <rPh sb="0" eb="3">
      <t>ゲイノウジン</t>
    </rPh>
    <rPh sb="4" eb="7">
      <t>ニンチド</t>
    </rPh>
    <phoneticPr fontId="1"/>
  </si>
  <si>
    <t>標準正規分布表</t>
  </si>
  <si>
    <t>T氏の当選</t>
    <rPh sb="1" eb="2">
      <t>シ</t>
    </rPh>
    <rPh sb="3" eb="5">
      <t>トウセン</t>
    </rPh>
    <phoneticPr fontId="1"/>
  </si>
  <si>
    <t>菓子TとK</t>
    <rPh sb="0" eb="2">
      <t>カシ</t>
    </rPh>
    <phoneticPr fontId="1"/>
  </si>
  <si>
    <t>x_</t>
    <phoneticPr fontId="1"/>
  </si>
  <si>
    <t>xi-x_</t>
    <phoneticPr fontId="1"/>
  </si>
  <si>
    <t>(xi-x_)^2</t>
    <phoneticPr fontId="1"/>
  </si>
  <si>
    <t>χ^2[0.975](9)</t>
    <phoneticPr fontId="1"/>
  </si>
  <si>
    <t>χ^2[0.025](9)</t>
    <phoneticPr fontId="1"/>
  </si>
  <si>
    <t>σ^2&gt;=</t>
    <phoneticPr fontId="1"/>
  </si>
  <si>
    <t>σ^2&lt;=</t>
    <phoneticPr fontId="1"/>
  </si>
  <si>
    <t>記録</t>
    <rPh sb="0" eb="2">
      <t>キロク</t>
    </rPh>
    <phoneticPr fontId="1"/>
  </si>
  <si>
    <t>χ^2[0.05](8)</t>
    <phoneticPr fontId="1"/>
  </si>
  <si>
    <t>χ^2[0.95](8)</t>
    <phoneticPr fontId="1"/>
  </si>
  <si>
    <t>身長[cm]</t>
  </si>
  <si>
    <t>χ^2[0.025](4)</t>
    <phoneticPr fontId="1"/>
  </si>
  <si>
    <t>χ^2[0.975](4)</t>
    <phoneticPr fontId="1"/>
  </si>
  <si>
    <t>容量[ml]</t>
  </si>
  <si>
    <t>μ</t>
    <phoneticPr fontId="1"/>
  </si>
  <si>
    <t>t</t>
    <phoneticPr fontId="1"/>
  </si>
  <si>
    <t>片側</t>
    <rPh sb="0" eb="2">
      <t>カタガワ</t>
    </rPh>
    <phoneticPr fontId="1"/>
  </si>
  <si>
    <t>両側</t>
    <rPh sb="0" eb="2">
      <t>リョウガワ</t>
    </rPh>
    <phoneticPr fontId="1"/>
  </si>
  <si>
    <t>A</t>
    <phoneticPr fontId="1"/>
  </si>
  <si>
    <t>B</t>
    <phoneticPr fontId="1"/>
  </si>
  <si>
    <t>√(s^2(1/n1 + 1/n2))</t>
    <phoneticPr fontId="1"/>
  </si>
  <si>
    <t>sp^2</t>
    <phoneticPr fontId="1"/>
  </si>
  <si>
    <t>t[16](95%)</t>
    <phoneticPr fontId="1"/>
  </si>
  <si>
    <t>メロンパン</t>
    <phoneticPr fontId="1"/>
  </si>
  <si>
    <t>珍しい鳥</t>
    <rPh sb="0" eb="1">
      <t>メズラ</t>
    </rPh>
    <rPh sb="3" eb="4">
      <t>トリ</t>
    </rPh>
    <phoneticPr fontId="1"/>
  </si>
  <si>
    <t>強力粉</t>
    <phoneticPr fontId="1"/>
  </si>
  <si>
    <t>観測度数</t>
    <rPh sb="0" eb="4">
      <t>カンソクドスウ</t>
    </rPh>
    <phoneticPr fontId="5"/>
  </si>
  <si>
    <t>ポテト</t>
    <phoneticPr fontId="5"/>
  </si>
  <si>
    <t>チキン</t>
    <phoneticPr fontId="5"/>
  </si>
  <si>
    <t>合計</t>
    <rPh sb="0" eb="2">
      <t>ゴウケイ</t>
    </rPh>
    <phoneticPr fontId="5"/>
  </si>
  <si>
    <t>ワクワク</t>
    <phoneticPr fontId="5"/>
  </si>
  <si>
    <t>モグモグ</t>
    <phoneticPr fontId="5"/>
  </si>
  <si>
    <t>期待度数</t>
    <rPh sb="0" eb="2">
      <t>キタイ</t>
    </rPh>
    <rPh sb="2" eb="4">
      <t>カンソクドスウ</t>
    </rPh>
    <phoneticPr fontId="5"/>
  </si>
  <si>
    <t>カイ２乗値</t>
    <rPh sb="0" eb="5">
      <t>カイ</t>
    </rPh>
    <phoneticPr fontId="5"/>
  </si>
  <si>
    <t>http://kogolab.chillout.jp/elearn/hamburger/index.html</t>
    <phoneticPr fontId="1"/>
  </si>
  <si>
    <t>ハンバーガー統計学にようこそ！</t>
    <phoneticPr fontId="1"/>
  </si>
  <si>
    <t>x_1</t>
    <phoneticPr fontId="1"/>
  </si>
  <si>
    <t>x_2</t>
    <phoneticPr fontId="1"/>
  </si>
  <si>
    <t>x_1-x_2</t>
    <phoneticPr fontId="1"/>
  </si>
  <si>
    <t>s1^2</t>
    <phoneticPr fontId="1"/>
  </si>
  <si>
    <t>s2^2</t>
    <phoneticPr fontId="1"/>
  </si>
  <si>
    <t>n1</t>
    <phoneticPr fontId="1"/>
  </si>
  <si>
    <t>n2</t>
    <phoneticPr fontId="1"/>
  </si>
  <si>
    <t>√</t>
    <phoneticPr fontId="1"/>
  </si>
  <si>
    <t>不偏分散</t>
    <rPh sb="0" eb="4">
      <t>フヘンブンサン</t>
    </rPh>
    <phoneticPr fontId="1"/>
  </si>
  <si>
    <t>σ1^2</t>
    <phoneticPr fontId="1"/>
  </si>
  <si>
    <t>σ2^2</t>
    <phoneticPr fontId="1"/>
  </si>
  <si>
    <t>F</t>
    <phoneticPr fontId="1"/>
  </si>
  <si>
    <t>ν1</t>
    <phoneticPr fontId="1"/>
  </si>
  <si>
    <t>ν2</t>
  </si>
  <si>
    <t>t(0.05)[7,10]</t>
    <phoneticPr fontId="1"/>
  </si>
  <si>
    <t>t(0.025)[7,5]</t>
    <phoneticPr fontId="1"/>
  </si>
  <si>
    <t>因　子</t>
  </si>
  <si>
    <t>平方和</t>
  </si>
  <si>
    <t>自由度</t>
  </si>
  <si>
    <t>平均平方</t>
  </si>
  <si>
    <t>F　値</t>
  </si>
  <si>
    <t>要因</t>
  </si>
  <si>
    <t>残差</t>
  </si>
  <si>
    <t>-</t>
  </si>
  <si>
    <t>全体</t>
  </si>
  <si>
    <t>北海道・東北</t>
  </si>
  <si>
    <t>関東</t>
  </si>
  <si>
    <t>中部</t>
  </si>
  <si>
    <t>近畿</t>
  </si>
  <si>
    <t>中国</t>
  </si>
  <si>
    <t>四国</t>
  </si>
  <si>
    <t>九州・沖縄</t>
  </si>
  <si>
    <t>データ全体の平均値</t>
  </si>
  <si>
    <t>因子の各水準の平均値</t>
    <phoneticPr fontId="1"/>
  </si>
  <si>
    <t>データ全体の平均値からの各データのズレ</t>
  </si>
  <si>
    <t>下記の和</t>
    <rPh sb="0" eb="2">
      <t>カキ</t>
    </rPh>
    <rPh sb="3" eb="4">
      <t>ワ</t>
    </rPh>
    <phoneticPr fontId="1"/>
  </si>
  <si>
    <t>データ全体の平均値からの因子の各水準の平均値のズレ（二乗和×データ数）</t>
    <rPh sb="26" eb="29">
      <t>ジジョウワ</t>
    </rPh>
    <rPh sb="33" eb="34">
      <t>スウ</t>
    </rPh>
    <phoneticPr fontId="1"/>
  </si>
  <si>
    <t>↓</t>
    <phoneticPr fontId="1"/>
  </si>
  <si>
    <t>←絶対セル</t>
    <rPh sb="1" eb="3">
      <t>ゼッタイ</t>
    </rPh>
    <phoneticPr fontId="1"/>
  </si>
  <si>
    <t>薬剤A</t>
    <phoneticPr fontId="1"/>
  </si>
  <si>
    <t>薬剤B</t>
    <phoneticPr fontId="1"/>
  </si>
  <si>
    <t>薬剤C</t>
    <phoneticPr fontId="1"/>
  </si>
  <si>
    <t>v2↓　v1→</t>
  </si>
  <si>
    <t>【α= 0.05】</t>
    <phoneticPr fontId="1"/>
  </si>
  <si>
    <t>補習前（点）</t>
  </si>
  <si>
    <t>補習後（点）</t>
  </si>
  <si>
    <t>差</t>
    <rPh sb="0" eb="1">
      <t>サ</t>
    </rPh>
    <phoneticPr fontId="1"/>
  </si>
  <si>
    <t>仮説</t>
    <rPh sb="0" eb="2">
      <t>カセツ</t>
    </rPh>
    <phoneticPr fontId="1"/>
  </si>
  <si>
    <t>帰無仮説H0</t>
    <rPh sb="0" eb="4">
      <t>キムカセツ</t>
    </rPh>
    <phoneticPr fontId="1"/>
  </si>
  <si>
    <t>対立仮設H1</t>
    <rPh sb="0" eb="4">
      <t>タイリツカセツ</t>
    </rPh>
    <phoneticPr fontId="1"/>
  </si>
  <si>
    <t>補修後に平均点が上がった</t>
    <rPh sb="0" eb="3">
      <t>ホシュウゴ</t>
    </rPh>
    <rPh sb="4" eb="7">
      <t>ヘイキンテン</t>
    </rPh>
    <rPh sb="8" eb="9">
      <t>ア</t>
    </rPh>
    <phoneticPr fontId="1"/>
  </si>
  <si>
    <t>補修前後で平均点に差がない</t>
    <rPh sb="0" eb="4">
      <t>ホシュウゼンゴ</t>
    </rPh>
    <rPh sb="5" eb="8">
      <t>ヘイキンテン</t>
    </rPh>
    <rPh sb="9" eb="10">
      <t>サ</t>
    </rPh>
    <phoneticPr fontId="1"/>
  </si>
  <si>
    <t>α</t>
  </si>
  <si>
    <t>α=</t>
    <phoneticPr fontId="1"/>
  </si>
  <si>
    <t>不偏分散s^2</t>
    <rPh sb="0" eb="4">
      <t>フヘンブンサン</t>
    </rPh>
    <phoneticPr fontId="1"/>
  </si>
  <si>
    <t>適切な検定統計量を決める</t>
    <rPh sb="0" eb="2">
      <t>テキセツ</t>
    </rPh>
    <rPh sb="3" eb="8">
      <t>ケンテイトウケイリョウ</t>
    </rPh>
    <rPh sb="9" eb="10">
      <t>キ</t>
    </rPh>
    <phoneticPr fontId="1"/>
  </si>
  <si>
    <t>有意水準を設定</t>
    <rPh sb="0" eb="4">
      <t>ユウイスイジュン</t>
    </rPh>
    <rPh sb="5" eb="7">
      <t>セッテイ</t>
    </rPh>
    <phoneticPr fontId="1"/>
  </si>
  <si>
    <t>x_-x</t>
    <phoneticPr fontId="1"/>
  </si>
  <si>
    <t>(x_-x)^2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</si>
  <si>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</si>
  <si>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</si>
  <si>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標本平均x_</t>
    <rPh sb="0" eb="4">
      <t>ヒョウホンヘイキン</t>
    </rPh>
    <phoneticPr fontId="1"/>
  </si>
  <si>
    <t>差の母平均μ</t>
    <rPh sb="0" eb="1">
      <t>サ</t>
    </rPh>
    <rPh sb="2" eb="5">
      <t>ボヘイキン</t>
    </rPh>
    <phoneticPr fontId="1"/>
  </si>
  <si>
    <t>（仮定）</t>
    <rPh sb="1" eb="3">
      <t>カテイ</t>
    </rPh>
    <phoneticPr fontId="1"/>
  </si>
  <si>
    <t>サンプル数n</t>
    <rPh sb="4" eb="5">
      <t>スウ</t>
    </rPh>
    <phoneticPr fontId="1"/>
  </si>
  <si>
    <t>棄却ルール</t>
    <rPh sb="0" eb="2">
      <t>キキャク</t>
    </rPh>
    <phoneticPr fontId="1"/>
  </si>
  <si>
    <t>自由度</t>
    <rPh sb="0" eb="3">
      <t>ジユウド</t>
    </rPh>
    <phoneticPr fontId="1"/>
  </si>
  <si>
    <t>t分布（片側検定）</t>
    <rPh sb="1" eb="3">
      <t>ブンプ</t>
    </rPh>
    <rPh sb="4" eb="8">
      <t>カタガワケンテイ</t>
    </rPh>
    <phoneticPr fontId="1"/>
  </si>
  <si>
    <t>v</t>
  </si>
  <si>
    <t>t分布表</t>
    <phoneticPr fontId="1"/>
  </si>
  <si>
    <t>t[0.05](19)</t>
    <phoneticPr fontId="1"/>
  </si>
  <si>
    <t>結論</t>
    <rPh sb="0" eb="2">
      <t>ケツロン</t>
    </rPh>
    <phoneticPr fontId="1"/>
  </si>
  <si>
    <t>|t |- |t[0.05](19)|</t>
    <phoneticPr fontId="1"/>
  </si>
  <si>
    <t>&lt; 0 →</t>
    <phoneticPr fontId="1"/>
  </si>
  <si>
    <t>棄却されない</t>
    <rPh sb="0" eb="2">
      <t>キキャク</t>
    </rPh>
    <phoneticPr fontId="1"/>
  </si>
  <si>
    <t>σ</t>
    <phoneticPr fontId="1"/>
  </si>
  <si>
    <t>t[0.05](39)</t>
    <phoneticPr fontId="1"/>
  </si>
  <si>
    <t>&gt; 0 →</t>
    <phoneticPr fontId="1"/>
  </si>
  <si>
    <t>棄却</t>
    <rPh sb="0" eb="2">
      <t>キキャク</t>
    </rPh>
    <phoneticPr fontId="1"/>
  </si>
  <si>
    <t>なぜ両側検定か？？？</t>
    <rPh sb="2" eb="6">
      <t>リョウガワケンテイ</t>
    </rPh>
    <phoneticPr fontId="1"/>
  </si>
  <si>
    <r>
      <t>自由度</t>
    </r>
    <r>
      <rPr>
        <sz val="10"/>
        <color rgb="FF444444"/>
        <rFont val="MathJax_Math-italic"/>
        <family val="2"/>
      </rPr>
      <t>ν</t>
    </r>
  </si>
  <si>
    <r>
      <t>α</t>
    </r>
    <r>
      <rPr>
        <sz val="10"/>
        <color rgb="FF444444"/>
        <rFont val="MathJax_Main"/>
        <family val="2"/>
      </rPr>
      <t>=0.1</t>
    </r>
  </si>
  <si>
    <r>
      <t>α</t>
    </r>
    <r>
      <rPr>
        <sz val="10"/>
        <color rgb="FF444444"/>
        <rFont val="MathJax_Main"/>
        <family val="2"/>
      </rPr>
      <t>=0.05</t>
    </r>
  </si>
  <si>
    <r>
      <t>α</t>
    </r>
    <r>
      <rPr>
        <sz val="10"/>
        <color rgb="FF444444"/>
        <rFont val="MathJax_Main"/>
        <family val="2"/>
      </rPr>
      <t>=0.025</t>
    </r>
  </si>
  <si>
    <r>
      <t>α</t>
    </r>
    <r>
      <rPr>
        <sz val="10"/>
        <color rgb="FF444444"/>
        <rFont val="MathJax_Main"/>
        <family val="2"/>
      </rPr>
      <t>=0.01</t>
    </r>
  </si>
  <si>
    <r>
      <t>α</t>
    </r>
    <r>
      <rPr>
        <sz val="10"/>
        <color rgb="FF444444"/>
        <rFont val="MathJax_Main"/>
        <family val="2"/>
      </rPr>
      <t>=0.005</t>
    </r>
  </si>
  <si>
    <t>∞</t>
  </si>
  <si>
    <t>片側t分布表</t>
    <phoneticPr fontId="1"/>
  </si>
  <si>
    <t>#</t>
    <phoneticPr fontId="1"/>
  </si>
  <si>
    <t>length</t>
    <phoneticPr fontId="1"/>
  </si>
  <si>
    <t>ワクワク</t>
    <phoneticPr fontId="1"/>
  </si>
  <si>
    <t>もぐもぐ</t>
    <phoneticPr fontId="1"/>
  </si>
  <si>
    <t>int</t>
    <phoneticPr fontId="1"/>
  </si>
  <si>
    <t>l-Ave</t>
    <phoneticPr fontId="1"/>
  </si>
  <si>
    <t>^2</t>
    <phoneticPr fontId="1"/>
  </si>
  <si>
    <t>SD</t>
    <phoneticPr fontId="1"/>
  </si>
  <si>
    <t>Var</t>
    <phoneticPr fontId="1"/>
  </si>
  <si>
    <t>ワクワク</t>
  </si>
  <si>
    <t>モグモグ</t>
  </si>
  <si>
    <t>学生番号</t>
  </si>
  <si>
    <t>桜組</t>
  </si>
  <si>
    <t>桃組</t>
  </si>
  <si>
    <t>柳組</t>
  </si>
  <si>
    <t>ワクワクバーガーのポテトの本数（サンプルサイズ=10）</t>
    <phoneticPr fontId="1"/>
  </si>
  <si>
    <t>2.1　平均的ポテトを推定する</t>
    <phoneticPr fontId="1"/>
  </si>
  <si>
    <t>不偏分散</t>
    <phoneticPr fontId="1"/>
  </si>
  <si>
    <t>2.4　実践編：平均的チキンを推定する</t>
    <phoneticPr fontId="1"/>
  </si>
  <si>
    <t>6個入りチキンの重さのデータ:サンプルサイズは8</t>
    <phoneticPr fontId="1"/>
  </si>
  <si>
    <t>信頼区間＝標本平均±t×標本標準誤差</t>
    <phoneticPr fontId="1"/>
  </si>
  <si>
    <t>標本標準誤差＝（不偏分散／サンプルサイズ）の平方根</t>
    <phoneticPr fontId="1"/>
  </si>
  <si>
    <t>標本標準誤差</t>
    <phoneticPr fontId="1"/>
  </si>
  <si>
    <t>確率95%</t>
  </si>
  <si>
    <t>確率99%</t>
  </si>
  <si>
    <t>∞</t>
  </si>
  <si>
    <t>t分布表（ハンバーガーショップより）</t>
    <phoneticPr fontId="1"/>
  </si>
  <si>
    <t>t_7_95%</t>
    <phoneticPr fontId="1"/>
  </si>
  <si>
    <t>t_7_99%</t>
    <phoneticPr fontId="1"/>
  </si>
  <si>
    <t>95%信頼区間</t>
    <rPh sb="3" eb="7">
      <t>シンライクカン</t>
    </rPh>
    <phoneticPr fontId="1"/>
  </si>
  <si>
    <t>～</t>
    <phoneticPr fontId="1"/>
  </si>
  <si>
    <t>問 1.1</t>
    <rPh sb="0" eb="1">
      <t>トイ</t>
    </rPh>
    <phoneticPr fontId="1"/>
  </si>
  <si>
    <t>年齢</t>
    <rPh sb="0" eb="2">
      <t>ネンレイ</t>
    </rPh>
    <phoneticPr fontId="1"/>
  </si>
  <si>
    <t>人数</t>
    <rPh sb="0" eb="2">
      <t>ニンズウ</t>
    </rPh>
    <phoneticPr fontId="1"/>
  </si>
  <si>
    <t>21-60</t>
    <phoneticPr fontId="1"/>
  </si>
  <si>
    <t>61-64</t>
    <phoneticPr fontId="1"/>
  </si>
  <si>
    <t>年齢範囲</t>
    <rPh sb="0" eb="2">
      <t>ネンレイ</t>
    </rPh>
    <rPh sb="2" eb="4">
      <t>ハンイ</t>
    </rPh>
    <phoneticPr fontId="1"/>
  </si>
  <si>
    <t>http://www.math.s.chiba-u.ac.jp/~yasuda/statEN2/statENSYU.html</t>
    <phoneticPr fontId="1"/>
  </si>
  <si>
    <t>「統計学演習」テキスト</t>
    <phoneticPr fontId="1"/>
  </si>
  <si>
    <t>ref:1.(4)</t>
    <phoneticPr fontId="1"/>
  </si>
  <si>
    <t>8-12</t>
    <phoneticPr fontId="1"/>
  </si>
  <si>
    <t>[8-13)</t>
    <phoneticPr fontId="1"/>
  </si>
  <si>
    <t>13-20</t>
    <phoneticPr fontId="1"/>
  </si>
  <si>
    <t>[13-21)</t>
    <phoneticPr fontId="1"/>
  </si>
  <si>
    <t>[21-61)</t>
    <phoneticPr fontId="1"/>
  </si>
  <si>
    <t>[61-65)</t>
    <phoneticPr fontId="1"/>
  </si>
  <si>
    <t>ave</t>
    <phoneticPr fontId="1"/>
  </si>
  <si>
    <t>代表値a</t>
    <rPh sb="0" eb="3">
      <t>ダイヒョウチ</t>
    </rPh>
    <phoneticPr fontId="1"/>
  </si>
  <si>
    <t>x 人数n</t>
    <rPh sb="2" eb="4">
      <t>ニンズウ</t>
    </rPh>
    <phoneticPr fontId="1"/>
  </si>
  <si>
    <t>a-ave</t>
    <phoneticPr fontId="1"/>
  </si>
  <si>
    <t>^2</t>
    <phoneticPr fontId="1"/>
  </si>
  <si>
    <t>^ 2</t>
    <phoneticPr fontId="1"/>
  </si>
  <si>
    <t>x n</t>
    <phoneticPr fontId="1"/>
  </si>
  <si>
    <t>SD</t>
    <phoneticPr fontId="1"/>
  </si>
  <si>
    <t>s^2</t>
    <phoneticPr fontId="1"/>
  </si>
  <si>
    <t>問 1.2</t>
    <rPh sb="0" eb="1">
      <t>トイ</t>
    </rPh>
    <phoneticPr fontId="1"/>
  </si>
  <si>
    <t>ref:1.(6)</t>
    <phoneticPr fontId="1"/>
  </si>
  <si>
    <t>ave</t>
    <phoneticPr fontId="1"/>
  </si>
  <si>
    <t>median</t>
    <phoneticPr fontId="1"/>
  </si>
  <si>
    <t>問 1.3</t>
    <rPh sb="0" eb="1">
      <t>トイ</t>
    </rPh>
    <phoneticPr fontId="1"/>
  </si>
  <si>
    <t>計</t>
    <rPh sb="0" eb="1">
      <t>ケイ</t>
    </rPh>
    <phoneticPr fontId="1"/>
  </si>
  <si>
    <t>値 x 度数</t>
    <rPh sb="0" eb="1">
      <t>アタイ</t>
    </rPh>
    <rPh sb="4" eb="6">
      <t>ドスウ</t>
    </rPh>
    <phoneticPr fontId="1"/>
  </si>
  <si>
    <t>a - ave</t>
    <phoneticPr fontId="1"/>
  </si>
  <si>
    <t>値a</t>
    <rPh sb="0" eb="1">
      <t>アタイ</t>
    </rPh>
    <phoneticPr fontId="1"/>
  </si>
  <si>
    <t>度数n</t>
    <rPh sb="0" eb="2">
      <t>ドスウ</t>
    </rPh>
    <phoneticPr fontId="1"/>
  </si>
  <si>
    <t>s ^ 2</t>
    <phoneticPr fontId="1"/>
  </si>
  <si>
    <t>問 1.4</t>
    <rPh sb="0" eb="1">
      <t>トイ</t>
    </rPh>
    <phoneticPr fontId="1"/>
  </si>
  <si>
    <t>A</t>
    <phoneticPr fontId="1"/>
  </si>
  <si>
    <t>B</t>
    <phoneticPr fontId="1"/>
  </si>
  <si>
    <t>n</t>
    <phoneticPr fontId="1"/>
  </si>
  <si>
    <t>A + B</t>
    <phoneticPr fontId="1"/>
  </si>
  <si>
    <t>Σx</t>
    <phoneticPr fontId="1"/>
  </si>
  <si>
    <t>Σxi ^2- n*ave^2</t>
    <phoneticPr fontId="1"/>
  </si>
  <si>
    <t>n*s^2</t>
    <phoneticPr fontId="1"/>
  </si>
  <si>
    <t>Σxi ^2</t>
    <phoneticPr fontId="1"/>
  </si>
  <si>
    <t>n*ave^2</t>
    <phoneticPr fontId="1"/>
  </si>
  <si>
    <t>x-ave</t>
    <phoneticPr fontId="1"/>
  </si>
  <si>
    <t>s^2=var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</si>
</sst>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"/>
    <numFmt numFmtId="177" formatCode="0.0"/>
    <numFmt numFmtId="178" formatCode="0.0000"/>
    <numFmt numFmtId="179" formatCode="0.00000_ "/>
    <numFmt numFmtId="180" formatCode="0.00_ "/>
    <numFmt numFmtId="181" formatCode="0_ "/>
    <numFmt numFmtId="182" formatCode="0.0000_ "/>
    <numFmt numFmtId="183" formatCode="0.0_ "/>
    <numFmt numFmtId="184" formatCode="yyyy\-mm"/>
  </numFmts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333333"/>
      <name val="メイリオ"/>
      <family val="3"/>
      <charset val="128"/>
    </font>
    <font>
      <b/>
      <sz val="10"/>
      <color rgb="FF333333"/>
      <name val="メイリオ"/>
      <family val="3"/>
      <charset val="128"/>
    </font>
    <font>
      <sz val="12"/>
      <name val="Osaka"/>
      <charset val="128"/>
    </font>
    <font>
      <sz val="6"/>
      <name val="Osaka"/>
      <family val="3"/>
      <charset val="128"/>
    </font>
    <font>
      <u/>
      <sz val="11"/>
      <color theme="1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b/>
      <sz val="11"/>
      <color rgb="FF444444"/>
      <name val="游ゴシック"/>
      <family val="3"/>
      <charset val="128"/>
    </font>
    <font>
      <sz val="10"/>
      <color rgb="FF444444"/>
      <name val="MathJax_Math-italic"/>
      <family val="2"/>
    </font>
    <font>
      <sz val="10"/>
      <color rgb="FF444444"/>
      <name val="MathJax_Main"/>
      <family val="2"/>
    </font>
    <font>
      <sz val="11"/>
      <color rgb="FF444444"/>
      <name val="游ゴシック"/>
      <family val="3"/>
      <charset val="128"/>
    </font>
    <font>
      <sz val="11"/>
      <color theme="1"/>
      <name val="Meiryo"/>
      <family val="3"/>
      <charset val="128"/>
    </font>
    <font>
      <sz val="11"/>
      <color rgb="FF666666"/>
      <name val="Meiryo"/>
      <family val="3"/>
      <charset val="128"/>
    </font>
    <font>
      <sz val="10"/>
      <color rgb="FF503C1E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1FDFF"/>
        <bgColor indexed="64"/>
      </patternFill>
    </fill>
    <fill>
      <patternFill patternType="solid">
        <fgColor rgb="FFFFD0FF"/>
        <bgColor indexed="64"/>
      </patternFill>
    </fill>
    <fill>
      <patternFill patternType="solid">
        <fgColor rgb="FFDE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7C5"/>
        <bgColor indexed="64"/>
      </patternFill>
    </fill>
    <fill>
      <patternFill patternType="solid">
        <fgColor rgb="FFE7F7DF"/>
        <bgColor indexed="64"/>
      </patternFill>
    </fill>
    <fill>
      <patternFill patternType="solid">
        <fgColor rgb="FFE7FFFF"/>
        <bgColor indexed="64"/>
      </patternFill>
    </fill>
    <fill>
      <patternFill patternType="solid">
        <fgColor rgb="FFE7DEEF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503C1E"/>
      </left>
      <right style="medium">
        <color rgb="FF503C1E"/>
      </right>
      <top style="medium">
        <color rgb="FF503C1E"/>
      </top>
      <bottom style="medium">
        <color rgb="FF503C1E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vertical="center"/>
    </xf>
    <xf numFmtId="178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left" vertical="center" wrapText="1" indent="1"/>
    </xf>
    <xf numFmtId="0" fontId="0" fillId="0" borderId="0" xfId="0" applyNumberFormat="1"/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177" fontId="2" fillId="2" borderId="1" xfId="0" applyNumberFormat="1" applyFont="1" applyFill="1" applyBorder="1" applyAlignment="1">
      <alignment vertical="center" wrapText="1"/>
    </xf>
    <xf numFmtId="179" fontId="0" fillId="0" borderId="0" xfId="0" applyNumberFormat="1"/>
    <xf numFmtId="180" fontId="0" fillId="0" borderId="0" xfId="0" applyNumberFormat="1"/>
    <xf numFmtId="0" fontId="0" fillId="0" borderId="0" xfId="0" applyAlignment="1"/>
    <xf numFmtId="0" fontId="4" fillId="7" borderId="0" xfId="1" applyFill="1" applyAlignment="1">
      <alignment horizontal="center"/>
    </xf>
    <xf numFmtId="0" fontId="4" fillId="8" borderId="0" xfId="1" applyFill="1" applyAlignment="1">
      <alignment horizontal="center"/>
    </xf>
    <xf numFmtId="0" fontId="4" fillId="0" borderId="0" xfId="1"/>
    <xf numFmtId="0" fontId="4" fillId="9" borderId="0" xfId="1" applyFill="1" applyAlignment="1">
      <alignment horizontal="center"/>
    </xf>
    <xf numFmtId="0" fontId="4" fillId="10" borderId="0" xfId="1" applyFill="1" applyAlignment="1">
      <alignment horizontal="center"/>
    </xf>
    <xf numFmtId="0" fontId="6" fillId="0" borderId="0" xfId="2"/>
    <xf numFmtId="0" fontId="4" fillId="0" borderId="0" xfId="1" applyFill="1" applyAlignment="1">
      <alignment horizontal="center"/>
    </xf>
    <xf numFmtId="0" fontId="0" fillId="11" borderId="0" xfId="0" applyFill="1"/>
    <xf numFmtId="0" fontId="0" fillId="0" borderId="0" xfId="0" applyFill="1"/>
    <xf numFmtId="0" fontId="0" fillId="12" borderId="0" xfId="0" applyFill="1"/>
    <xf numFmtId="18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8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182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/>
    <xf numFmtId="0" fontId="8" fillId="13" borderId="6" xfId="0" applyFont="1" applyFill="1" applyBorder="1" applyAlignment="1">
      <alignment horizontal="left" vertical="center" wrapText="1"/>
    </xf>
    <xf numFmtId="0" fontId="9" fillId="13" borderId="6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top" wrapText="1"/>
    </xf>
    <xf numFmtId="0" fontId="11" fillId="14" borderId="7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2" fillId="1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9" xfId="0" applyBorder="1"/>
    <xf numFmtId="0" fontId="12" fillId="15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2" fontId="0" fillId="0" borderId="10" xfId="0" applyNumberFormat="1" applyBorder="1"/>
    <xf numFmtId="183" fontId="0" fillId="0" borderId="0" xfId="0" applyNumberFormat="1"/>
    <xf numFmtId="0" fontId="12" fillId="16" borderId="8" xfId="0" applyFont="1" applyFill="1" applyBorder="1" applyAlignment="1">
      <alignment horizontal="center" vertical="center" wrapText="1"/>
    </xf>
    <xf numFmtId="0" fontId="12" fillId="17" borderId="8" xfId="0" applyFont="1" applyFill="1" applyBorder="1" applyAlignment="1">
      <alignment horizontal="right" vertical="center" wrapText="1"/>
    </xf>
    <xf numFmtId="0" fontId="12" fillId="15" borderId="8" xfId="0" applyFont="1" applyFill="1" applyBorder="1" applyAlignment="1">
      <alignment horizontal="right" vertical="center" wrapText="1"/>
    </xf>
    <xf numFmtId="0" fontId="12" fillId="0" borderId="8" xfId="0" applyFont="1" applyBorder="1" applyAlignment="1">
      <alignment horizontal="right" vertical="center" wrapText="1"/>
    </xf>
    <xf numFmtId="0" fontId="12" fillId="18" borderId="8" xfId="0" applyFont="1" applyFill="1" applyBorder="1" applyAlignment="1">
      <alignment horizontal="right" vertical="center" wrapText="1"/>
    </xf>
    <xf numFmtId="0" fontId="13" fillId="0" borderId="11" xfId="0" applyFont="1" applyBorder="1" applyAlignment="1">
      <alignment vertic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9" borderId="0" xfId="0" applyFill="1"/>
    <xf numFmtId="0" fontId="14" fillId="20" borderId="14" xfId="0" applyFont="1" applyFill="1" applyBorder="1" applyAlignment="1">
      <alignment horizontal="right" vertical="top" wrapText="1"/>
    </xf>
    <xf numFmtId="0" fontId="14" fillId="21" borderId="14" xfId="0" applyFont="1" applyFill="1" applyBorder="1" applyAlignment="1">
      <alignment horizontal="right" vertical="top" wrapText="1"/>
    </xf>
    <xf numFmtId="0" fontId="14" fillId="22" borderId="14" xfId="0" applyFont="1" applyFill="1" applyBorder="1" applyAlignment="1">
      <alignment horizontal="right" vertical="top" wrapText="1"/>
    </xf>
    <xf numFmtId="0" fontId="14" fillId="23" borderId="14" xfId="0" applyFont="1" applyFill="1" applyBorder="1" applyAlignment="1">
      <alignment horizontal="right" vertical="top" wrapText="1"/>
    </xf>
    <xf numFmtId="0" fontId="14" fillId="24" borderId="14" xfId="0" applyFont="1" applyFill="1" applyBorder="1" applyAlignment="1">
      <alignment horizontal="right" vertical="top" wrapText="1"/>
    </xf>
    <xf numFmtId="3" fontId="14" fillId="22" borderId="14" xfId="0" applyNumberFormat="1" applyFont="1" applyFill="1" applyBorder="1" applyAlignment="1">
      <alignment horizontal="right" vertical="top" wrapText="1"/>
    </xf>
    <xf numFmtId="3" fontId="14" fillId="23" borderId="14" xfId="0" applyNumberFormat="1" applyFont="1" applyFill="1" applyBorder="1" applyAlignment="1">
      <alignment horizontal="right" vertical="top" wrapText="1"/>
    </xf>
    <xf numFmtId="3" fontId="14" fillId="21" borderId="14" xfId="0" applyNumberFormat="1" applyFont="1" applyFill="1" applyBorder="1" applyAlignment="1">
      <alignment horizontal="right" vertical="top" wrapText="1"/>
    </xf>
    <xf numFmtId="3" fontId="14" fillId="20" borderId="14" xfId="0" applyNumberFormat="1" applyFont="1" applyFill="1" applyBorder="1" applyAlignment="1">
      <alignment horizontal="right" vertical="top" wrapText="1"/>
    </xf>
    <xf numFmtId="3" fontId="14" fillId="24" borderId="14" xfId="0" applyNumberFormat="1" applyFont="1" applyFill="1" applyBorder="1" applyAlignment="1">
      <alignment horizontal="right" vertical="top" wrapText="1"/>
    </xf>
    <xf numFmtId="184" fontId="14" fillId="2" borderId="14" xfId="0" applyNumberFormat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0" xfId="2" applyAlignment="1">
      <alignment horizontal="left"/>
    </xf>
  </cellXfs>
  <cellStyles count="3">
    <cellStyle name="ハイパーリンク" xfId="2" builtinId="8"/>
    <cellStyle name="標準" xfId="0" builtinId="0"/>
    <cellStyle name="標準 2" xfId="1" xr:uid="{FC2153BD-6743-4B0D-AD73-3D815BC350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toi43U!$B$5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toi43U!$C$4:$F$4</c:f>
              <c:strCache>
                <c:ptCount val="4"/>
                <c:pt idx="0">
                  <c:v>8-12</c:v>
                </c:pt>
                <c:pt idx="1">
                  <c:v>13-20</c:v>
                </c:pt>
                <c:pt idx="2">
                  <c:v>21-60</c:v>
                </c:pt>
                <c:pt idx="3">
                  <c:v>61-64</c:v>
                </c:pt>
              </c:strCache>
            </c:strRef>
          </c:cat>
          <c:val>
            <c:numRef>
              <c:f>toi43U!$C$5:$F$5</c:f>
              <c:numCache>
                <c:formatCode>General</c:formatCode>
                <c:ptCount val="4"/>
                <c:pt idx="0">
                  <c:v>9</c:v>
                </c:pt>
                <c:pt idx="1">
                  <c:v>22</c:v>
                </c:pt>
                <c:pt idx="2">
                  <c:v>35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7-4ADF-A566-A69287E6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47640"/>
        <c:axId val="584349936"/>
      </c:barChart>
      <c:catAx>
        <c:axId val="58434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349936"/>
        <c:crosses val="autoZero"/>
        <c:auto val="1"/>
        <c:lblAlgn val="ctr"/>
        <c:lblOffset val="100"/>
        <c:noMultiLvlLbl val="0"/>
      </c:catAx>
      <c:valAx>
        <c:axId val="5843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34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toi43U!$B$28</c:f>
              <c:strCache>
                <c:ptCount val="1"/>
                <c:pt idx="0">
                  <c:v>度数n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toi43U!$C$27:$G$27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</c:numCache>
            </c:numRef>
          </c:cat>
          <c:val>
            <c:numRef>
              <c:f>toi43U!$C$28:$G$28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CE-4BC4-A4C7-96BAB5A4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47640"/>
        <c:axId val="584349936"/>
      </c:barChart>
      <c:catAx>
        <c:axId val="58434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349936"/>
        <c:crosses val="autoZero"/>
        <c:auto val="1"/>
        <c:lblAlgn val="ctr"/>
        <c:lblOffset val="100"/>
        <c:noMultiLvlLbl val="0"/>
      </c:catAx>
      <c:valAx>
        <c:axId val="5843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34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note!$B$3:$B$9</c:f>
              <c:numCache>
                <c:formatCode>General</c:formatCode>
                <c:ptCount val="7"/>
                <c:pt idx="0">
                  <c:v>147</c:v>
                </c:pt>
                <c:pt idx="1">
                  <c:v>56</c:v>
                </c:pt>
                <c:pt idx="2">
                  <c:v>49</c:v>
                </c:pt>
                <c:pt idx="3">
                  <c:v>76</c:v>
                </c:pt>
                <c:pt idx="4">
                  <c:v>56</c:v>
                </c:pt>
                <c:pt idx="5">
                  <c:v>49</c:v>
                </c:pt>
                <c:pt idx="6">
                  <c:v>94</c:v>
                </c:pt>
              </c:numCache>
            </c:numRef>
          </c:xVal>
          <c:yVal>
            <c:numRef>
              <c:f>note!$C$3:$C$9</c:f>
              <c:numCache>
                <c:formatCode>General</c:formatCode>
                <c:ptCount val="7"/>
                <c:pt idx="0">
                  <c:v>2.9</c:v>
                </c:pt>
                <c:pt idx="1">
                  <c:v>6.7</c:v>
                </c:pt>
                <c:pt idx="2">
                  <c:v>3.5</c:v>
                </c:pt>
                <c:pt idx="3">
                  <c:v>4.2</c:v>
                </c:pt>
                <c:pt idx="4">
                  <c:v>4.8</c:v>
                </c:pt>
                <c:pt idx="5">
                  <c:v>4.4000000000000004</c:v>
                </c:pt>
                <c:pt idx="6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8-4B61-8532-E7672415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21824"/>
        <c:axId val="582821168"/>
      </c:scatterChart>
      <c:valAx>
        <c:axId val="5828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821168"/>
        <c:crosses val="autoZero"/>
        <c:crossBetween val="midCat"/>
      </c:valAx>
      <c:valAx>
        <c:axId val="5828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8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ワクワク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ワクワク</a:t>
          </a:r>
        </a:p>
      </cx:txPr>
    </cx:title>
    <cx:plotArea>
      <cx:plotAreaRegion>
        <cx:series layoutId="clusteredColumn" uniqueId="{94EE991F-974D-4EB3-8E3C-7F373598BF41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C3B1809-5EBE-4188-A3F2-01BE59BA4050}">
          <cx:dataId val="0"/>
          <cx:layoutPr>
            <cx:binning intervalClosed="r" underflow="3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もぐもぐ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もぐもぐ</a:t>
          </a:r>
        </a:p>
      </cx:txPr>
    </cx:title>
    <cx:plotArea>
      <cx:plotAreaRegion>
        <cx:series layoutId="clusteredColumn" uniqueId="{82F4A8BB-77B3-46B7-8241-8595F6AE9281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375138</xdr:colOff>
      <xdr:row>5</xdr:row>
      <xdr:rowOff>99647</xdr:rowOff>
    </xdr:from>
    <xdr:to>
      <xdr:col>8</xdr:col>
      <xdr:colOff>30773</xdr:colOff>
      <xdr:row>13</xdr:row>
      <xdr:rowOff>38101</xdr:rowOff>
    </xdr:to>
    <xdr:pic>
      <xdr:nvPicPr>
        <xdr:cNvPr id="5" name="図 4" descr="図1">
          <a:extLst>
            <a:ext uri="{FF2B5EF4-FFF2-40B4-BE49-F238E27FC236}">
              <a16:creationId xmlns:a16="http://schemas.microsoft.com/office/drawing/2014/main" id="{F25E5956-D546-45AD-8D46-F9A050E68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0123" y="1225062"/>
          <a:ext cx="2996712" cy="18082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6</xdr:col>
      <xdr:colOff>357554</xdr:colOff>
      <xdr:row>17</xdr:row>
      <xdr:rowOff>85609</xdr:rowOff>
    </xdr:to>
    <xdr:pic>
      <xdr:nvPicPr>
        <xdr:cNvPr id="7" name="図 6" descr=" \displaystyle -1.96 \leq \frac{\overline{x}-\mu}{\sqrt{\frac{\sigma^{2}}{n}}}  \leq 1.96 ">
          <a:extLst>
            <a:ext uri="{FF2B5EF4-FFF2-40B4-BE49-F238E27FC236}">
              <a16:creationId xmlns:a16="http://schemas.microsoft.com/office/drawing/2014/main" id="{F1874FB0-A561-4F1C-BB05-E7E566B53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52446"/>
          <a:ext cx="1693985" cy="542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EFCD48-4494-4BBE-8785-826CE6EA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BF27F3-1516-4833-A282-53378745B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461010</xdr:colOff>
      <xdr:row>2</xdr:row>
      <xdr:rowOff>137160</xdr:rowOff>
    </xdr:from>
    <xdr:to>
      <xdr:col>7</xdr:col>
      <xdr:colOff>339090</xdr:colOff>
      <xdr:row>14</xdr:row>
      <xdr:rowOff>137160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60B04F-ABBA-A0A3-DCFC-A99343E7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165335</xdr:colOff>
      <xdr:row>4</xdr:row>
      <xdr:rowOff>53789</xdr:rowOff>
    </xdr:from>
    <xdr:to>
      <xdr:col>10</xdr:col>
      <xdr:colOff>443847</xdr:colOff>
      <xdr:row>13</xdr:row>
      <xdr:rowOff>152401</xdr:rowOff>
    </xdr:to>
    <xdr:pic>
      <xdr:nvPicPr>
        <xdr:cNvPr id="4" name="図 3" descr="図1">
          <a:extLst>
            <a:ext uri="{FF2B5EF4-FFF2-40B4-BE49-F238E27FC236}">
              <a16:creationId xmlns:a16="http://schemas.microsoft.com/office/drawing/2014/main" id="{97D456FD-4C02-45CF-BF27-0C7A5B5D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5006" y="1174377"/>
          <a:ext cx="3640276" cy="2196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251011</xdr:colOff>
      <xdr:row>15</xdr:row>
      <xdr:rowOff>17930</xdr:rowOff>
    </xdr:from>
    <xdr:to>
      <xdr:col>6</xdr:col>
      <xdr:colOff>647251</xdr:colOff>
      <xdr:row>18</xdr:row>
      <xdr:rowOff>94130</xdr:rowOff>
    </xdr:to>
    <xdr:pic>
      <xdr:nvPicPr>
        <xdr:cNvPr id="5" name="図 4" descr=" \displaystyle t=\frac{\overline{x}-\mu}{\sqrt{\frac{s^{2}}{n}}} ">
          <a:extLst>
            <a:ext uri="{FF2B5EF4-FFF2-40B4-BE49-F238E27FC236}">
              <a16:creationId xmlns:a16="http://schemas.microsoft.com/office/drawing/2014/main" id="{0066668D-56BF-4551-B31A-F1C5DB403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0682" y="3702424"/>
          <a:ext cx="1068593" cy="775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421342</xdr:colOff>
      <xdr:row>16</xdr:row>
      <xdr:rowOff>1</xdr:rowOff>
    </xdr:from>
    <xdr:to>
      <xdr:col>17</xdr:col>
      <xdr:colOff>198569</xdr:colOff>
      <xdr:row>18</xdr:row>
      <xdr:rowOff>152401</xdr:rowOff>
    </xdr:to>
    <xdr:pic>
      <xdr:nvPicPr>
        <xdr:cNvPr id="6" name="図 5" descr=" \displaystyle \overline{x}-t_{\alpha/2}(n-1) \times \sqrt{\frac{s^{2}}{n}} \leq \mu  \leq \overline{x}+t_{\alpha/2}(n-1) \times \sqrt{\frac{s^{2}}{n}} ">
          <a:extLst>
            <a:ext uri="{FF2B5EF4-FFF2-40B4-BE49-F238E27FC236}">
              <a16:creationId xmlns:a16="http://schemas.microsoft.com/office/drawing/2014/main" id="{00D6E661-720A-495E-8A17-B9CDD43D2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8071" y="3917577"/>
          <a:ext cx="5828404" cy="618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16</xdr:col>
      <xdr:colOff>441960</xdr:colOff>
      <xdr:row>31</xdr:row>
      <xdr:rowOff>152400</xdr:rowOff>
    </xdr:to>
    <xdr:pic>
      <xdr:nvPicPr>
        <xdr:cNvPr id="7" name="図 6" descr=" \displaystyle s_{p}^{2}=\frac{(n_{1}-1)s_{1}^{2}+(n_{2}-1)s_{2}^{2}}{n_{1}+n_{2}-2} ">
          <a:extLst>
            <a:ext uri="{FF2B5EF4-FFF2-40B4-BE49-F238E27FC236}">
              <a16:creationId xmlns:a16="http://schemas.microsoft.com/office/drawing/2014/main" id="{1B728D0E-E59D-4FD6-87B4-0828D9053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6141" y="6947647"/>
          <a:ext cx="3131372" cy="618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21</xdr:col>
      <xdr:colOff>106680</xdr:colOff>
      <xdr:row>27</xdr:row>
      <xdr:rowOff>60960</xdr:rowOff>
    </xdr:to>
    <xdr:pic>
      <xdr:nvPicPr>
        <xdr:cNvPr id="8" name="図 7" descr=" \displaystyle \overline{x}_{d}-t_{\alpha/2}(n-1) \times \sqrt{\frac{s_{d}^{2}}{n}} \leq \mu_{d}  \leq \overline{x}_{d}+t_{\alpha/2}(n-1) \times \sqrt{\frac{s_{d}^{2}}{n}} ">
          <a:extLst>
            <a:ext uri="{FF2B5EF4-FFF2-40B4-BE49-F238E27FC236}">
              <a16:creationId xmlns:a16="http://schemas.microsoft.com/office/drawing/2014/main" id="{BE200CFB-F377-4FFA-B0A4-E28F94E4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8660" y="5760720"/>
          <a:ext cx="614172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24</xdr:col>
      <xdr:colOff>190500</xdr:colOff>
      <xdr:row>38</xdr:row>
      <xdr:rowOff>175260</xdr:rowOff>
    </xdr:to>
    <xdr:pic>
      <xdr:nvPicPr>
        <xdr:cNvPr id="10" name="図 9" descr=" \displaystyle (\overline{x}_{1}-\overline{x}_{2})-t_{\alpha/2}(n_{1}+n_{2}-2) \times \sqrt{s_{p}^{2}\left(\frac{1}{n_{1}}+\frac{1}{n_{2}}\right)} \leq \mu_{1}-\mu_{2}  \leq (\overline{x}_{1}-\overline{x}_{2})+t_{\alpha/2}(n_{1}+n_{2}-2) \times \sqrt{s_{p}^{2}\left(\frac{1}{n_{1}}+\frac{1}{n_{2}}\right)} ">
          <a:extLst>
            <a:ext uri="{FF2B5EF4-FFF2-40B4-BE49-F238E27FC236}">
              <a16:creationId xmlns:a16="http://schemas.microsoft.com/office/drawing/2014/main" id="{1007C3A1-9B3C-4A7E-B5BF-712B6701D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8660" y="7635240"/>
          <a:ext cx="8237220" cy="154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182880</xdr:colOff>
      <xdr:row>10</xdr:row>
      <xdr:rowOff>30480</xdr:rowOff>
    </xdr:from>
    <xdr:to>
      <xdr:col>8</xdr:col>
      <xdr:colOff>228600</xdr:colOff>
      <xdr:row>13</xdr:row>
      <xdr:rowOff>99060</xdr:rowOff>
    </xdr:to>
    <xdr:pic>
      <xdr:nvPicPr>
        <xdr:cNvPr id="3" name="図 2" descr=" \displaystyle t=\frac{\overline{x}-\mu}{\sqrt{\frac{s^{2}}{n}}}=\frac{\overline{x}-\mu}{\frac{s}{\sqrt{n}}} ">
          <a:extLst>
            <a:ext uri="{FF2B5EF4-FFF2-40B4-BE49-F238E27FC236}">
              <a16:creationId xmlns:a16="http://schemas.microsoft.com/office/drawing/2014/main" id="{15C37A7C-16A0-4C20-A2E8-B5CD1B7DB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" y="2392680"/>
          <a:ext cx="20574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11</xdr:col>
      <xdr:colOff>373380</xdr:colOff>
      <xdr:row>42</xdr:row>
      <xdr:rowOff>220980</xdr:rowOff>
    </xdr:to>
    <xdr:pic>
      <xdr:nvPicPr>
        <xdr:cNvPr id="4" name="図 3" descr=" \displaystyle t=\frac{\overline{x}_{1}-\overline{x}_{2}}{\sqrt{s^{2}\left(\frac{1}{n_{1}}+\frac{1}{n_{2}}\right)}}=\frac{\overline{x}_{1}-\overline{x}_{2}}{s\sqrt{\frac{1}{n_{1}}+\frac{1}{n_{2}}}} ">
          <a:extLst>
            <a:ext uri="{FF2B5EF4-FFF2-40B4-BE49-F238E27FC236}">
              <a16:creationId xmlns:a16="http://schemas.microsoft.com/office/drawing/2014/main" id="{9E3E0DC0-047E-45BC-A9F0-68331CB94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044940"/>
          <a:ext cx="372618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10</xdr:col>
      <xdr:colOff>449132</xdr:colOff>
      <xdr:row>37</xdr:row>
      <xdr:rowOff>146125</xdr:rowOff>
    </xdr:to>
    <xdr:pic>
      <xdr:nvPicPr>
        <xdr:cNvPr id="5" name="図 4" descr=" \displaystyle s_{p}^{2}=\frac{(n_{1}-1)s_{1}^{2}+(n_{2}-1)s_{2}^{2}}{n_{1}+n_{2}-2} ">
          <a:extLst>
            <a:ext uri="{FF2B5EF4-FFF2-40B4-BE49-F238E27FC236}">
              <a16:creationId xmlns:a16="http://schemas.microsoft.com/office/drawing/2014/main" id="{62F75A25-F1D1-4D7F-A340-1425CEB17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115300"/>
          <a:ext cx="3131372" cy="618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13</xdr:col>
      <xdr:colOff>563880</xdr:colOff>
      <xdr:row>5</xdr:row>
      <xdr:rowOff>152400</xdr:rowOff>
    </xdr:to>
    <xdr:pic>
      <xdr:nvPicPr>
        <xdr:cNvPr id="3" name="図 2" descr=" \displaystyle \widehat{p}-z_{\frac{\alpha}{2}} \times \sqrt{\frac{\widehat{p}(1-\widehat{p})}{n}} \leq p \leq \widehat{p} + z_{\frac{\alpha}{2}} \times \sqrt{\frac{\widehat{p}(1-\widehat{p})}{n}}  ">
          <a:extLst>
            <a:ext uri="{FF2B5EF4-FFF2-40B4-BE49-F238E27FC236}">
              <a16:creationId xmlns:a16="http://schemas.microsoft.com/office/drawing/2014/main" id="{ED4CA9D4-CB73-46B9-AEED-91CD15DDB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685800"/>
          <a:ext cx="5257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53340</xdr:rowOff>
    </xdr:from>
    <xdr:to>
      <xdr:col>4</xdr:col>
      <xdr:colOff>510540</xdr:colOff>
      <xdr:row>5</xdr:row>
      <xdr:rowOff>0</xdr:rowOff>
    </xdr:to>
    <xdr:pic>
      <xdr:nvPicPr>
        <xdr:cNvPr id="4" name="図 3" descr="(1-\alpha)(=100(1-\alpha)\%)">
          <a:extLst>
            <a:ext uri="{FF2B5EF4-FFF2-40B4-BE49-F238E27FC236}">
              <a16:creationId xmlns:a16="http://schemas.microsoft.com/office/drawing/2014/main" id="{37E09530-7DEE-484D-B203-B4D9069CD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967740"/>
          <a:ext cx="18516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327660</xdr:colOff>
      <xdr:row>5</xdr:row>
      <xdr:rowOff>45720</xdr:rowOff>
    </xdr:from>
    <xdr:to>
      <xdr:col>0</xdr:col>
      <xdr:colOff>518160</xdr:colOff>
      <xdr:row>5</xdr:row>
      <xdr:rowOff>205740</xdr:rowOff>
    </xdr:to>
    <xdr:pic>
      <xdr:nvPicPr>
        <xdr:cNvPr id="5" name="図 4" descr="\displaystyle z_{\frac{\alpha}{2}}">
          <a:extLst>
            <a:ext uri="{FF2B5EF4-FFF2-40B4-BE49-F238E27FC236}">
              <a16:creationId xmlns:a16="http://schemas.microsoft.com/office/drawing/2014/main" id="{78E19222-B044-46D2-B680-3E2F1DF68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1887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327660</xdr:colOff>
      <xdr:row>16</xdr:row>
      <xdr:rowOff>45720</xdr:rowOff>
    </xdr:from>
    <xdr:ext cx="190500" cy="160020"/>
    <xdr:pic>
      <xdr:nvPicPr>
        <xdr:cNvPr id="6" name="図 5" descr="\displaystyle z_{\frac{\alpha}{2}}">
          <a:extLst>
            <a:ext uri="{FF2B5EF4-FFF2-40B4-BE49-F238E27FC236}">
              <a16:creationId xmlns:a16="http://schemas.microsoft.com/office/drawing/2014/main" id="{D2391106-1D8F-4DFA-A6E4-11F3A036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1887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327660</xdr:colOff>
      <xdr:row>26</xdr:row>
      <xdr:rowOff>45720</xdr:rowOff>
    </xdr:from>
    <xdr:ext cx="190500" cy="160020"/>
    <xdr:pic>
      <xdr:nvPicPr>
        <xdr:cNvPr id="7" name="図 6" descr="\displaystyle z_{\frac{\alpha}{2}}">
          <a:extLst>
            <a:ext uri="{FF2B5EF4-FFF2-40B4-BE49-F238E27FC236}">
              <a16:creationId xmlns:a16="http://schemas.microsoft.com/office/drawing/2014/main" id="{88195AEC-8F5D-4574-B44D-1B213859D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37033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327660</xdr:colOff>
      <xdr:row>36</xdr:row>
      <xdr:rowOff>45720</xdr:rowOff>
    </xdr:from>
    <xdr:ext cx="190500" cy="160020"/>
    <xdr:pic>
      <xdr:nvPicPr>
        <xdr:cNvPr id="8" name="図 7" descr="\displaystyle z_{\frac{\alpha}{2}}">
          <a:extLst>
            <a:ext uri="{FF2B5EF4-FFF2-40B4-BE49-F238E27FC236}">
              <a16:creationId xmlns:a16="http://schemas.microsoft.com/office/drawing/2014/main" id="{00C63B9D-94B0-493F-8F81-A9811DD0C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59893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327660</xdr:colOff>
      <xdr:row>46</xdr:row>
      <xdr:rowOff>45720</xdr:rowOff>
    </xdr:from>
    <xdr:ext cx="190500" cy="160020"/>
    <xdr:pic>
      <xdr:nvPicPr>
        <xdr:cNvPr id="9" name="図 8" descr="\displaystyle z_{\frac{\alpha}{2}}">
          <a:extLst>
            <a:ext uri="{FF2B5EF4-FFF2-40B4-BE49-F238E27FC236}">
              <a16:creationId xmlns:a16="http://schemas.microsoft.com/office/drawing/2014/main" id="{3C3120C0-7C0B-42DE-9EF0-A5D6FE2BA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827532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30480</xdr:colOff>
      <xdr:row>8</xdr:row>
      <xdr:rowOff>152400</xdr:rowOff>
    </xdr:to>
    <xdr:pic>
      <xdr:nvPicPr>
        <xdr:cNvPr id="2" name="図 1" descr="\vdots">
          <a:extLst>
            <a:ext uri="{FF2B5EF4-FFF2-40B4-BE49-F238E27FC236}">
              <a16:creationId xmlns:a16="http://schemas.microsoft.com/office/drawing/2014/main" id="{E62E8C0D-883B-448D-BA04-0BF7DCFE1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</xdr:colOff>
      <xdr:row>8</xdr:row>
      <xdr:rowOff>152400</xdr:rowOff>
    </xdr:to>
    <xdr:pic>
      <xdr:nvPicPr>
        <xdr:cNvPr id="3" name="図 2" descr="\vdots">
          <a:extLst>
            <a:ext uri="{FF2B5EF4-FFF2-40B4-BE49-F238E27FC236}">
              <a16:creationId xmlns:a16="http://schemas.microsoft.com/office/drawing/2014/main" id="{7E9AA916-E968-4BE3-8E3C-3EDF02167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</xdr:colOff>
      <xdr:row>8</xdr:row>
      <xdr:rowOff>152400</xdr:rowOff>
    </xdr:to>
    <xdr:pic>
      <xdr:nvPicPr>
        <xdr:cNvPr id="4" name="図 3" descr="\vdots">
          <a:extLst>
            <a:ext uri="{FF2B5EF4-FFF2-40B4-BE49-F238E27FC236}">
              <a16:creationId xmlns:a16="http://schemas.microsoft.com/office/drawing/2014/main" id="{C5E5E27B-2702-4186-82ED-02DE2DE43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</xdr:colOff>
      <xdr:row>8</xdr:row>
      <xdr:rowOff>152400</xdr:rowOff>
    </xdr:to>
    <xdr:pic>
      <xdr:nvPicPr>
        <xdr:cNvPr id="5" name="図 4" descr="\vdots">
          <a:extLst>
            <a:ext uri="{FF2B5EF4-FFF2-40B4-BE49-F238E27FC236}">
              <a16:creationId xmlns:a16="http://schemas.microsoft.com/office/drawing/2014/main" id="{6862F9D1-CB36-4F70-B959-DC11BBEEE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</xdr:colOff>
      <xdr:row>8</xdr:row>
      <xdr:rowOff>152400</xdr:rowOff>
    </xdr:to>
    <xdr:pic>
      <xdr:nvPicPr>
        <xdr:cNvPr id="6" name="図 5" descr="\vdots">
          <a:extLst>
            <a:ext uri="{FF2B5EF4-FFF2-40B4-BE49-F238E27FC236}">
              <a16:creationId xmlns:a16="http://schemas.microsoft.com/office/drawing/2014/main" id="{16001DA6-937E-4B3A-AF9C-F621572B7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</xdr:colOff>
      <xdr:row>8</xdr:row>
      <xdr:rowOff>152400</xdr:rowOff>
    </xdr:to>
    <xdr:pic>
      <xdr:nvPicPr>
        <xdr:cNvPr id="7" name="図 6" descr="\vdots">
          <a:extLst>
            <a:ext uri="{FF2B5EF4-FFF2-40B4-BE49-F238E27FC236}">
              <a16:creationId xmlns:a16="http://schemas.microsoft.com/office/drawing/2014/main" id="{6EA0E97E-E0B4-4DAE-8625-47F2E41A2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</xdr:colOff>
      <xdr:row>8</xdr:row>
      <xdr:rowOff>152400</xdr:rowOff>
    </xdr:to>
    <xdr:pic>
      <xdr:nvPicPr>
        <xdr:cNvPr id="8" name="図 7" descr="\vdots">
          <a:extLst>
            <a:ext uri="{FF2B5EF4-FFF2-40B4-BE49-F238E27FC236}">
              <a16:creationId xmlns:a16="http://schemas.microsoft.com/office/drawing/2014/main" id="{3EA28242-8E28-40EE-89BC-06BBC6888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36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</xdr:colOff>
      <xdr:row>8</xdr:row>
      <xdr:rowOff>152400</xdr:rowOff>
    </xdr:to>
    <xdr:pic>
      <xdr:nvPicPr>
        <xdr:cNvPr id="9" name="図 8" descr="\vdots">
          <a:extLst>
            <a:ext uri="{FF2B5EF4-FFF2-40B4-BE49-F238E27FC236}">
              <a16:creationId xmlns:a16="http://schemas.microsoft.com/office/drawing/2014/main" id="{C3AEA5CC-B5C6-44BC-8254-48FC63ED2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</xdr:colOff>
      <xdr:row>8</xdr:row>
      <xdr:rowOff>152400</xdr:rowOff>
    </xdr:to>
    <xdr:pic>
      <xdr:nvPicPr>
        <xdr:cNvPr id="10" name="図 9" descr="\vdots">
          <a:extLst>
            <a:ext uri="{FF2B5EF4-FFF2-40B4-BE49-F238E27FC236}">
              <a16:creationId xmlns:a16="http://schemas.microsoft.com/office/drawing/2014/main" id="{96B76E90-AFFE-4E2D-91C2-1ECBD9973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448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</xdr:colOff>
      <xdr:row>8</xdr:row>
      <xdr:rowOff>152400</xdr:rowOff>
    </xdr:to>
    <xdr:pic>
      <xdr:nvPicPr>
        <xdr:cNvPr id="11" name="図 10" descr="\vdots">
          <a:extLst>
            <a:ext uri="{FF2B5EF4-FFF2-40B4-BE49-F238E27FC236}">
              <a16:creationId xmlns:a16="http://schemas.microsoft.com/office/drawing/2014/main" id="{04E14261-DEE2-4099-A765-D16F1FE99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4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</xdr:colOff>
      <xdr:row>8</xdr:row>
      <xdr:rowOff>152400</xdr:rowOff>
    </xdr:to>
    <xdr:pic>
      <xdr:nvPicPr>
        <xdr:cNvPr id="12" name="図 11" descr="\vdots">
          <a:extLst>
            <a:ext uri="{FF2B5EF4-FFF2-40B4-BE49-F238E27FC236}">
              <a16:creationId xmlns:a16="http://schemas.microsoft.com/office/drawing/2014/main" id="{10B76DEF-05F6-4463-B9B1-E468FE7F3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53540"/>
          <a:ext cx="304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7</xdr:col>
      <xdr:colOff>182880</xdr:colOff>
      <xdr:row>3</xdr:row>
      <xdr:rowOff>182880</xdr:rowOff>
    </xdr:to>
    <xdr:pic>
      <xdr:nvPicPr>
        <xdr:cNvPr id="5" name="図 4" descr=" \displaystyle F=\frac{\chi_{1}^{2} / k_{1} }{\chi_{2}^{2} / k_{2}}=\frac{s_{1}^{2} / \sigma_{1}^{2}}{s_{2}^{2} / \sigma_{2}^{2}} ">
          <a:extLst>
            <a:ext uri="{FF2B5EF4-FFF2-40B4-BE49-F238E27FC236}">
              <a16:creationId xmlns:a16="http://schemas.microsoft.com/office/drawing/2014/main" id="{1E615660-96FB-4C5E-8DDB-1F512CC3F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228600"/>
          <a:ext cx="219456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8</xdr:col>
      <xdr:colOff>121920</xdr:colOff>
      <xdr:row>7</xdr:row>
      <xdr:rowOff>182880</xdr:rowOff>
    </xdr:to>
    <xdr:pic>
      <xdr:nvPicPr>
        <xdr:cNvPr id="6" name="図 5" descr=" \displaystyle F=\frac{\chi_{1}^{2}  / k_{1} }{\chi_{2}^{2}  / k_{2}}=\frac{s_{1}^{2} / \sigma_{1}^{2}}{s_{2}^{2} / \sigma_{2}^{2}} = \frac{s_{1}^{2}}{s_{2}^{2}} ">
          <a:extLst>
            <a:ext uri="{FF2B5EF4-FFF2-40B4-BE49-F238E27FC236}">
              <a16:creationId xmlns:a16="http://schemas.microsoft.com/office/drawing/2014/main" id="{3128C41E-341D-4337-A203-53546B803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" y="1143000"/>
          <a:ext cx="280416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7</xdr:col>
      <xdr:colOff>114300</xdr:colOff>
      <xdr:row>13</xdr:row>
      <xdr:rowOff>7620</xdr:rowOff>
    </xdr:to>
    <xdr:pic>
      <xdr:nvPicPr>
        <xdr:cNvPr id="7" name="図 6" descr=" \displaystyle  \nu ^2 =\frac{n}{n-1} \sigma ^2  ">
          <a:extLst>
            <a:ext uri="{FF2B5EF4-FFF2-40B4-BE49-F238E27FC236}">
              <a16:creationId xmlns:a16="http://schemas.microsoft.com/office/drawing/2014/main" id="{2C320E01-E8E7-4CFE-AAC3-4EC1ED5C1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" y="2514600"/>
          <a:ext cx="145542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175260</xdr:rowOff>
    </xdr:from>
    <xdr:to>
      <xdr:col>6</xdr:col>
      <xdr:colOff>259080</xdr:colOff>
      <xdr:row>4</xdr:row>
      <xdr:rowOff>22860</xdr:rowOff>
    </xdr:to>
    <xdr:pic>
      <xdr:nvPicPr>
        <xdr:cNvPr id="2" name="図 1" descr=" \displaystyle t=\frac{\overline{x}_{1}-\overline{x}_{2}}{\sqrt{\frac{s_{1}^{2}}{n_{1}}+\frac{s_{2}^{2}}{n_{2}}}} ">
          <a:extLst>
            <a:ext uri="{FF2B5EF4-FFF2-40B4-BE49-F238E27FC236}">
              <a16:creationId xmlns:a16="http://schemas.microsoft.com/office/drawing/2014/main" id="{41D8DBC5-C733-491C-92A9-6E12DC75E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175260"/>
          <a:ext cx="15621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6</xdr:row>
      <xdr:rowOff>76200</xdr:rowOff>
    </xdr:from>
    <xdr:to>
      <xdr:col>19</xdr:col>
      <xdr:colOff>236220</xdr:colOff>
      <xdr:row>23</xdr:row>
      <xdr:rowOff>60960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D13DBE0-BB8A-452E-BB0C-9384F0188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0220" y="1676400"/>
          <a:ext cx="414528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21</xdr:col>
      <xdr:colOff>571500</xdr:colOff>
      <xdr:row>55</xdr:row>
      <xdr:rowOff>205740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4578697-E663-4357-880C-A04197FE4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5920" y="7178040"/>
          <a:ext cx="5935980" cy="6347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3</xdr:row>
      <xdr:rowOff>15240</xdr:rowOff>
    </xdr:from>
    <xdr:to>
      <xdr:col>18</xdr:col>
      <xdr:colOff>643890</xdr:colOff>
      <xdr:row>18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1AACC068-ECCD-4BB1-8161-5798E11916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2120" y="701040"/>
              <a:ext cx="3310890" cy="3493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20</xdr:col>
      <xdr:colOff>179070</xdr:colOff>
      <xdr:row>3</xdr:row>
      <xdr:rowOff>0</xdr:rowOff>
    </xdr:from>
    <xdr:to>
      <xdr:col>27</xdr:col>
      <xdr:colOff>57150</xdr:colOff>
      <xdr:row>18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2B146D8C-C6E6-49D1-A337-DC899F512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9310" y="685800"/>
              <a:ext cx="4572000" cy="3569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666750</xdr:colOff>
      <xdr:row>20</xdr:row>
      <xdr:rowOff>209550</xdr:rowOff>
    </xdr:from>
    <xdr:to>
      <xdr:col>20</xdr:col>
      <xdr:colOff>281940</xdr:colOff>
      <xdr:row>32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8258FDCA-ED7F-41F3-967A-955E2C3DB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1950" y="4781550"/>
              <a:ext cx="565023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kogolab.chillout.jp/elearn/hamburger/index.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math.s.chiba-u.ac.jp/~yasuda/statEN2/statENSYU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1231-4418-4C01-9E41-BACDEDB1F0D0}">
  <dimension ref="B2:E139"/>
  <sheetViews>
    <sheetView zoomScaleNormal="100" workbookViewId="0">
      <selection activeCell="F6" sqref="F6"/>
    </sheetView>
  </sheetViews>
  <sheetFormatPr defaultRowHeight="18"/>
  <cols>
    <col min="4" max="4" width="14.5" bestFit="1" customWidth="1"/>
    <col min="5" max="5" width="13.5" bestFit="1" customWidth="1"/>
  </cols>
  <sheetData>
    <row r="2" spans="2:5">
      <c r="B2" t="s">
        <v>0</v>
      </c>
    </row>
    <row r="3" spans="2:5">
      <c r="B3" s="1" t="s">
        <v>1</v>
      </c>
      <c r="C3">
        <v>10</v>
      </c>
      <c r="D3" s="1" t="s">
        <v>18</v>
      </c>
      <c r="E3">
        <f>C3*C4</f>
        <v>0.05</v>
      </c>
    </row>
    <row r="4" spans="2:5">
      <c r="B4" s="1" t="s">
        <v>2</v>
      </c>
      <c r="C4">
        <f>1/200</f>
        <v>5.0000000000000001E-3</v>
      </c>
    </row>
    <row r="6" spans="2:5">
      <c r="B6" t="s">
        <v>3</v>
      </c>
      <c r="C6" t="s">
        <v>4</v>
      </c>
      <c r="D6" t="s">
        <v>5</v>
      </c>
      <c r="E6" s="2" t="s">
        <v>6</v>
      </c>
    </row>
    <row r="7" spans="2:5">
      <c r="B7">
        <v>0</v>
      </c>
      <c r="C7">
        <f>COMBIN($C$3,B7)</f>
        <v>1</v>
      </c>
      <c r="D7">
        <f>$C$4^B7*(1-$C$4)^($C$3-B7)</f>
        <v>0.95111013046577197</v>
      </c>
      <c r="E7">
        <f>C7*D7</f>
        <v>0.95111013046577197</v>
      </c>
    </row>
    <row r="8" spans="2:5">
      <c r="B8">
        <v>1</v>
      </c>
      <c r="C8">
        <f>COMBIN($C$3,B8)</f>
        <v>10</v>
      </c>
      <c r="D8">
        <f t="shared" ref="D8:D71" si="0">$C$4^B8*(1-$C$4)^($C$3-B8)</f>
        <v>4.779447891787799E-3</v>
      </c>
      <c r="E8">
        <f t="shared" ref="E8:E71" si="1">C8*D8</f>
        <v>4.779447891787799E-2</v>
      </c>
    </row>
    <row r="9" spans="2:5">
      <c r="B9">
        <v>2</v>
      </c>
      <c r="C9">
        <f>COMBIN($C$3,B9)</f>
        <v>45</v>
      </c>
      <c r="D9">
        <f t="shared" si="0"/>
        <v>2.4017326089385926E-5</v>
      </c>
      <c r="E9">
        <f t="shared" si="1"/>
        <v>1.0807796740223666E-3</v>
      </c>
    </row>
    <row r="10" spans="2:5">
      <c r="B10">
        <v>3</v>
      </c>
      <c r="C10">
        <f t="shared" ref="C10:C73" si="2">COMBIN($C$3,B10)</f>
        <v>120</v>
      </c>
      <c r="D10">
        <f t="shared" si="0"/>
        <v>1.2069008085118556E-7</v>
      </c>
      <c r="E10">
        <f t="shared" si="1"/>
        <v>1.4482809702142267E-5</v>
      </c>
    </row>
    <row r="11" spans="2:5">
      <c r="B11">
        <v>4</v>
      </c>
      <c r="C11">
        <f t="shared" si="2"/>
        <v>209.99999999999997</v>
      </c>
      <c r="D11">
        <f t="shared" si="0"/>
        <v>6.064828183476661E-10</v>
      </c>
      <c r="E11">
        <f t="shared" si="1"/>
        <v>1.2736139185300986E-7</v>
      </c>
    </row>
    <row r="12" spans="2:5">
      <c r="B12">
        <v>5</v>
      </c>
      <c r="C12">
        <f t="shared" si="2"/>
        <v>252</v>
      </c>
      <c r="D12">
        <f t="shared" si="0"/>
        <v>3.0476523535058596E-12</v>
      </c>
      <c r="E12">
        <f t="shared" si="1"/>
        <v>7.680083930834766E-10</v>
      </c>
    </row>
    <row r="13" spans="2:5">
      <c r="B13">
        <v>6</v>
      </c>
      <c r="C13">
        <f t="shared" si="2"/>
        <v>209.99999999999997</v>
      </c>
      <c r="D13">
        <f t="shared" si="0"/>
        <v>1.5314835947265627E-14</v>
      </c>
      <c r="E13">
        <f t="shared" si="1"/>
        <v>3.2161155489257813E-12</v>
      </c>
    </row>
    <row r="14" spans="2:5">
      <c r="B14">
        <v>7</v>
      </c>
      <c r="C14">
        <f t="shared" si="2"/>
        <v>120</v>
      </c>
      <c r="D14">
        <f t="shared" si="0"/>
        <v>7.6958974609375009E-17</v>
      </c>
      <c r="E14">
        <f t="shared" si="1"/>
        <v>9.2350769531250014E-15</v>
      </c>
    </row>
    <row r="15" spans="2:5">
      <c r="B15">
        <v>8</v>
      </c>
      <c r="C15">
        <f t="shared" si="2"/>
        <v>45</v>
      </c>
      <c r="D15">
        <f t="shared" si="0"/>
        <v>3.8672851562500005E-19</v>
      </c>
      <c r="E15">
        <f t="shared" si="1"/>
        <v>1.7402783203125001E-17</v>
      </c>
    </row>
    <row r="16" spans="2:5">
      <c r="B16">
        <v>9</v>
      </c>
      <c r="C16">
        <f t="shared" si="2"/>
        <v>10</v>
      </c>
      <c r="D16">
        <f t="shared" si="0"/>
        <v>1.9433593750000002E-21</v>
      </c>
      <c r="E16">
        <f t="shared" si="1"/>
        <v>1.943359375E-20</v>
      </c>
    </row>
    <row r="17" spans="2:5">
      <c r="B17">
        <v>10</v>
      </c>
      <c r="C17">
        <f t="shared" si="2"/>
        <v>1</v>
      </c>
      <c r="D17">
        <f t="shared" si="0"/>
        <v>9.7656250000000009E-24</v>
      </c>
      <c r="E17">
        <f t="shared" si="1"/>
        <v>9.7656250000000009E-24</v>
      </c>
    </row>
    <row r="18" spans="2:5">
      <c r="B18">
        <v>11</v>
      </c>
      <c r="C18" t="e">
        <f t="shared" si="2"/>
        <v>#NUM!</v>
      </c>
      <c r="D18">
        <f t="shared" si="0"/>
        <v>4.9073492462311568E-26</v>
      </c>
      <c r="E18" t="e">
        <f t="shared" si="1"/>
        <v>#NUM!</v>
      </c>
    </row>
    <row r="19" spans="2:5">
      <c r="B19">
        <v>12</v>
      </c>
      <c r="C19" t="e">
        <f t="shared" si="2"/>
        <v>#NUM!</v>
      </c>
      <c r="D19">
        <f t="shared" si="0"/>
        <v>2.4660046463473144E-28</v>
      </c>
      <c r="E19" t="e">
        <f t="shared" si="1"/>
        <v>#NUM!</v>
      </c>
    </row>
    <row r="20" spans="2:5">
      <c r="B20">
        <v>13</v>
      </c>
      <c r="C20" t="e">
        <f t="shared" si="2"/>
        <v>#NUM!</v>
      </c>
      <c r="D20">
        <f t="shared" si="0"/>
        <v>1.2391983147473942E-30</v>
      </c>
      <c r="E20" t="e">
        <f t="shared" si="1"/>
        <v>#NUM!</v>
      </c>
    </row>
    <row r="21" spans="2:5">
      <c r="B21">
        <v>14</v>
      </c>
      <c r="C21" t="e">
        <f t="shared" si="2"/>
        <v>#NUM!</v>
      </c>
      <c r="D21">
        <f t="shared" si="0"/>
        <v>6.2271272097859001E-33</v>
      </c>
      <c r="E21" t="e">
        <f t="shared" si="1"/>
        <v>#NUM!</v>
      </c>
    </row>
    <row r="22" spans="2:5">
      <c r="B22">
        <v>15</v>
      </c>
      <c r="C22" t="e">
        <f t="shared" si="2"/>
        <v>#NUM!</v>
      </c>
      <c r="D22">
        <f t="shared" si="0"/>
        <v>3.1292096531587445E-35</v>
      </c>
      <c r="E22" t="e">
        <f t="shared" si="1"/>
        <v>#NUM!</v>
      </c>
    </row>
    <row r="23" spans="2:5">
      <c r="B23">
        <v>16</v>
      </c>
      <c r="C23" t="e">
        <f t="shared" si="2"/>
        <v>#NUM!</v>
      </c>
      <c r="D23">
        <f t="shared" si="0"/>
        <v>1.5724671623913287E-37</v>
      </c>
      <c r="E23" t="e">
        <f t="shared" si="1"/>
        <v>#NUM!</v>
      </c>
    </row>
    <row r="24" spans="2:5">
      <c r="B24">
        <v>17</v>
      </c>
      <c r="C24" t="e">
        <f t="shared" si="2"/>
        <v>#NUM!</v>
      </c>
      <c r="D24">
        <f t="shared" si="0"/>
        <v>7.9018450371423563E-40</v>
      </c>
      <c r="E24" t="e">
        <f t="shared" si="1"/>
        <v>#NUM!</v>
      </c>
    </row>
    <row r="25" spans="2:5">
      <c r="B25">
        <v>18</v>
      </c>
      <c r="C25" t="e">
        <f t="shared" si="2"/>
        <v>#NUM!</v>
      </c>
      <c r="D25">
        <f t="shared" si="0"/>
        <v>3.9707764005740482E-42</v>
      </c>
      <c r="E25" t="e">
        <f t="shared" si="1"/>
        <v>#NUM!</v>
      </c>
    </row>
    <row r="26" spans="2:5">
      <c r="B26">
        <v>19</v>
      </c>
      <c r="C26" t="e">
        <f t="shared" si="2"/>
        <v>#NUM!</v>
      </c>
      <c r="D26">
        <f t="shared" si="0"/>
        <v>1.9953650254140948E-44</v>
      </c>
      <c r="E26" t="e">
        <f t="shared" si="1"/>
        <v>#NUM!</v>
      </c>
    </row>
    <row r="27" spans="2:5">
      <c r="B27">
        <v>20</v>
      </c>
      <c r="C27" t="e">
        <f t="shared" si="2"/>
        <v>#NUM!</v>
      </c>
      <c r="D27">
        <f t="shared" si="0"/>
        <v>1.0026959926703992E-46</v>
      </c>
      <c r="E27" t="e">
        <f t="shared" si="1"/>
        <v>#NUM!</v>
      </c>
    </row>
    <row r="28" spans="2:5">
      <c r="B28">
        <v>21</v>
      </c>
      <c r="C28" t="e">
        <f t="shared" si="2"/>
        <v>#NUM!</v>
      </c>
      <c r="D28">
        <f t="shared" si="0"/>
        <v>5.0386733300020064E-49</v>
      </c>
      <c r="E28" t="e">
        <f t="shared" si="1"/>
        <v>#NUM!</v>
      </c>
    </row>
    <row r="29" spans="2:5">
      <c r="B29">
        <v>22</v>
      </c>
      <c r="C29" t="e">
        <f t="shared" si="2"/>
        <v>#NUM!</v>
      </c>
      <c r="D29">
        <f t="shared" si="0"/>
        <v>2.5319966482422141E-51</v>
      </c>
      <c r="E29" t="e">
        <f t="shared" si="1"/>
        <v>#NUM!</v>
      </c>
    </row>
    <row r="30" spans="2:5">
      <c r="B30">
        <v>23</v>
      </c>
      <c r="C30" t="e">
        <f t="shared" si="2"/>
        <v>#NUM!</v>
      </c>
      <c r="D30">
        <f t="shared" si="0"/>
        <v>1.2723601247448313E-53</v>
      </c>
      <c r="E30" t="e">
        <f t="shared" si="1"/>
        <v>#NUM!</v>
      </c>
    </row>
    <row r="31" spans="2:5">
      <c r="B31">
        <v>24</v>
      </c>
      <c r="C31" t="e">
        <f t="shared" si="2"/>
        <v>#NUM!</v>
      </c>
      <c r="D31">
        <f t="shared" si="0"/>
        <v>6.3937694710795535E-56</v>
      </c>
      <c r="E31" t="e">
        <f t="shared" si="1"/>
        <v>#NUM!</v>
      </c>
    </row>
    <row r="32" spans="2:5">
      <c r="B32">
        <v>25</v>
      </c>
      <c r="C32" t="e">
        <f t="shared" si="2"/>
        <v>#NUM!</v>
      </c>
      <c r="D32">
        <f t="shared" si="0"/>
        <v>3.2129494829545497E-58</v>
      </c>
      <c r="E32" t="e">
        <f t="shared" si="1"/>
        <v>#NUM!</v>
      </c>
    </row>
    <row r="33" spans="2:5">
      <c r="B33">
        <v>26</v>
      </c>
      <c r="C33" t="e">
        <f t="shared" si="2"/>
        <v>#NUM!</v>
      </c>
      <c r="D33">
        <f t="shared" si="0"/>
        <v>1.6145474788716332E-60</v>
      </c>
      <c r="E33" t="e">
        <f t="shared" si="1"/>
        <v>#NUM!</v>
      </c>
    </row>
    <row r="34" spans="2:5">
      <c r="B34">
        <v>27</v>
      </c>
      <c r="C34" t="e">
        <f t="shared" si="2"/>
        <v>#NUM!</v>
      </c>
      <c r="D34">
        <f t="shared" si="0"/>
        <v>8.1133039139278069E-63</v>
      </c>
      <c r="E34" t="e">
        <f t="shared" si="1"/>
        <v>#NUM!</v>
      </c>
    </row>
    <row r="35" spans="2:5">
      <c r="B35">
        <v>28</v>
      </c>
      <c r="C35" t="e">
        <f t="shared" si="2"/>
        <v>#NUM!</v>
      </c>
      <c r="D35">
        <f t="shared" si="0"/>
        <v>4.0770371426772892E-65</v>
      </c>
      <c r="E35" t="e">
        <f t="shared" si="1"/>
        <v>#NUM!</v>
      </c>
    </row>
    <row r="36" spans="2:5">
      <c r="B36">
        <v>29</v>
      </c>
      <c r="C36" t="e">
        <f t="shared" si="2"/>
        <v>#NUM!</v>
      </c>
      <c r="D36">
        <f t="shared" si="0"/>
        <v>2.0487623832549194E-67</v>
      </c>
      <c r="E36" t="e">
        <f t="shared" si="1"/>
        <v>#NUM!</v>
      </c>
    </row>
    <row r="37" spans="2:5">
      <c r="B37">
        <v>30</v>
      </c>
      <c r="C37" t="e">
        <f t="shared" si="2"/>
        <v>#NUM!</v>
      </c>
      <c r="D37">
        <f t="shared" si="0"/>
        <v>1.029528835806492E-69</v>
      </c>
      <c r="E37" t="e">
        <f t="shared" si="1"/>
        <v>#NUM!</v>
      </c>
    </row>
    <row r="38" spans="2:5">
      <c r="B38">
        <v>31</v>
      </c>
      <c r="C38" t="e">
        <f t="shared" si="2"/>
        <v>#NUM!</v>
      </c>
      <c r="D38">
        <f t="shared" si="0"/>
        <v>5.1735117377210664E-72</v>
      </c>
      <c r="E38" t="e">
        <f t="shared" si="1"/>
        <v>#NUM!</v>
      </c>
    </row>
    <row r="39" spans="2:5">
      <c r="B39">
        <v>32</v>
      </c>
      <c r="C39" t="e">
        <f t="shared" si="2"/>
        <v>#NUM!</v>
      </c>
      <c r="D39">
        <f t="shared" si="0"/>
        <v>2.5997546420708869E-74</v>
      </c>
      <c r="E39" t="e">
        <f t="shared" si="1"/>
        <v>#NUM!</v>
      </c>
    </row>
    <row r="40" spans="2:5">
      <c r="B40">
        <v>33</v>
      </c>
      <c r="C40" t="e">
        <f t="shared" si="2"/>
        <v>#NUM!</v>
      </c>
      <c r="D40">
        <f t="shared" si="0"/>
        <v>1.3064093678748179E-76</v>
      </c>
      <c r="E40" t="e">
        <f t="shared" si="1"/>
        <v>#NUM!</v>
      </c>
    </row>
    <row r="41" spans="2:5">
      <c r="B41">
        <v>34</v>
      </c>
      <c r="C41" t="e">
        <f t="shared" si="2"/>
        <v>#NUM!</v>
      </c>
      <c r="D41">
        <f t="shared" si="0"/>
        <v>6.5648711953508412E-79</v>
      </c>
      <c r="E41" t="e">
        <f t="shared" si="1"/>
        <v>#NUM!</v>
      </c>
    </row>
    <row r="42" spans="2:5">
      <c r="B42">
        <v>35</v>
      </c>
      <c r="C42" t="e">
        <f t="shared" si="2"/>
        <v>#NUM!</v>
      </c>
      <c r="D42">
        <f t="shared" si="0"/>
        <v>3.2989302489200221E-81</v>
      </c>
      <c r="E42" t="e">
        <f t="shared" si="1"/>
        <v>#NUM!</v>
      </c>
    </row>
    <row r="43" spans="2:5">
      <c r="B43">
        <v>36</v>
      </c>
      <c r="C43" t="e">
        <f t="shared" si="2"/>
        <v>#NUM!</v>
      </c>
      <c r="D43">
        <f t="shared" si="0"/>
        <v>1.6577538939296588E-83</v>
      </c>
      <c r="E43" t="e">
        <f t="shared" si="1"/>
        <v>#NUM!</v>
      </c>
    </row>
    <row r="44" spans="2:5">
      <c r="B44">
        <v>37</v>
      </c>
      <c r="C44" t="e">
        <f t="shared" si="2"/>
        <v>#NUM!</v>
      </c>
      <c r="D44">
        <f t="shared" si="0"/>
        <v>8.3304215775359737E-86</v>
      </c>
      <c r="E44" t="e">
        <f t="shared" si="1"/>
        <v>#NUM!</v>
      </c>
    </row>
    <row r="45" spans="2:5">
      <c r="B45">
        <v>38</v>
      </c>
      <c r="C45" t="e">
        <f t="shared" si="2"/>
        <v>#NUM!</v>
      </c>
      <c r="D45">
        <f t="shared" si="0"/>
        <v>4.186141496249232E-88</v>
      </c>
      <c r="E45" t="e">
        <f t="shared" si="1"/>
        <v>#NUM!</v>
      </c>
    </row>
    <row r="46" spans="2:5">
      <c r="B46">
        <v>39</v>
      </c>
      <c r="C46" t="e">
        <f t="shared" si="2"/>
        <v>#NUM!</v>
      </c>
      <c r="D46">
        <f t="shared" si="0"/>
        <v>2.1035886915825292E-90</v>
      </c>
      <c r="E46" t="e">
        <f t="shared" si="1"/>
        <v>#NUM!</v>
      </c>
    </row>
    <row r="47" spans="2:5">
      <c r="B47">
        <v>40</v>
      </c>
      <c r="C47" t="e">
        <f t="shared" si="2"/>
        <v>#NUM!</v>
      </c>
      <c r="D47">
        <f t="shared" si="0"/>
        <v>1.0570797445138335E-92</v>
      </c>
      <c r="E47" t="e">
        <f t="shared" si="1"/>
        <v>#NUM!</v>
      </c>
    </row>
    <row r="48" spans="2:5">
      <c r="B48">
        <v>41</v>
      </c>
      <c r="C48" t="e">
        <f t="shared" si="2"/>
        <v>#NUM!</v>
      </c>
      <c r="D48">
        <f t="shared" si="0"/>
        <v>5.3119585151448939E-95</v>
      </c>
      <c r="E48" t="e">
        <f t="shared" si="1"/>
        <v>#NUM!</v>
      </c>
    </row>
    <row r="49" spans="2:5">
      <c r="B49">
        <v>42</v>
      </c>
      <c r="C49" t="e">
        <f t="shared" si="2"/>
        <v>#NUM!</v>
      </c>
      <c r="D49">
        <f t="shared" si="0"/>
        <v>2.669325887007484E-97</v>
      </c>
      <c r="E49" t="e">
        <f t="shared" si="1"/>
        <v>#NUM!</v>
      </c>
    </row>
    <row r="50" spans="2:5">
      <c r="B50">
        <v>43</v>
      </c>
      <c r="C50" t="e">
        <f t="shared" si="2"/>
        <v>#NUM!</v>
      </c>
      <c r="D50">
        <f t="shared" si="0"/>
        <v>1.3413697924660728E-99</v>
      </c>
      <c r="E50" t="e">
        <f t="shared" si="1"/>
        <v>#NUM!</v>
      </c>
    </row>
    <row r="51" spans="2:5">
      <c r="B51">
        <v>44</v>
      </c>
      <c r="C51" t="e">
        <f t="shared" si="2"/>
        <v>#NUM!</v>
      </c>
      <c r="D51">
        <f t="shared" si="0"/>
        <v>6.7405517209350374E-102</v>
      </c>
      <c r="E51" t="e">
        <f t="shared" si="1"/>
        <v>#NUM!</v>
      </c>
    </row>
    <row r="52" spans="2:5">
      <c r="B52">
        <v>45</v>
      </c>
      <c r="C52" t="e">
        <f t="shared" si="2"/>
        <v>#NUM!</v>
      </c>
      <c r="D52">
        <f t="shared" si="0"/>
        <v>3.3872119200678582E-104</v>
      </c>
      <c r="E52" t="e">
        <f t="shared" si="1"/>
        <v>#NUM!</v>
      </c>
    </row>
    <row r="53" spans="2:5">
      <c r="B53">
        <v>46</v>
      </c>
      <c r="C53" t="e">
        <f t="shared" si="2"/>
        <v>#NUM!</v>
      </c>
      <c r="D53">
        <f t="shared" si="0"/>
        <v>1.7021165427476674E-106</v>
      </c>
      <c r="E53" t="e">
        <f t="shared" si="1"/>
        <v>#NUM!</v>
      </c>
    </row>
    <row r="54" spans="2:5">
      <c r="B54">
        <v>47</v>
      </c>
      <c r="C54" t="e">
        <f t="shared" si="2"/>
        <v>#NUM!</v>
      </c>
      <c r="D54">
        <f t="shared" si="0"/>
        <v>8.5533494610435543E-109</v>
      </c>
      <c r="E54" t="e">
        <f t="shared" si="1"/>
        <v>#NUM!</v>
      </c>
    </row>
    <row r="55" spans="2:5">
      <c r="B55">
        <v>48</v>
      </c>
      <c r="C55" t="e">
        <f t="shared" si="2"/>
        <v>#NUM!</v>
      </c>
      <c r="D55">
        <f t="shared" si="0"/>
        <v>4.2981655583133442E-111</v>
      </c>
      <c r="E55" t="e">
        <f t="shared" si="1"/>
        <v>#NUM!</v>
      </c>
    </row>
    <row r="56" spans="2:5">
      <c r="B56">
        <v>49</v>
      </c>
      <c r="C56" t="e">
        <f t="shared" si="2"/>
        <v>#NUM!</v>
      </c>
      <c r="D56">
        <f t="shared" si="0"/>
        <v>2.1598821901072077E-113</v>
      </c>
      <c r="E56" t="e">
        <f t="shared" si="1"/>
        <v>#NUM!</v>
      </c>
    </row>
    <row r="57" spans="2:5">
      <c r="B57">
        <v>50</v>
      </c>
      <c r="C57" t="e">
        <f t="shared" si="2"/>
        <v>#NUM!</v>
      </c>
      <c r="D57">
        <f t="shared" si="0"/>
        <v>1.0853679347272404E-115</v>
      </c>
      <c r="E57" t="e">
        <f t="shared" si="1"/>
        <v>#NUM!</v>
      </c>
    </row>
    <row r="58" spans="2:5">
      <c r="B58">
        <v>51</v>
      </c>
      <c r="C58" t="e">
        <f t="shared" si="2"/>
        <v>#NUM!</v>
      </c>
      <c r="D58">
        <f t="shared" si="0"/>
        <v>5.4541102247600028E-118</v>
      </c>
      <c r="E58" t="e">
        <f t="shared" si="1"/>
        <v>#NUM!</v>
      </c>
    </row>
    <row r="59" spans="2:5">
      <c r="B59">
        <v>52</v>
      </c>
      <c r="C59" t="e">
        <f t="shared" si="2"/>
        <v>#NUM!</v>
      </c>
      <c r="D59">
        <f t="shared" si="0"/>
        <v>2.740758906914573E-120</v>
      </c>
      <c r="E59" t="e">
        <f t="shared" si="1"/>
        <v>#NUM!</v>
      </c>
    </row>
    <row r="60" spans="2:5">
      <c r="B60">
        <v>53</v>
      </c>
      <c r="C60" t="e">
        <f t="shared" si="2"/>
        <v>#NUM!</v>
      </c>
      <c r="D60">
        <f t="shared" si="0"/>
        <v>1.3772657823691326E-122</v>
      </c>
      <c r="E60" t="e">
        <f t="shared" si="1"/>
        <v>#NUM!</v>
      </c>
    </row>
    <row r="61" spans="2:5">
      <c r="B61">
        <v>54</v>
      </c>
      <c r="C61" t="e">
        <f t="shared" si="2"/>
        <v>#NUM!</v>
      </c>
      <c r="D61">
        <f t="shared" si="0"/>
        <v>6.9209335797443829E-125</v>
      </c>
      <c r="E61" t="e">
        <f t="shared" si="1"/>
        <v>#NUM!</v>
      </c>
    </row>
    <row r="62" spans="2:5">
      <c r="B62">
        <v>55</v>
      </c>
      <c r="C62" t="e">
        <f t="shared" si="2"/>
        <v>#NUM!</v>
      </c>
      <c r="D62">
        <f t="shared" si="0"/>
        <v>3.4778560702233089E-127</v>
      </c>
      <c r="E62" t="e">
        <f t="shared" si="1"/>
        <v>#NUM!</v>
      </c>
    </row>
    <row r="63" spans="2:5">
      <c r="B63">
        <v>56</v>
      </c>
      <c r="C63" t="e">
        <f t="shared" si="2"/>
        <v>#NUM!</v>
      </c>
      <c r="D63">
        <f t="shared" si="0"/>
        <v>1.7476663669463862E-129</v>
      </c>
      <c r="E63" t="e">
        <f t="shared" si="1"/>
        <v>#NUM!</v>
      </c>
    </row>
    <row r="64" spans="2:5">
      <c r="B64">
        <v>57</v>
      </c>
      <c r="C64" t="e">
        <f t="shared" si="2"/>
        <v>#NUM!</v>
      </c>
      <c r="D64">
        <f t="shared" si="0"/>
        <v>8.782243049981839E-132</v>
      </c>
      <c r="E64" t="e">
        <f t="shared" si="1"/>
        <v>#NUM!</v>
      </c>
    </row>
    <row r="65" spans="2:5">
      <c r="B65">
        <v>58</v>
      </c>
      <c r="C65" t="e">
        <f t="shared" si="2"/>
        <v>#NUM!</v>
      </c>
      <c r="D65">
        <f t="shared" si="0"/>
        <v>4.4131874623024327E-134</v>
      </c>
      <c r="E65" t="e">
        <f t="shared" si="1"/>
        <v>#NUM!</v>
      </c>
    </row>
    <row r="66" spans="2:5">
      <c r="B66">
        <v>59</v>
      </c>
      <c r="C66" t="e">
        <f t="shared" si="2"/>
        <v>#NUM!</v>
      </c>
      <c r="D66">
        <f t="shared" si="0"/>
        <v>2.2176821418605195E-136</v>
      </c>
      <c r="E66" t="e">
        <f t="shared" si="1"/>
        <v>#NUM!</v>
      </c>
    </row>
    <row r="67" spans="2:5">
      <c r="B67">
        <v>60</v>
      </c>
      <c r="C67" t="e">
        <f t="shared" si="2"/>
        <v>#NUM!</v>
      </c>
      <c r="D67">
        <f t="shared" si="0"/>
        <v>1.1144131366133259E-138</v>
      </c>
      <c r="E67" t="e">
        <f t="shared" si="1"/>
        <v>#NUM!</v>
      </c>
    </row>
    <row r="68" spans="2:5">
      <c r="B68">
        <v>61</v>
      </c>
      <c r="C68" t="e">
        <f t="shared" si="2"/>
        <v>#NUM!</v>
      </c>
      <c r="D68">
        <f t="shared" si="0"/>
        <v>5.6000660131322934E-141</v>
      </c>
      <c r="E68" t="e">
        <f t="shared" si="1"/>
        <v>#NUM!</v>
      </c>
    </row>
    <row r="69" spans="2:5">
      <c r="B69">
        <v>62</v>
      </c>
      <c r="C69" t="e">
        <f t="shared" si="2"/>
        <v>#NUM!</v>
      </c>
      <c r="D69">
        <f t="shared" si="0"/>
        <v>2.8141035241870813E-143</v>
      </c>
      <c r="E69" t="e">
        <f t="shared" si="1"/>
        <v>#NUM!</v>
      </c>
    </row>
    <row r="70" spans="2:5">
      <c r="B70">
        <v>63</v>
      </c>
      <c r="C70" t="e">
        <f t="shared" si="2"/>
        <v>#NUM!</v>
      </c>
      <c r="D70">
        <f t="shared" si="0"/>
        <v>1.4141223739633577E-145</v>
      </c>
      <c r="E70" t="e">
        <f t="shared" si="1"/>
        <v>#NUM!</v>
      </c>
    </row>
    <row r="71" spans="2:5">
      <c r="B71">
        <v>64</v>
      </c>
      <c r="C71" t="e">
        <f t="shared" si="2"/>
        <v>#NUM!</v>
      </c>
      <c r="D71">
        <f t="shared" si="0"/>
        <v>7.1061425827304386E-148</v>
      </c>
      <c r="E71" t="e">
        <f t="shared" si="1"/>
        <v>#NUM!</v>
      </c>
    </row>
    <row r="72" spans="2:5">
      <c r="B72">
        <v>65</v>
      </c>
      <c r="C72" t="e">
        <f t="shared" si="2"/>
        <v>#NUM!</v>
      </c>
      <c r="D72">
        <f t="shared" ref="D72:D135" si="3">$C$4^B72*(1-$C$4)^($C$3-B72)</f>
        <v>3.5709259209700701E-150</v>
      </c>
      <c r="E72" t="e">
        <f t="shared" ref="E72:E135" si="4">C72*D72</f>
        <v>#NUM!</v>
      </c>
    </row>
    <row r="73" spans="2:5">
      <c r="B73">
        <v>66</v>
      </c>
      <c r="C73" t="e">
        <f t="shared" si="2"/>
        <v>#NUM!</v>
      </c>
      <c r="D73">
        <f t="shared" si="3"/>
        <v>1.7944351361658642E-152</v>
      </c>
      <c r="E73" t="e">
        <f t="shared" si="4"/>
        <v>#NUM!</v>
      </c>
    </row>
    <row r="74" spans="2:5">
      <c r="B74">
        <v>67</v>
      </c>
      <c r="C74" t="e">
        <f t="shared" ref="C74:C137" si="5">COMBIN($C$3,B74)</f>
        <v>#NUM!</v>
      </c>
      <c r="D74">
        <f t="shared" si="3"/>
        <v>9.0172619907832388E-155</v>
      </c>
      <c r="E74" t="e">
        <f t="shared" si="4"/>
        <v>#NUM!</v>
      </c>
    </row>
    <row r="75" spans="2:5">
      <c r="B75">
        <v>68</v>
      </c>
      <c r="C75" t="e">
        <f t="shared" si="5"/>
        <v>#NUM!</v>
      </c>
      <c r="D75">
        <f t="shared" si="3"/>
        <v>4.5312874325543902E-157</v>
      </c>
      <c r="E75" t="e">
        <f t="shared" si="4"/>
        <v>#NUM!</v>
      </c>
    </row>
    <row r="76" spans="2:5">
      <c r="B76">
        <v>69</v>
      </c>
      <c r="C76" t="e">
        <f t="shared" si="5"/>
        <v>#NUM!</v>
      </c>
      <c r="D76">
        <f t="shared" si="3"/>
        <v>2.2770288605800963E-159</v>
      </c>
      <c r="E76" t="e">
        <f t="shared" si="4"/>
        <v>#NUM!</v>
      </c>
    </row>
    <row r="77" spans="2:5">
      <c r="B77">
        <v>70</v>
      </c>
      <c r="C77" t="e">
        <f t="shared" si="5"/>
        <v>#NUM!</v>
      </c>
      <c r="D77">
        <f t="shared" si="3"/>
        <v>1.1442356083317062E-161</v>
      </c>
      <c r="E77" t="e">
        <f t="shared" si="4"/>
        <v>#NUM!</v>
      </c>
    </row>
    <row r="78" spans="2:5">
      <c r="B78">
        <v>71</v>
      </c>
      <c r="C78" t="e">
        <f t="shared" si="5"/>
        <v>#NUM!</v>
      </c>
      <c r="D78">
        <f t="shared" si="3"/>
        <v>5.7499276800588256E-164</v>
      </c>
      <c r="E78" t="e">
        <f t="shared" si="4"/>
        <v>#NUM!</v>
      </c>
    </row>
    <row r="79" spans="2:5">
      <c r="B79">
        <v>72</v>
      </c>
      <c r="C79" t="e">
        <f t="shared" si="5"/>
        <v>#NUM!</v>
      </c>
      <c r="D79">
        <f t="shared" si="3"/>
        <v>2.8894108945019222E-166</v>
      </c>
      <c r="E79" t="e">
        <f t="shared" si="4"/>
        <v>#NUM!</v>
      </c>
    </row>
    <row r="80" spans="2:5">
      <c r="B80">
        <v>73</v>
      </c>
      <c r="C80" t="e">
        <f t="shared" si="5"/>
        <v>#NUM!</v>
      </c>
      <c r="D80">
        <f t="shared" si="3"/>
        <v>1.4519652736190566E-168</v>
      </c>
      <c r="E80" t="e">
        <f t="shared" si="4"/>
        <v>#NUM!</v>
      </c>
    </row>
    <row r="81" spans="2:5">
      <c r="B81">
        <v>74</v>
      </c>
      <c r="C81" t="e">
        <f t="shared" si="5"/>
        <v>#NUM!</v>
      </c>
      <c r="D81">
        <f t="shared" si="3"/>
        <v>7.2963079076334496E-171</v>
      </c>
      <c r="E81" t="e">
        <f t="shared" si="4"/>
        <v>#NUM!</v>
      </c>
    </row>
    <row r="82" spans="2:5">
      <c r="B82">
        <v>75</v>
      </c>
      <c r="C82" t="e">
        <f t="shared" si="5"/>
        <v>#NUM!</v>
      </c>
      <c r="D82">
        <f t="shared" si="3"/>
        <v>3.6664863857454534E-173</v>
      </c>
      <c r="E82" t="e">
        <f t="shared" si="4"/>
        <v>#NUM!</v>
      </c>
    </row>
    <row r="83" spans="2:5">
      <c r="B83">
        <v>76</v>
      </c>
      <c r="C83" t="e">
        <f t="shared" si="5"/>
        <v>#NUM!</v>
      </c>
      <c r="D83">
        <f t="shared" si="3"/>
        <v>1.8424554702238457E-175</v>
      </c>
      <c r="E83" t="e">
        <f t="shared" si="4"/>
        <v>#NUM!</v>
      </c>
    </row>
    <row r="84" spans="2:5">
      <c r="B84">
        <v>77</v>
      </c>
      <c r="C84" t="e">
        <f t="shared" si="5"/>
        <v>#NUM!</v>
      </c>
      <c r="D84">
        <f t="shared" si="3"/>
        <v>9.2585702021298783E-178</v>
      </c>
      <c r="E84" t="e">
        <f t="shared" si="4"/>
        <v>#NUM!</v>
      </c>
    </row>
    <row r="85" spans="2:5">
      <c r="B85">
        <v>78</v>
      </c>
      <c r="C85" t="e">
        <f t="shared" si="5"/>
        <v>#NUM!</v>
      </c>
      <c r="D85">
        <f t="shared" si="3"/>
        <v>4.6525478402662688E-180</v>
      </c>
      <c r="E85" t="e">
        <f t="shared" si="4"/>
        <v>#NUM!</v>
      </c>
    </row>
    <row r="86" spans="2:5">
      <c r="B86">
        <v>79</v>
      </c>
      <c r="C86" t="e">
        <f t="shared" si="5"/>
        <v>#NUM!</v>
      </c>
      <c r="D86">
        <f t="shared" si="3"/>
        <v>2.3379637388272712E-182</v>
      </c>
      <c r="E86" t="e">
        <f t="shared" si="4"/>
        <v>#NUM!</v>
      </c>
    </row>
    <row r="87" spans="2:5">
      <c r="B87">
        <v>80</v>
      </c>
      <c r="C87" t="e">
        <f t="shared" si="5"/>
        <v>#NUM!</v>
      </c>
      <c r="D87">
        <f t="shared" si="3"/>
        <v>1.174856150164458E-184</v>
      </c>
      <c r="E87" t="e">
        <f t="shared" si="4"/>
        <v>#NUM!</v>
      </c>
    </row>
    <row r="88" spans="2:5">
      <c r="B88">
        <v>81</v>
      </c>
      <c r="C88" t="e">
        <f t="shared" si="5"/>
        <v>#NUM!</v>
      </c>
      <c r="D88">
        <f t="shared" si="3"/>
        <v>5.9037997495701407E-187</v>
      </c>
      <c r="E88" t="e">
        <f t="shared" si="4"/>
        <v>#NUM!</v>
      </c>
    </row>
    <row r="89" spans="2:5">
      <c r="B89">
        <v>82</v>
      </c>
      <c r="C89" t="e">
        <f t="shared" si="5"/>
        <v>#NUM!</v>
      </c>
      <c r="D89">
        <f t="shared" si="3"/>
        <v>2.9667335424975581E-189</v>
      </c>
      <c r="E89" t="e">
        <f t="shared" si="4"/>
        <v>#NUM!</v>
      </c>
    </row>
    <row r="90" spans="2:5">
      <c r="B90">
        <v>83</v>
      </c>
      <c r="C90" t="e">
        <f t="shared" si="5"/>
        <v>#NUM!</v>
      </c>
      <c r="D90">
        <f t="shared" si="3"/>
        <v>1.4908208756269138E-191</v>
      </c>
      <c r="E90" t="e">
        <f t="shared" si="4"/>
        <v>#NUM!</v>
      </c>
    </row>
    <row r="91" spans="2:5">
      <c r="B91">
        <v>84</v>
      </c>
      <c r="C91" t="e">
        <f t="shared" si="5"/>
        <v>#NUM!</v>
      </c>
      <c r="D91">
        <f t="shared" si="3"/>
        <v>7.4915621890799665E-194</v>
      </c>
      <c r="E91" t="e">
        <f t="shared" si="4"/>
        <v>#NUM!</v>
      </c>
    </row>
    <row r="92" spans="2:5">
      <c r="B92">
        <v>85</v>
      </c>
      <c r="C92" t="e">
        <f t="shared" si="5"/>
        <v>#NUM!</v>
      </c>
      <c r="D92">
        <f t="shared" si="3"/>
        <v>3.7646041151155613E-196</v>
      </c>
      <c r="E92" t="e">
        <f t="shared" si="4"/>
        <v>#NUM!</v>
      </c>
    </row>
    <row r="93" spans="2:5">
      <c r="B93">
        <v>86</v>
      </c>
      <c r="C93" t="e">
        <f t="shared" si="5"/>
        <v>#NUM!</v>
      </c>
      <c r="D93">
        <f t="shared" si="3"/>
        <v>1.891760861867116E-198</v>
      </c>
      <c r="E93" t="e">
        <f t="shared" si="4"/>
        <v>#NUM!</v>
      </c>
    </row>
    <row r="94" spans="2:5">
      <c r="B94">
        <v>87</v>
      </c>
      <c r="C94" t="e">
        <f t="shared" si="5"/>
        <v>#NUM!</v>
      </c>
      <c r="D94">
        <f t="shared" si="3"/>
        <v>9.5063359892819934E-201</v>
      </c>
      <c r="E94" t="e">
        <f t="shared" si="4"/>
        <v>#NUM!</v>
      </c>
    </row>
    <row r="95" spans="2:5">
      <c r="B95">
        <v>88</v>
      </c>
      <c r="C95" t="e">
        <f t="shared" si="5"/>
        <v>#NUM!</v>
      </c>
      <c r="D95">
        <f t="shared" si="3"/>
        <v>4.7770532609457249E-203</v>
      </c>
      <c r="E95" t="e">
        <f t="shared" si="4"/>
        <v>#NUM!</v>
      </c>
    </row>
    <row r="96" spans="2:5">
      <c r="B96">
        <v>89</v>
      </c>
      <c r="C96" t="e">
        <f t="shared" si="5"/>
        <v>#NUM!</v>
      </c>
      <c r="D96">
        <f t="shared" si="3"/>
        <v>2.4005292768571479E-205</v>
      </c>
      <c r="E96" t="e">
        <f t="shared" si="4"/>
        <v>#NUM!</v>
      </c>
    </row>
    <row r="97" spans="2:5">
      <c r="B97">
        <v>90</v>
      </c>
      <c r="C97" t="e">
        <f t="shared" si="5"/>
        <v>#NUM!</v>
      </c>
      <c r="D97">
        <f t="shared" si="3"/>
        <v>1.2062961190236927E-207</v>
      </c>
      <c r="E97" t="e">
        <f t="shared" si="4"/>
        <v>#NUM!</v>
      </c>
    </row>
    <row r="98" spans="2:5">
      <c r="B98">
        <v>91</v>
      </c>
      <c r="C98" t="e">
        <f t="shared" si="5"/>
        <v>#NUM!</v>
      </c>
      <c r="D98">
        <f t="shared" si="3"/>
        <v>6.0617895428326274E-210</v>
      </c>
      <c r="E98" t="e">
        <f t="shared" si="4"/>
        <v>#NUM!</v>
      </c>
    </row>
    <row r="99" spans="2:5">
      <c r="B99">
        <v>92</v>
      </c>
      <c r="C99" t="e">
        <f t="shared" si="5"/>
        <v>#NUM!</v>
      </c>
      <c r="D99">
        <f t="shared" si="3"/>
        <v>3.0461253984083543E-212</v>
      </c>
      <c r="E99" t="e">
        <f t="shared" si="4"/>
        <v>#NUM!</v>
      </c>
    </row>
    <row r="100" spans="2:5">
      <c r="B100">
        <v>93</v>
      </c>
      <c r="C100" t="e">
        <f t="shared" si="5"/>
        <v>#NUM!</v>
      </c>
      <c r="D100">
        <f t="shared" si="3"/>
        <v>1.5307162806072133E-214</v>
      </c>
      <c r="E100" t="e">
        <f t="shared" si="4"/>
        <v>#NUM!</v>
      </c>
    </row>
    <row r="101" spans="2:5">
      <c r="B101">
        <v>94</v>
      </c>
      <c r="C101" t="e">
        <f t="shared" si="5"/>
        <v>#NUM!</v>
      </c>
      <c r="D101">
        <f t="shared" si="3"/>
        <v>7.6920416110915243E-217</v>
      </c>
      <c r="E101" t="e">
        <f t="shared" si="4"/>
        <v>#NUM!</v>
      </c>
    </row>
    <row r="102" spans="2:5">
      <c r="B102">
        <v>95</v>
      </c>
      <c r="C102" t="e">
        <f t="shared" si="5"/>
        <v>#NUM!</v>
      </c>
      <c r="D102">
        <f t="shared" si="3"/>
        <v>3.8653475432620732E-219</v>
      </c>
      <c r="E102" t="e">
        <f t="shared" si="4"/>
        <v>#NUM!</v>
      </c>
    </row>
    <row r="103" spans="2:5">
      <c r="B103">
        <v>96</v>
      </c>
      <c r="C103" t="e">
        <f t="shared" si="5"/>
        <v>#NUM!</v>
      </c>
      <c r="D103">
        <f t="shared" si="3"/>
        <v>1.9423857001316946E-221</v>
      </c>
      <c r="E103" t="e">
        <f t="shared" si="4"/>
        <v>#NUM!</v>
      </c>
    </row>
    <row r="104" spans="2:5">
      <c r="B104">
        <v>97</v>
      </c>
      <c r="C104" t="e">
        <f t="shared" si="5"/>
        <v>#NUM!</v>
      </c>
      <c r="D104">
        <f t="shared" si="3"/>
        <v>9.760732161465803E-224</v>
      </c>
      <c r="E104" t="e">
        <f t="shared" si="4"/>
        <v>#NUM!</v>
      </c>
    </row>
    <row r="105" spans="2:5">
      <c r="B105">
        <v>98</v>
      </c>
      <c r="C105" t="e">
        <f t="shared" si="5"/>
        <v>#NUM!</v>
      </c>
      <c r="D105">
        <f t="shared" si="3"/>
        <v>4.9048905333999007E-226</v>
      </c>
      <c r="E105" t="e">
        <f t="shared" si="4"/>
        <v>#NUM!</v>
      </c>
    </row>
    <row r="106" spans="2:5">
      <c r="B106">
        <v>99</v>
      </c>
      <c r="C106" t="e">
        <f t="shared" si="5"/>
        <v>#NUM!</v>
      </c>
      <c r="D106">
        <f t="shared" si="3"/>
        <v>2.464769112261257E-228</v>
      </c>
      <c r="E106" t="e">
        <f t="shared" si="4"/>
        <v>#NUM!</v>
      </c>
    </row>
    <row r="107" spans="2:5">
      <c r="B107">
        <v>100</v>
      </c>
      <c r="C107" t="e">
        <f t="shared" si="5"/>
        <v>#NUM!</v>
      </c>
      <c r="D107">
        <f t="shared" si="3"/>
        <v>1.2385774433473653E-230</v>
      </c>
      <c r="E107" t="e">
        <f t="shared" si="4"/>
        <v>#NUM!</v>
      </c>
    </row>
    <row r="108" spans="2:5">
      <c r="B108">
        <v>101</v>
      </c>
      <c r="C108" t="e">
        <f t="shared" si="5"/>
        <v>#NUM!</v>
      </c>
      <c r="D108">
        <f t="shared" si="3"/>
        <v>6.2240072530018353E-233</v>
      </c>
      <c r="E108" t="e">
        <f t="shared" si="4"/>
        <v>#NUM!</v>
      </c>
    </row>
    <row r="109" spans="2:5">
      <c r="B109">
        <v>102</v>
      </c>
      <c r="C109" t="e">
        <f t="shared" si="5"/>
        <v>#NUM!</v>
      </c>
      <c r="D109">
        <f t="shared" si="3"/>
        <v>3.1276418356793138E-235</v>
      </c>
      <c r="E109" t="e">
        <f t="shared" si="4"/>
        <v>#NUM!</v>
      </c>
    </row>
    <row r="110" spans="2:5">
      <c r="B110">
        <v>103</v>
      </c>
      <c r="C110" t="e">
        <f t="shared" si="5"/>
        <v>#NUM!</v>
      </c>
      <c r="D110">
        <f t="shared" si="3"/>
        <v>1.5716793144117155E-237</v>
      </c>
      <c r="E110" t="e">
        <f t="shared" si="4"/>
        <v>#NUM!</v>
      </c>
    </row>
    <row r="111" spans="2:5">
      <c r="B111">
        <v>104</v>
      </c>
      <c r="C111" t="e">
        <f t="shared" si="5"/>
        <v>#NUM!</v>
      </c>
      <c r="D111">
        <f t="shared" si="3"/>
        <v>7.8978860020689218E-240</v>
      </c>
      <c r="E111" t="e">
        <f t="shared" si="4"/>
        <v>#NUM!</v>
      </c>
    </row>
    <row r="112" spans="2:5">
      <c r="B112">
        <v>105</v>
      </c>
      <c r="C112" t="e">
        <f t="shared" si="5"/>
        <v>#NUM!</v>
      </c>
      <c r="D112">
        <f t="shared" si="3"/>
        <v>3.9687869357130261E-242</v>
      </c>
      <c r="E112" t="e">
        <f t="shared" si="4"/>
        <v>#NUM!</v>
      </c>
    </row>
    <row r="113" spans="2:5">
      <c r="B113">
        <v>106</v>
      </c>
      <c r="C113" t="e">
        <f t="shared" si="5"/>
        <v>#NUM!</v>
      </c>
      <c r="D113">
        <f t="shared" si="3"/>
        <v>1.9943652943281544E-244</v>
      </c>
      <c r="E113" t="e">
        <f t="shared" si="4"/>
        <v>#NUM!</v>
      </c>
    </row>
    <row r="114" spans="2:5">
      <c r="B114">
        <v>107</v>
      </c>
      <c r="C114" t="e">
        <f t="shared" si="5"/>
        <v>#NUM!</v>
      </c>
      <c r="D114">
        <f t="shared" si="3"/>
        <v>1.0021936152402785E-246</v>
      </c>
      <c r="E114" t="e">
        <f t="shared" si="4"/>
        <v>#NUM!</v>
      </c>
    </row>
    <row r="115" spans="2:5">
      <c r="B115">
        <v>108</v>
      </c>
      <c r="C115" t="e">
        <f t="shared" si="5"/>
        <v>#NUM!</v>
      </c>
      <c r="D115">
        <f t="shared" si="3"/>
        <v>5.036148820302907E-249</v>
      </c>
      <c r="E115" t="e">
        <f t="shared" si="4"/>
        <v>#NUM!</v>
      </c>
    </row>
    <row r="116" spans="2:5">
      <c r="B116">
        <v>109</v>
      </c>
      <c r="C116" t="e">
        <f t="shared" si="5"/>
        <v>#NUM!</v>
      </c>
      <c r="D116">
        <f t="shared" si="3"/>
        <v>2.5307280504034703E-251</v>
      </c>
      <c r="E116" t="e">
        <f t="shared" si="4"/>
        <v>#NUM!</v>
      </c>
    </row>
    <row r="117" spans="2:5">
      <c r="B117">
        <v>110</v>
      </c>
      <c r="C117" t="e">
        <f t="shared" si="5"/>
        <v>#NUM!</v>
      </c>
      <c r="D117">
        <f t="shared" si="3"/>
        <v>1.2717226383937037E-253</v>
      </c>
      <c r="E117" t="e">
        <f t="shared" si="4"/>
        <v>#NUM!</v>
      </c>
    </row>
    <row r="118" spans="2:5">
      <c r="B118">
        <v>111</v>
      </c>
      <c r="C118" t="e">
        <f t="shared" si="5"/>
        <v>#NUM!</v>
      </c>
      <c r="D118">
        <f t="shared" si="3"/>
        <v>6.3905660220789138E-256</v>
      </c>
      <c r="E118" t="e">
        <f t="shared" si="4"/>
        <v>#NUM!</v>
      </c>
    </row>
    <row r="119" spans="2:5">
      <c r="B119">
        <v>112</v>
      </c>
      <c r="C119" t="e">
        <f t="shared" si="5"/>
        <v>#NUM!</v>
      </c>
      <c r="D119">
        <f t="shared" si="3"/>
        <v>3.2113397095873935E-258</v>
      </c>
      <c r="E119" t="e">
        <f t="shared" si="4"/>
        <v>#NUM!</v>
      </c>
    </row>
    <row r="120" spans="2:5">
      <c r="B120">
        <v>113</v>
      </c>
      <c r="C120" t="e">
        <f t="shared" si="5"/>
        <v>#NUM!</v>
      </c>
      <c r="D120">
        <f t="shared" si="3"/>
        <v>1.6137385475313537E-260</v>
      </c>
      <c r="E120" t="e">
        <f t="shared" si="4"/>
        <v>#NUM!</v>
      </c>
    </row>
    <row r="121" spans="2:5">
      <c r="B121">
        <v>114</v>
      </c>
      <c r="C121" t="e">
        <f t="shared" si="5"/>
        <v>#NUM!</v>
      </c>
      <c r="D121">
        <f t="shared" si="3"/>
        <v>8.1092389323183614E-263</v>
      </c>
      <c r="E121" t="e">
        <f t="shared" si="4"/>
        <v>#NUM!</v>
      </c>
    </row>
    <row r="122" spans="2:5">
      <c r="B122">
        <v>115</v>
      </c>
      <c r="C122" t="e">
        <f t="shared" si="5"/>
        <v>#NUM!</v>
      </c>
      <c r="D122">
        <f t="shared" si="3"/>
        <v>4.0749944383509361E-265</v>
      </c>
      <c r="E122" t="e">
        <f t="shared" si="4"/>
        <v>#NUM!</v>
      </c>
    </row>
    <row r="123" spans="2:5">
      <c r="B123">
        <v>116</v>
      </c>
      <c r="C123" t="e">
        <f t="shared" si="5"/>
        <v>#NUM!</v>
      </c>
      <c r="D123">
        <f t="shared" si="3"/>
        <v>2.0477358986688109E-267</v>
      </c>
      <c r="E123" t="e">
        <f t="shared" si="4"/>
        <v>#NUM!</v>
      </c>
    </row>
    <row r="124" spans="2:5">
      <c r="B124">
        <v>117</v>
      </c>
      <c r="C124" t="e">
        <f t="shared" si="5"/>
        <v>#NUM!</v>
      </c>
      <c r="D124">
        <f t="shared" si="3"/>
        <v>1.0290130144064379E-269</v>
      </c>
      <c r="E124" t="e">
        <f t="shared" si="4"/>
        <v>#NUM!</v>
      </c>
    </row>
    <row r="125" spans="2:5">
      <c r="B125">
        <v>118</v>
      </c>
      <c r="C125" t="e">
        <f t="shared" si="5"/>
        <v>#NUM!</v>
      </c>
      <c r="D125">
        <f t="shared" si="3"/>
        <v>5.1709196703841093E-272</v>
      </c>
      <c r="E125" t="e">
        <f t="shared" si="4"/>
        <v>#NUM!</v>
      </c>
    </row>
    <row r="126" spans="2:5">
      <c r="B126">
        <v>119</v>
      </c>
      <c r="C126" t="e">
        <f t="shared" si="5"/>
        <v>#NUM!</v>
      </c>
      <c r="D126">
        <f t="shared" si="3"/>
        <v>2.5984520956704072E-274</v>
      </c>
      <c r="E126" t="e">
        <f t="shared" si="4"/>
        <v>#NUM!</v>
      </c>
    </row>
    <row r="127" spans="2:5">
      <c r="B127">
        <v>120</v>
      </c>
      <c r="C127" t="e">
        <f t="shared" si="5"/>
        <v>#NUM!</v>
      </c>
      <c r="D127">
        <f t="shared" si="3"/>
        <v>1.305754821944928E-276</v>
      </c>
      <c r="E127" t="e">
        <f t="shared" si="4"/>
        <v>#NUM!</v>
      </c>
    </row>
    <row r="128" spans="2:5">
      <c r="B128">
        <v>121</v>
      </c>
      <c r="C128" t="e">
        <f t="shared" si="5"/>
        <v>#NUM!</v>
      </c>
      <c r="D128">
        <f t="shared" si="3"/>
        <v>6.5615820198237598E-279</v>
      </c>
      <c r="E128" t="e">
        <f t="shared" si="4"/>
        <v>#NUM!</v>
      </c>
    </row>
    <row r="129" spans="2:5">
      <c r="B129">
        <v>122</v>
      </c>
      <c r="C129" t="e">
        <f t="shared" si="5"/>
        <v>#NUM!</v>
      </c>
      <c r="D129">
        <f t="shared" si="3"/>
        <v>3.2972773968963621E-281</v>
      </c>
      <c r="E129" t="e">
        <f t="shared" si="4"/>
        <v>#NUM!</v>
      </c>
    </row>
    <row r="130" spans="2:5">
      <c r="B130">
        <v>123</v>
      </c>
      <c r="C130" t="e">
        <f t="shared" si="5"/>
        <v>#NUM!</v>
      </c>
      <c r="D130">
        <f t="shared" si="3"/>
        <v>1.656923315023298E-283</v>
      </c>
      <c r="E130" t="e">
        <f t="shared" si="4"/>
        <v>#NUM!</v>
      </c>
    </row>
    <row r="131" spans="2:5">
      <c r="B131">
        <v>124</v>
      </c>
      <c r="C131" t="e">
        <f t="shared" si="5"/>
        <v>#NUM!</v>
      </c>
      <c r="D131">
        <f t="shared" si="3"/>
        <v>8.3262478141874236E-286</v>
      </c>
      <c r="E131" t="e">
        <f t="shared" si="4"/>
        <v>#NUM!</v>
      </c>
    </row>
    <row r="132" spans="2:5">
      <c r="B132">
        <v>125</v>
      </c>
      <c r="C132" t="e">
        <f t="shared" si="5"/>
        <v>#NUM!</v>
      </c>
      <c r="D132">
        <f t="shared" si="3"/>
        <v>4.1840441277323748E-288</v>
      </c>
      <c r="E132" t="e">
        <f t="shared" si="4"/>
        <v>#NUM!</v>
      </c>
    </row>
    <row r="133" spans="2:5">
      <c r="B133">
        <v>126</v>
      </c>
      <c r="C133" t="e">
        <f t="shared" si="5"/>
        <v>#NUM!</v>
      </c>
      <c r="D133">
        <f t="shared" si="3"/>
        <v>2.1025347375539566E-290</v>
      </c>
      <c r="E133" t="e">
        <f t="shared" si="4"/>
        <v>#NUM!</v>
      </c>
    </row>
    <row r="134" spans="2:5">
      <c r="B134">
        <v>127</v>
      </c>
      <c r="C134" t="e">
        <f t="shared" si="5"/>
        <v>#NUM!</v>
      </c>
      <c r="D134">
        <f t="shared" si="3"/>
        <v>1.0565501193738479E-292</v>
      </c>
      <c r="E134" t="e">
        <f t="shared" si="4"/>
        <v>#NUM!</v>
      </c>
    </row>
    <row r="135" spans="2:5">
      <c r="B135">
        <v>128</v>
      </c>
      <c r="C135" t="e">
        <f t="shared" si="5"/>
        <v>#NUM!</v>
      </c>
      <c r="D135">
        <f t="shared" si="3"/>
        <v>5.3092970822806419E-295</v>
      </c>
      <c r="E135" t="e">
        <f t="shared" si="4"/>
        <v>#NUM!</v>
      </c>
    </row>
    <row r="136" spans="2:5">
      <c r="B136">
        <v>129</v>
      </c>
      <c r="C136" t="e">
        <f t="shared" si="5"/>
        <v>#NUM!</v>
      </c>
      <c r="D136">
        <f t="shared" ref="D136:D139" si="6">$C$4^B136*(1-$C$4)^($C$3-B136)</f>
        <v>2.6679884835581113E-297</v>
      </c>
      <c r="E136" t="e">
        <f t="shared" ref="E136:E139" si="7">C136*D136</f>
        <v>#NUM!</v>
      </c>
    </row>
    <row r="137" spans="2:5">
      <c r="B137">
        <v>130</v>
      </c>
      <c r="C137" t="e">
        <f t="shared" si="5"/>
        <v>#NUM!</v>
      </c>
      <c r="D137">
        <f t="shared" si="6"/>
        <v>1.3406977304312117E-299</v>
      </c>
      <c r="E137" t="e">
        <f t="shared" si="7"/>
        <v>#NUM!</v>
      </c>
    </row>
    <row r="138" spans="2:5">
      <c r="B138">
        <v>131</v>
      </c>
      <c r="C138" t="e">
        <f t="shared" ref="C138:C139" si="8">COMBIN($C$3,B138)</f>
        <v>#NUM!</v>
      </c>
      <c r="D138">
        <f t="shared" si="6"/>
        <v>6.7371745247799585E-302</v>
      </c>
      <c r="E138" t="e">
        <f t="shared" si="7"/>
        <v>#NUM!</v>
      </c>
    </row>
    <row r="139" spans="2:5">
      <c r="B139">
        <v>132</v>
      </c>
      <c r="C139" t="e">
        <f t="shared" si="8"/>
        <v>#NUM!</v>
      </c>
      <c r="D139">
        <f t="shared" si="6"/>
        <v>3.3855148365728428E-304</v>
      </c>
      <c r="E139" t="e">
        <f t="shared" si="7"/>
        <v>#NUM!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35AC-CD35-4799-85BB-D69161F4F954}">
  <dimension ref="A1:F102"/>
  <sheetViews>
    <sheetView topLeftCell="A58" workbookViewId="0">
      <selection activeCell="H68" sqref="H68"/>
    </sheetView>
  </sheetViews>
  <sheetFormatPr defaultRowHeight="18"/>
  <sheetData>
    <row r="1" spans="1:6" ht="18.600000000000001" thickBot="1">
      <c r="A1" t="s">
        <v>189</v>
      </c>
    </row>
    <row r="2" spans="1:6" ht="18.600000000000001" thickBot="1">
      <c r="B2" s="87" t="s">
        <v>172</v>
      </c>
      <c r="C2" s="88"/>
      <c r="D2" s="88"/>
      <c r="E2" s="88"/>
      <c r="F2" s="89"/>
    </row>
    <row r="3" spans="1:6" ht="18.600000000000001" thickBot="1">
      <c r="A3" s="13" t="s">
        <v>188</v>
      </c>
      <c r="B3" s="13">
        <v>0.1</v>
      </c>
      <c r="C3" s="13">
        <v>0.05</v>
      </c>
      <c r="D3" s="13">
        <v>2.5000000000000001E-2</v>
      </c>
      <c r="E3" s="13">
        <v>0.01</v>
      </c>
      <c r="F3" s="13">
        <v>5.0000000000000001E-3</v>
      </c>
    </row>
    <row r="4" spans="1:6" ht="18.600000000000001" thickBot="1">
      <c r="A4" s="13">
        <v>1</v>
      </c>
      <c r="B4" s="14">
        <v>3.0779999999999998</v>
      </c>
      <c r="C4" s="14">
        <v>6.3140000000000001</v>
      </c>
      <c r="D4" s="14">
        <v>12.706</v>
      </c>
      <c r="E4" s="14">
        <v>31.821000000000002</v>
      </c>
      <c r="F4" s="14">
        <v>63.656999999999996</v>
      </c>
    </row>
    <row r="5" spans="1:6" ht="18.600000000000001" thickBot="1">
      <c r="A5" s="13">
        <v>2</v>
      </c>
      <c r="B5" s="14">
        <v>1.8859999999999999</v>
      </c>
      <c r="C5" s="14">
        <v>2.92</v>
      </c>
      <c r="D5" s="14">
        <v>4.3029999999999999</v>
      </c>
      <c r="E5" s="14">
        <v>6.9649999999999999</v>
      </c>
      <c r="F5" s="14">
        <v>9.9250000000000007</v>
      </c>
    </row>
    <row r="6" spans="1:6" ht="18.600000000000001" thickBot="1">
      <c r="A6" s="13">
        <v>3</v>
      </c>
      <c r="B6" s="14">
        <v>1.6379999999999999</v>
      </c>
      <c r="C6" s="14">
        <v>2.3530000000000002</v>
      </c>
      <c r="D6" s="14">
        <v>3.1819999999999999</v>
      </c>
      <c r="E6" s="14">
        <v>4.5410000000000004</v>
      </c>
      <c r="F6" s="14">
        <v>5.8410000000000002</v>
      </c>
    </row>
    <row r="7" spans="1:6" ht="18.600000000000001" thickBot="1">
      <c r="A7" s="13">
        <v>4</v>
      </c>
      <c r="B7" s="14">
        <v>1.5329999999999999</v>
      </c>
      <c r="C7" s="14">
        <v>2.1320000000000001</v>
      </c>
      <c r="D7" s="14">
        <v>2.7759999999999998</v>
      </c>
      <c r="E7" s="14">
        <v>3.7469999999999999</v>
      </c>
      <c r="F7" s="14">
        <v>4.6040000000000001</v>
      </c>
    </row>
    <row r="8" spans="1:6" ht="18.600000000000001" thickBot="1">
      <c r="A8" s="13">
        <v>5</v>
      </c>
      <c r="B8" s="14">
        <v>1.476</v>
      </c>
      <c r="C8" s="14">
        <v>2.0150000000000001</v>
      </c>
      <c r="D8" s="14">
        <v>2.5710000000000002</v>
      </c>
      <c r="E8" s="14">
        <v>3.3650000000000002</v>
      </c>
      <c r="F8" s="14">
        <v>4.032</v>
      </c>
    </row>
    <row r="9" spans="1:6" ht="18.600000000000001" thickBot="1">
      <c r="A9" s="13">
        <v>6</v>
      </c>
      <c r="B9" s="14">
        <v>1.44</v>
      </c>
      <c r="C9" s="14">
        <v>1.9430000000000001</v>
      </c>
      <c r="D9" s="14">
        <v>2.4470000000000001</v>
      </c>
      <c r="E9" s="14">
        <v>3.1429999999999998</v>
      </c>
      <c r="F9" s="14">
        <v>3.7069999999999999</v>
      </c>
    </row>
    <row r="10" spans="1:6" ht="18.600000000000001" thickBot="1">
      <c r="A10" s="13">
        <v>7</v>
      </c>
      <c r="B10" s="14">
        <v>1.415</v>
      </c>
      <c r="C10" s="14">
        <v>1.895</v>
      </c>
      <c r="D10" s="14">
        <v>2.3650000000000002</v>
      </c>
      <c r="E10" s="14">
        <v>2.9980000000000002</v>
      </c>
      <c r="F10" s="14">
        <v>3.4990000000000001</v>
      </c>
    </row>
    <row r="11" spans="1:6" ht="18.600000000000001" thickBot="1">
      <c r="A11" s="13">
        <v>8</v>
      </c>
      <c r="B11" s="14">
        <v>1.397</v>
      </c>
      <c r="C11" s="14">
        <v>1.86</v>
      </c>
      <c r="D11" s="14">
        <v>2.306</v>
      </c>
      <c r="E11" s="14">
        <v>2.8959999999999999</v>
      </c>
      <c r="F11" s="14">
        <v>3.355</v>
      </c>
    </row>
    <row r="12" spans="1:6" ht="18.600000000000001" thickBot="1">
      <c r="A12" s="13">
        <v>9</v>
      </c>
      <c r="B12" s="14">
        <v>1.383</v>
      </c>
      <c r="C12" s="14">
        <v>1.833</v>
      </c>
      <c r="D12" s="14">
        <v>2.262</v>
      </c>
      <c r="E12" s="14">
        <v>2.8210000000000002</v>
      </c>
      <c r="F12" s="14">
        <v>3.25</v>
      </c>
    </row>
    <row r="13" spans="1:6" ht="18.600000000000001" thickBot="1">
      <c r="A13" s="13">
        <v>10</v>
      </c>
      <c r="B13" s="14">
        <v>1.3720000000000001</v>
      </c>
      <c r="C13" s="14">
        <v>1.8120000000000001</v>
      </c>
      <c r="D13" s="14">
        <v>2.2280000000000002</v>
      </c>
      <c r="E13" s="14">
        <v>2.7639999999999998</v>
      </c>
      <c r="F13" s="14">
        <v>3.169</v>
      </c>
    </row>
    <row r="14" spans="1:6" ht="18.600000000000001" thickBot="1">
      <c r="A14" s="13">
        <v>11</v>
      </c>
      <c r="B14" s="14">
        <v>1.363</v>
      </c>
      <c r="C14" s="14">
        <v>1.796</v>
      </c>
      <c r="D14" s="14">
        <v>2.2010000000000001</v>
      </c>
      <c r="E14" s="14">
        <v>2.718</v>
      </c>
      <c r="F14" s="14">
        <v>3.1059999999999999</v>
      </c>
    </row>
    <row r="15" spans="1:6" ht="18.600000000000001" thickBot="1">
      <c r="A15" s="13">
        <v>12</v>
      </c>
      <c r="B15" s="14">
        <v>1.3560000000000001</v>
      </c>
      <c r="C15" s="14">
        <v>1.782</v>
      </c>
      <c r="D15" s="14">
        <v>2.1789999999999998</v>
      </c>
      <c r="E15" s="14">
        <v>2.681</v>
      </c>
      <c r="F15" s="14">
        <v>3.0550000000000002</v>
      </c>
    </row>
    <row r="16" spans="1:6" ht="18.600000000000001" thickBot="1">
      <c r="A16" s="13">
        <v>13</v>
      </c>
      <c r="B16" s="14">
        <v>1.35</v>
      </c>
      <c r="C16" s="14">
        <v>1.7709999999999999</v>
      </c>
      <c r="D16" s="14">
        <v>2.16</v>
      </c>
      <c r="E16" s="14">
        <v>2.65</v>
      </c>
      <c r="F16" s="14">
        <v>3.012</v>
      </c>
    </row>
    <row r="17" spans="1:6" ht="18.600000000000001" thickBot="1">
      <c r="A17" s="13">
        <v>14</v>
      </c>
      <c r="B17" s="14">
        <v>1.345</v>
      </c>
      <c r="C17" s="14">
        <v>1.7609999999999999</v>
      </c>
      <c r="D17" s="14">
        <v>2.145</v>
      </c>
      <c r="E17" s="14">
        <v>2.6240000000000001</v>
      </c>
      <c r="F17" s="14">
        <v>2.9769999999999999</v>
      </c>
    </row>
    <row r="18" spans="1:6" ht="18.600000000000001" thickBot="1">
      <c r="A18" s="13">
        <v>15</v>
      </c>
      <c r="B18" s="14">
        <v>1.341</v>
      </c>
      <c r="C18" s="14">
        <v>1.7529999999999999</v>
      </c>
      <c r="D18" s="14">
        <v>2.1309999999999998</v>
      </c>
      <c r="E18" s="14">
        <v>2.6019999999999999</v>
      </c>
      <c r="F18" s="14">
        <v>2.9470000000000001</v>
      </c>
    </row>
    <row r="19" spans="1:6" ht="18.600000000000001" thickBot="1">
      <c r="A19" s="13">
        <v>16</v>
      </c>
      <c r="B19" s="14">
        <v>1.337</v>
      </c>
      <c r="C19" s="14">
        <v>1.746</v>
      </c>
      <c r="D19" s="14">
        <v>2.12</v>
      </c>
      <c r="E19" s="14">
        <v>2.5830000000000002</v>
      </c>
      <c r="F19" s="14">
        <v>2.9209999999999998</v>
      </c>
    </row>
    <row r="20" spans="1:6" ht="18.600000000000001" thickBot="1">
      <c r="A20" s="13">
        <v>17</v>
      </c>
      <c r="B20" s="14">
        <v>1.333</v>
      </c>
      <c r="C20" s="14">
        <v>1.74</v>
      </c>
      <c r="D20" s="14">
        <v>2.11</v>
      </c>
      <c r="E20" s="14">
        <v>2.5670000000000002</v>
      </c>
      <c r="F20" s="14">
        <v>2.8980000000000001</v>
      </c>
    </row>
    <row r="21" spans="1:6" ht="18.600000000000001" thickBot="1">
      <c r="A21" s="13">
        <v>18</v>
      </c>
      <c r="B21" s="14">
        <v>1.33</v>
      </c>
      <c r="C21" s="14">
        <v>1.734</v>
      </c>
      <c r="D21" s="14">
        <v>2.101</v>
      </c>
      <c r="E21" s="14">
        <v>2.552</v>
      </c>
      <c r="F21" s="14">
        <v>2.8780000000000001</v>
      </c>
    </row>
    <row r="22" spans="1:6" ht="18.600000000000001" thickBot="1">
      <c r="A22" s="13">
        <v>19</v>
      </c>
      <c r="B22" s="14">
        <v>1.3280000000000001</v>
      </c>
      <c r="C22" s="14">
        <v>1.7290000000000001</v>
      </c>
      <c r="D22" s="14">
        <v>2.093</v>
      </c>
      <c r="E22" s="14">
        <v>2.5390000000000001</v>
      </c>
      <c r="F22" s="14">
        <v>2.8610000000000002</v>
      </c>
    </row>
    <row r="23" spans="1:6" ht="18.600000000000001" thickBot="1">
      <c r="A23" s="13">
        <v>20</v>
      </c>
      <c r="B23" s="14">
        <v>1.325</v>
      </c>
      <c r="C23" s="14">
        <v>1.7250000000000001</v>
      </c>
      <c r="D23" s="14">
        <v>2.0859999999999999</v>
      </c>
      <c r="E23" s="14">
        <v>2.528</v>
      </c>
      <c r="F23" s="14">
        <v>2.8450000000000002</v>
      </c>
    </row>
    <row r="25" spans="1:6">
      <c r="A25" t="s">
        <v>207</v>
      </c>
    </row>
    <row r="26" spans="1:6" ht="18.600000000000001" thickBot="1">
      <c r="A26" s="51" t="s">
        <v>200</v>
      </c>
      <c r="B26" s="52" t="s">
        <v>201</v>
      </c>
      <c r="C26" s="52" t="s">
        <v>202</v>
      </c>
      <c r="D26" s="52" t="s">
        <v>203</v>
      </c>
      <c r="E26" s="52" t="s">
        <v>204</v>
      </c>
      <c r="F26" s="52" t="s">
        <v>205</v>
      </c>
    </row>
    <row r="27" spans="1:6" ht="18.600000000000001" thickBot="1">
      <c r="A27" s="53">
        <v>1</v>
      </c>
      <c r="B27" s="53">
        <v>3.0779999999999998</v>
      </c>
      <c r="C27" s="53">
        <v>6.3140000000000001</v>
      </c>
      <c r="D27" s="53">
        <v>12.706</v>
      </c>
      <c r="E27" s="53">
        <v>31.821000000000002</v>
      </c>
      <c r="F27" s="53">
        <v>63.656999999999996</v>
      </c>
    </row>
    <row r="28" spans="1:6" ht="18.600000000000001" thickBot="1">
      <c r="A28" s="54">
        <v>2</v>
      </c>
      <c r="B28" s="54">
        <v>1.8859999999999999</v>
      </c>
      <c r="C28" s="54">
        <v>2.92</v>
      </c>
      <c r="D28" s="54">
        <v>4.3029999999999999</v>
      </c>
      <c r="E28" s="54">
        <v>6.9649999999999999</v>
      </c>
      <c r="F28" s="54">
        <v>9.9250000000000007</v>
      </c>
    </row>
    <row r="29" spans="1:6" ht="18.600000000000001" thickBot="1">
      <c r="A29" s="55">
        <v>3</v>
      </c>
      <c r="B29" s="55">
        <v>1.6379999999999999</v>
      </c>
      <c r="C29" s="55">
        <v>2.3530000000000002</v>
      </c>
      <c r="D29" s="55">
        <v>3.1819999999999999</v>
      </c>
      <c r="E29" s="55">
        <v>4.5410000000000004</v>
      </c>
      <c r="F29" s="55">
        <v>5.8410000000000002</v>
      </c>
    </row>
    <row r="30" spans="1:6" ht="18.600000000000001" thickBot="1">
      <c r="A30" s="54">
        <v>4</v>
      </c>
      <c r="B30" s="54">
        <v>1.5329999999999999</v>
      </c>
      <c r="C30" s="54">
        <v>2.1320000000000001</v>
      </c>
      <c r="D30" s="54">
        <v>2.7759999999999998</v>
      </c>
      <c r="E30" s="54">
        <v>3.7469999999999999</v>
      </c>
      <c r="F30" s="54">
        <v>4.6040000000000001</v>
      </c>
    </row>
    <row r="31" spans="1:6" ht="18.600000000000001" thickBot="1">
      <c r="A31" s="55">
        <v>5</v>
      </c>
      <c r="B31" s="55">
        <v>1.476</v>
      </c>
      <c r="C31" s="55">
        <v>2.0150000000000001</v>
      </c>
      <c r="D31" s="55">
        <v>2.5710000000000002</v>
      </c>
      <c r="E31" s="55">
        <v>3.3650000000000002</v>
      </c>
      <c r="F31" s="55">
        <v>4.032</v>
      </c>
    </row>
    <row r="32" spans="1:6" ht="18.600000000000001" thickBot="1">
      <c r="A32" s="54">
        <v>6</v>
      </c>
      <c r="B32" s="54">
        <v>1.44</v>
      </c>
      <c r="C32" s="54">
        <v>1.9430000000000001</v>
      </c>
      <c r="D32" s="54">
        <v>2.4470000000000001</v>
      </c>
      <c r="E32" s="54">
        <v>3.1429999999999998</v>
      </c>
      <c r="F32" s="54">
        <v>3.7069999999999999</v>
      </c>
    </row>
    <row r="33" spans="1:6" ht="18.600000000000001" thickBot="1">
      <c r="A33" s="55">
        <v>7</v>
      </c>
      <c r="B33" s="55">
        <v>1.415</v>
      </c>
      <c r="C33" s="55">
        <v>1.895</v>
      </c>
      <c r="D33" s="55">
        <v>2.3650000000000002</v>
      </c>
      <c r="E33" s="55">
        <v>2.9980000000000002</v>
      </c>
      <c r="F33" s="55">
        <v>3.4990000000000001</v>
      </c>
    </row>
    <row r="34" spans="1:6" ht="18.600000000000001" thickBot="1">
      <c r="A34" s="54">
        <v>8</v>
      </c>
      <c r="B34" s="54">
        <v>1.397</v>
      </c>
      <c r="C34" s="54">
        <v>1.86</v>
      </c>
      <c r="D34" s="54">
        <v>2.306</v>
      </c>
      <c r="E34" s="54">
        <v>2.8959999999999999</v>
      </c>
      <c r="F34" s="54">
        <v>3.355</v>
      </c>
    </row>
    <row r="35" spans="1:6" ht="18.600000000000001" thickBot="1">
      <c r="A35" s="55">
        <v>9</v>
      </c>
      <c r="B35" s="55">
        <v>1.383</v>
      </c>
      <c r="C35" s="55">
        <v>1.833</v>
      </c>
      <c r="D35" s="55">
        <v>2.262</v>
      </c>
      <c r="E35" s="55">
        <v>2.8210000000000002</v>
      </c>
      <c r="F35" s="55">
        <v>3.25</v>
      </c>
    </row>
    <row r="36" spans="1:6" ht="18.600000000000001" thickBot="1">
      <c r="A36" s="54">
        <v>10</v>
      </c>
      <c r="B36" s="54">
        <v>1.3720000000000001</v>
      </c>
      <c r="C36" s="54">
        <v>1.8120000000000001</v>
      </c>
      <c r="D36" s="54">
        <v>2.2280000000000002</v>
      </c>
      <c r="E36" s="54">
        <v>2.7639999999999998</v>
      </c>
      <c r="F36" s="54">
        <v>3.169</v>
      </c>
    </row>
    <row r="37" spans="1:6" ht="18.600000000000001" thickBot="1">
      <c r="A37" s="55">
        <v>11</v>
      </c>
      <c r="B37" s="55">
        <v>1.363</v>
      </c>
      <c r="C37" s="55">
        <v>1.796</v>
      </c>
      <c r="D37" s="55">
        <v>2.2010000000000001</v>
      </c>
      <c r="E37" s="55">
        <v>2.718</v>
      </c>
      <c r="F37" s="55">
        <v>3.1059999999999999</v>
      </c>
    </row>
    <row r="38" spans="1:6" ht="18.600000000000001" thickBot="1">
      <c r="A38" s="54">
        <v>12</v>
      </c>
      <c r="B38" s="54">
        <v>1.3560000000000001</v>
      </c>
      <c r="C38" s="54">
        <v>1.782</v>
      </c>
      <c r="D38" s="54">
        <v>2.1789999999999998</v>
      </c>
      <c r="E38" s="54">
        <v>2.681</v>
      </c>
      <c r="F38" s="54">
        <v>3.0550000000000002</v>
      </c>
    </row>
    <row r="39" spans="1:6" ht="18.600000000000001" thickBot="1">
      <c r="A39" s="55">
        <v>13</v>
      </c>
      <c r="B39" s="55">
        <v>1.35</v>
      </c>
      <c r="C39" s="55">
        <v>1.7709999999999999</v>
      </c>
      <c r="D39" s="55">
        <v>2.16</v>
      </c>
      <c r="E39" s="55">
        <v>2.65</v>
      </c>
      <c r="F39" s="55">
        <v>3.012</v>
      </c>
    </row>
    <row r="40" spans="1:6" ht="18.600000000000001" thickBot="1">
      <c r="A40" s="54">
        <v>14</v>
      </c>
      <c r="B40" s="54">
        <v>1.345</v>
      </c>
      <c r="C40" s="54">
        <v>1.7609999999999999</v>
      </c>
      <c r="D40" s="54">
        <v>2.145</v>
      </c>
      <c r="E40" s="54">
        <v>2.6240000000000001</v>
      </c>
      <c r="F40" s="54">
        <v>2.9769999999999999</v>
      </c>
    </row>
    <row r="41" spans="1:6" ht="18.600000000000001" thickBot="1">
      <c r="A41" s="55">
        <v>15</v>
      </c>
      <c r="B41" s="55">
        <v>1.341</v>
      </c>
      <c r="C41" s="55">
        <v>1.7529999999999999</v>
      </c>
      <c r="D41" s="55">
        <v>2.1309999999999998</v>
      </c>
      <c r="E41" s="55">
        <v>2.6019999999999999</v>
      </c>
      <c r="F41" s="55">
        <v>2.9470000000000001</v>
      </c>
    </row>
    <row r="42" spans="1:6" ht="18.600000000000001" thickBot="1">
      <c r="A42" s="54">
        <v>16</v>
      </c>
      <c r="B42" s="54">
        <v>1.337</v>
      </c>
      <c r="C42" s="54">
        <v>1.746</v>
      </c>
      <c r="D42" s="54">
        <v>2.12</v>
      </c>
      <c r="E42" s="54">
        <v>2.5830000000000002</v>
      </c>
      <c r="F42" s="54">
        <v>2.9209999999999998</v>
      </c>
    </row>
    <row r="43" spans="1:6" ht="18.600000000000001" thickBot="1">
      <c r="A43" s="55">
        <v>17</v>
      </c>
      <c r="B43" s="55">
        <v>1.333</v>
      </c>
      <c r="C43" s="55">
        <v>1.74</v>
      </c>
      <c r="D43" s="55">
        <v>2.11</v>
      </c>
      <c r="E43" s="55">
        <v>2.5670000000000002</v>
      </c>
      <c r="F43" s="55">
        <v>2.8980000000000001</v>
      </c>
    </row>
    <row r="44" spans="1:6" ht="18.600000000000001" thickBot="1">
      <c r="A44" s="54">
        <v>18</v>
      </c>
      <c r="B44" s="54">
        <v>1.33</v>
      </c>
      <c r="C44" s="54">
        <v>1.734</v>
      </c>
      <c r="D44" s="54">
        <v>2.101</v>
      </c>
      <c r="E44" s="54">
        <v>2.552</v>
      </c>
      <c r="F44" s="54">
        <v>2.8780000000000001</v>
      </c>
    </row>
    <row r="45" spans="1:6" ht="18.600000000000001" thickBot="1">
      <c r="A45" s="55">
        <v>19</v>
      </c>
      <c r="B45" s="55">
        <v>1.3280000000000001</v>
      </c>
      <c r="C45" s="55">
        <v>1.7290000000000001</v>
      </c>
      <c r="D45" s="55">
        <v>2.093</v>
      </c>
      <c r="E45" s="55">
        <v>2.5390000000000001</v>
      </c>
      <c r="F45" s="55">
        <v>2.8610000000000002</v>
      </c>
    </row>
    <row r="46" spans="1:6" ht="18.600000000000001" thickBot="1">
      <c r="A46" s="54">
        <v>20</v>
      </c>
      <c r="B46" s="54">
        <v>1.325</v>
      </c>
      <c r="C46" s="54">
        <v>1.7250000000000001</v>
      </c>
      <c r="D46" s="54">
        <v>2.0859999999999999</v>
      </c>
      <c r="E46" s="54">
        <v>2.528</v>
      </c>
      <c r="F46" s="54">
        <v>2.8450000000000002</v>
      </c>
    </row>
    <row r="47" spans="1:6" ht="18.600000000000001" thickBot="1">
      <c r="A47" s="55">
        <v>21</v>
      </c>
      <c r="B47" s="55">
        <v>1.323</v>
      </c>
      <c r="C47" s="55">
        <v>1.7210000000000001</v>
      </c>
      <c r="D47" s="55">
        <v>2.08</v>
      </c>
      <c r="E47" s="55">
        <v>2.5179999999999998</v>
      </c>
      <c r="F47" s="55">
        <v>2.831</v>
      </c>
    </row>
    <row r="48" spans="1:6" ht="18.600000000000001" thickBot="1">
      <c r="A48" s="54">
        <v>22</v>
      </c>
      <c r="B48" s="54">
        <v>1.321</v>
      </c>
      <c r="C48" s="54">
        <v>1.7170000000000001</v>
      </c>
      <c r="D48" s="54">
        <v>2.0739999999999998</v>
      </c>
      <c r="E48" s="54">
        <v>2.508</v>
      </c>
      <c r="F48" s="54">
        <v>2.819</v>
      </c>
    </row>
    <row r="49" spans="1:6" ht="18.600000000000001" thickBot="1">
      <c r="A49" s="55">
        <v>23</v>
      </c>
      <c r="B49" s="55">
        <v>1.319</v>
      </c>
      <c r="C49" s="55">
        <v>1.714</v>
      </c>
      <c r="D49" s="55">
        <v>2.069</v>
      </c>
      <c r="E49" s="55">
        <v>2.5</v>
      </c>
      <c r="F49" s="55">
        <v>2.8069999999999999</v>
      </c>
    </row>
    <row r="50" spans="1:6" ht="18.600000000000001" thickBot="1">
      <c r="A50" s="54">
        <v>24</v>
      </c>
      <c r="B50" s="54">
        <v>1.3180000000000001</v>
      </c>
      <c r="C50" s="54">
        <v>1.7110000000000001</v>
      </c>
      <c r="D50" s="54">
        <v>2.0640000000000001</v>
      </c>
      <c r="E50" s="54">
        <v>2.492</v>
      </c>
      <c r="F50" s="54">
        <v>2.7970000000000002</v>
      </c>
    </row>
    <row r="51" spans="1:6" ht="18.600000000000001" thickBot="1">
      <c r="A51" s="55">
        <v>25</v>
      </c>
      <c r="B51" s="55">
        <v>1.3160000000000001</v>
      </c>
      <c r="C51" s="55">
        <v>1.708</v>
      </c>
      <c r="D51" s="55">
        <v>2.06</v>
      </c>
      <c r="E51" s="55">
        <v>2.4849999999999999</v>
      </c>
      <c r="F51" s="55">
        <v>2.7869999999999999</v>
      </c>
    </row>
    <row r="52" spans="1:6" ht="18.600000000000001" thickBot="1">
      <c r="A52" s="54">
        <v>26</v>
      </c>
      <c r="B52" s="54">
        <v>1.3149999999999999</v>
      </c>
      <c r="C52" s="54">
        <v>1.706</v>
      </c>
      <c r="D52" s="54">
        <v>2.056</v>
      </c>
      <c r="E52" s="54">
        <v>2.4790000000000001</v>
      </c>
      <c r="F52" s="54">
        <v>2.7789999999999999</v>
      </c>
    </row>
    <row r="53" spans="1:6" ht="18.600000000000001" thickBot="1">
      <c r="A53" s="55">
        <v>27</v>
      </c>
      <c r="B53" s="55">
        <v>1.3140000000000001</v>
      </c>
      <c r="C53" s="55">
        <v>1.7030000000000001</v>
      </c>
      <c r="D53" s="55">
        <v>2.052</v>
      </c>
      <c r="E53" s="55">
        <v>2.4729999999999999</v>
      </c>
      <c r="F53" s="55">
        <v>2.7709999999999999</v>
      </c>
    </row>
    <row r="54" spans="1:6" ht="18.600000000000001" thickBot="1">
      <c r="A54" s="54">
        <v>28</v>
      </c>
      <c r="B54" s="54">
        <v>1.3129999999999999</v>
      </c>
      <c r="C54" s="54">
        <v>1.7010000000000001</v>
      </c>
      <c r="D54" s="54">
        <v>2.048</v>
      </c>
      <c r="E54" s="54">
        <v>2.4670000000000001</v>
      </c>
      <c r="F54" s="54">
        <v>2.7629999999999999</v>
      </c>
    </row>
    <row r="55" spans="1:6" ht="18.600000000000001" thickBot="1">
      <c r="A55" s="55">
        <v>29</v>
      </c>
      <c r="B55" s="55">
        <v>1.3109999999999999</v>
      </c>
      <c r="C55" s="55">
        <v>1.6990000000000001</v>
      </c>
      <c r="D55" s="55">
        <v>2.0449999999999999</v>
      </c>
      <c r="E55" s="55">
        <v>2.4620000000000002</v>
      </c>
      <c r="F55" s="55">
        <v>2.7559999999999998</v>
      </c>
    </row>
    <row r="56" spans="1:6" ht="18.600000000000001" thickBot="1">
      <c r="A56" s="54">
        <v>30</v>
      </c>
      <c r="B56" s="54">
        <v>1.31</v>
      </c>
      <c r="C56" s="54">
        <v>1.6970000000000001</v>
      </c>
      <c r="D56" s="54">
        <v>2.0419999999999998</v>
      </c>
      <c r="E56" s="54">
        <v>2.4569999999999999</v>
      </c>
      <c r="F56" s="54">
        <v>2.75</v>
      </c>
    </row>
    <row r="57" spans="1:6" ht="18.600000000000001" thickBot="1">
      <c r="A57" s="55">
        <v>40</v>
      </c>
      <c r="B57" s="55">
        <v>1.3029999999999999</v>
      </c>
      <c r="C57" s="55">
        <v>1.6839999999999999</v>
      </c>
      <c r="D57" s="55">
        <v>2.0209999999999999</v>
      </c>
      <c r="E57" s="55">
        <v>2.423</v>
      </c>
      <c r="F57" s="55">
        <v>2.7040000000000002</v>
      </c>
    </row>
    <row r="58" spans="1:6" ht="18.600000000000001" thickBot="1">
      <c r="A58" s="54">
        <v>60</v>
      </c>
      <c r="B58" s="54">
        <v>1.296</v>
      </c>
      <c r="C58" s="54">
        <v>1.671</v>
      </c>
      <c r="D58" s="54">
        <v>2</v>
      </c>
      <c r="E58" s="54">
        <v>2.39</v>
      </c>
      <c r="F58" s="54">
        <v>2.66</v>
      </c>
    </row>
    <row r="59" spans="1:6" ht="18.600000000000001" thickBot="1">
      <c r="A59" s="55">
        <v>80</v>
      </c>
      <c r="B59" s="55">
        <v>1.292</v>
      </c>
      <c r="C59" s="55">
        <v>1.6639999999999999</v>
      </c>
      <c r="D59" s="55">
        <v>1.99</v>
      </c>
      <c r="E59" s="55">
        <v>2.3740000000000001</v>
      </c>
      <c r="F59" s="55">
        <v>2.6389999999999998</v>
      </c>
    </row>
    <row r="60" spans="1:6" ht="18.600000000000001" thickBot="1">
      <c r="A60" s="54">
        <v>120</v>
      </c>
      <c r="B60" s="54">
        <v>1.2889999999999999</v>
      </c>
      <c r="C60" s="54">
        <v>1.6579999999999999</v>
      </c>
      <c r="D60" s="54">
        <v>1.98</v>
      </c>
      <c r="E60" s="54">
        <v>2.3580000000000001</v>
      </c>
      <c r="F60" s="54">
        <v>2.617</v>
      </c>
    </row>
    <row r="61" spans="1:6" ht="18.600000000000001" thickBot="1">
      <c r="A61" s="55">
        <v>180</v>
      </c>
      <c r="B61" s="55">
        <v>1.286</v>
      </c>
      <c r="C61" s="55">
        <v>1.653</v>
      </c>
      <c r="D61" s="55">
        <v>1.9730000000000001</v>
      </c>
      <c r="E61" s="55">
        <v>2.347</v>
      </c>
      <c r="F61" s="55">
        <v>2.6030000000000002</v>
      </c>
    </row>
    <row r="62" spans="1:6" ht="18.600000000000001" thickBot="1">
      <c r="A62" s="54">
        <v>240</v>
      </c>
      <c r="B62" s="54">
        <v>1.2849999999999999</v>
      </c>
      <c r="C62" s="54">
        <v>1.651</v>
      </c>
      <c r="D62" s="54">
        <v>1.97</v>
      </c>
      <c r="E62" s="54">
        <v>2.3420000000000001</v>
      </c>
      <c r="F62" s="54">
        <v>2.5960000000000001</v>
      </c>
    </row>
    <row r="63" spans="1:6">
      <c r="A63" s="55" t="s">
        <v>206</v>
      </c>
      <c r="B63" s="55">
        <v>1.258</v>
      </c>
      <c r="C63" s="55">
        <v>1.645</v>
      </c>
      <c r="D63" s="55">
        <v>1.96</v>
      </c>
      <c r="E63" s="55">
        <v>2.3260000000000001</v>
      </c>
      <c r="F63" s="55">
        <v>2.5760000000000001</v>
      </c>
    </row>
    <row r="66" spans="1:3">
      <c r="A66" s="68" t="s">
        <v>234</v>
      </c>
    </row>
    <row r="68" spans="1:3">
      <c r="A68" s="64" t="s">
        <v>138</v>
      </c>
      <c r="B68" s="64" t="s">
        <v>231</v>
      </c>
      <c r="C68" s="64" t="s">
        <v>232</v>
      </c>
    </row>
    <row r="69" spans="1:3">
      <c r="A69" s="65">
        <v>1</v>
      </c>
      <c r="B69" s="66">
        <v>12.706</v>
      </c>
      <c r="C69" s="66">
        <v>63.656999999999996</v>
      </c>
    </row>
    <row r="70" spans="1:3">
      <c r="A70" s="65">
        <v>2</v>
      </c>
      <c r="B70" s="66">
        <v>4.3029999999999999</v>
      </c>
      <c r="C70" s="66">
        <v>9.9250000000000007</v>
      </c>
    </row>
    <row r="71" spans="1:3">
      <c r="A71" s="65">
        <v>3</v>
      </c>
      <c r="B71" s="66">
        <v>3.1819999999999999</v>
      </c>
      <c r="C71" s="66">
        <v>5.8410000000000002</v>
      </c>
    </row>
    <row r="72" spans="1:3">
      <c r="A72" s="65">
        <v>4</v>
      </c>
      <c r="B72" s="66">
        <v>2.7759999999999998</v>
      </c>
      <c r="C72" s="66">
        <v>4.6040000000000001</v>
      </c>
    </row>
    <row r="73" spans="1:3">
      <c r="A73" s="65">
        <v>5</v>
      </c>
      <c r="B73" s="66">
        <v>2.5710000000000002</v>
      </c>
      <c r="C73" s="66">
        <v>4.032</v>
      </c>
    </row>
    <row r="74" spans="1:3">
      <c r="A74" s="65">
        <v>6</v>
      </c>
      <c r="B74" s="66">
        <v>2.4470000000000001</v>
      </c>
      <c r="C74" s="66">
        <v>3.7069999999999999</v>
      </c>
    </row>
    <row r="75" spans="1:3">
      <c r="A75" s="65">
        <v>7</v>
      </c>
      <c r="B75" s="66">
        <v>2.3650000000000002</v>
      </c>
      <c r="C75" s="66">
        <v>3.4990000000000001</v>
      </c>
    </row>
    <row r="76" spans="1:3">
      <c r="A76" s="65">
        <v>8</v>
      </c>
      <c r="B76" s="66">
        <v>2.306</v>
      </c>
      <c r="C76" s="66">
        <v>3.355</v>
      </c>
    </row>
    <row r="77" spans="1:3">
      <c r="A77" s="65">
        <v>9</v>
      </c>
      <c r="B77" s="66">
        <v>2.262</v>
      </c>
      <c r="C77" s="66">
        <v>3.25</v>
      </c>
    </row>
    <row r="78" spans="1:3">
      <c r="A78" s="65">
        <v>10</v>
      </c>
      <c r="B78" s="66">
        <v>2.226</v>
      </c>
      <c r="C78" s="66">
        <v>3.169</v>
      </c>
    </row>
    <row r="79" spans="1:3">
      <c r="A79" s="67">
        <v>11</v>
      </c>
      <c r="B79" s="66">
        <v>2.2010000000000001</v>
      </c>
      <c r="C79" s="66">
        <v>3.1059999999999999</v>
      </c>
    </row>
    <row r="80" spans="1:3">
      <c r="A80" s="67">
        <v>12</v>
      </c>
      <c r="B80" s="66">
        <v>2.1789999999999998</v>
      </c>
      <c r="C80" s="66">
        <v>3.0550000000000002</v>
      </c>
    </row>
    <row r="81" spans="1:3">
      <c r="A81" s="67">
        <v>13</v>
      </c>
      <c r="B81" s="66">
        <v>2.16</v>
      </c>
      <c r="C81" s="66">
        <v>3.0209999999999999</v>
      </c>
    </row>
    <row r="82" spans="1:3">
      <c r="A82" s="67">
        <v>14</v>
      </c>
      <c r="B82" s="66">
        <v>2.145</v>
      </c>
      <c r="C82" s="66">
        <v>2.9769999999999999</v>
      </c>
    </row>
    <row r="83" spans="1:3">
      <c r="A83" s="67">
        <v>15</v>
      </c>
      <c r="B83" s="66">
        <v>2.1309999999999998</v>
      </c>
      <c r="C83" s="66">
        <v>2.9470000000000001</v>
      </c>
    </row>
    <row r="84" spans="1:3">
      <c r="A84" s="67">
        <v>16</v>
      </c>
      <c r="B84" s="66">
        <v>2.12</v>
      </c>
      <c r="C84" s="66">
        <v>2.9209999999999998</v>
      </c>
    </row>
    <row r="85" spans="1:3">
      <c r="A85" s="67">
        <v>17</v>
      </c>
      <c r="B85" s="66">
        <v>2.11</v>
      </c>
      <c r="C85" s="66">
        <v>2.8980000000000001</v>
      </c>
    </row>
    <row r="86" spans="1:3">
      <c r="A86" s="67">
        <v>18</v>
      </c>
      <c r="B86" s="66">
        <v>2.101</v>
      </c>
      <c r="C86" s="66">
        <v>2.8780000000000001</v>
      </c>
    </row>
    <row r="87" spans="1:3">
      <c r="A87" s="67">
        <v>19</v>
      </c>
      <c r="B87" s="66">
        <v>2.093</v>
      </c>
      <c r="C87" s="66">
        <v>2.8610000000000002</v>
      </c>
    </row>
    <row r="88" spans="1:3">
      <c r="A88" s="67">
        <v>20</v>
      </c>
      <c r="B88" s="66">
        <v>2.0859999999999999</v>
      </c>
      <c r="C88" s="66">
        <v>2.8450000000000002</v>
      </c>
    </row>
    <row r="89" spans="1:3">
      <c r="A89" s="65">
        <v>21</v>
      </c>
      <c r="B89" s="66">
        <v>2.08</v>
      </c>
      <c r="C89" s="66">
        <v>2.831</v>
      </c>
    </row>
    <row r="90" spans="1:3">
      <c r="A90" s="65">
        <v>22</v>
      </c>
      <c r="B90" s="66">
        <v>2.0739999999999998</v>
      </c>
      <c r="C90" s="66">
        <v>2.819</v>
      </c>
    </row>
    <row r="91" spans="1:3">
      <c r="A91" s="65">
        <v>23</v>
      </c>
      <c r="B91" s="66">
        <v>2.069</v>
      </c>
      <c r="C91" s="66">
        <v>2.8069999999999999</v>
      </c>
    </row>
    <row r="92" spans="1:3">
      <c r="A92" s="65">
        <v>24</v>
      </c>
      <c r="B92" s="66">
        <v>2.0640000000000001</v>
      </c>
      <c r="C92" s="66">
        <v>2.7970000000000002</v>
      </c>
    </row>
    <row r="93" spans="1:3">
      <c r="A93" s="65">
        <v>25</v>
      </c>
      <c r="B93" s="66">
        <v>2.06</v>
      </c>
      <c r="C93" s="66">
        <v>2.7869999999999999</v>
      </c>
    </row>
    <row r="94" spans="1:3">
      <c r="A94" s="65">
        <v>26</v>
      </c>
      <c r="B94" s="66">
        <v>2.056</v>
      </c>
      <c r="C94" s="66">
        <v>2.7789999999999999</v>
      </c>
    </row>
    <row r="95" spans="1:3">
      <c r="A95" s="65">
        <v>27</v>
      </c>
      <c r="B95" s="66">
        <v>2.052</v>
      </c>
      <c r="C95" s="66">
        <v>2.7709999999999999</v>
      </c>
    </row>
    <row r="96" spans="1:3">
      <c r="A96" s="65">
        <v>28</v>
      </c>
      <c r="B96" s="66">
        <v>2.048</v>
      </c>
      <c r="C96" s="66">
        <v>2.7629999999999999</v>
      </c>
    </row>
    <row r="97" spans="1:3">
      <c r="A97" s="65">
        <v>29</v>
      </c>
      <c r="B97" s="66">
        <v>2.0449999999999999</v>
      </c>
      <c r="C97" s="66">
        <v>2.7559999999999998</v>
      </c>
    </row>
    <row r="98" spans="1:3">
      <c r="A98" s="67">
        <v>30</v>
      </c>
      <c r="B98" s="66">
        <v>2.0419999999999998</v>
      </c>
      <c r="C98" s="66">
        <v>2.75</v>
      </c>
    </row>
    <row r="99" spans="1:3">
      <c r="A99" s="67">
        <v>40</v>
      </c>
      <c r="B99" s="66">
        <v>2.0209999999999999</v>
      </c>
      <c r="C99" s="66">
        <v>2.7040000000000002</v>
      </c>
    </row>
    <row r="100" spans="1:3">
      <c r="A100" s="67">
        <v>60</v>
      </c>
      <c r="B100" s="66">
        <v>2</v>
      </c>
      <c r="C100" s="66">
        <v>2.66</v>
      </c>
    </row>
    <row r="101" spans="1:3">
      <c r="A101" s="67">
        <v>120</v>
      </c>
      <c r="B101" s="66">
        <v>1.98</v>
      </c>
      <c r="C101" s="66">
        <v>2.617</v>
      </c>
    </row>
    <row r="102" spans="1:3">
      <c r="A102" s="67" t="s">
        <v>233</v>
      </c>
      <c r="B102" s="66">
        <v>1.96</v>
      </c>
      <c r="C102" s="66">
        <v>2.5760000000000001</v>
      </c>
    </row>
  </sheetData>
  <mergeCells count="1">
    <mergeCell ref="B2:F2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1402-6B58-4B52-B1FD-E170B7902519}">
  <dimension ref="A1:E56"/>
  <sheetViews>
    <sheetView topLeftCell="A52" workbookViewId="0">
      <selection activeCell="E52" sqref="E52"/>
    </sheetView>
  </sheetViews>
  <sheetFormatPr defaultRowHeight="18"/>
  <cols>
    <col min="5" max="5" width="10.296875" bestFit="1" customWidth="1"/>
  </cols>
  <sheetData>
    <row r="1" spans="1:5" ht="33" thickBot="1">
      <c r="A1" s="7" t="s">
        <v>38</v>
      </c>
      <c r="B1" s="7" t="s">
        <v>39</v>
      </c>
      <c r="C1" s="7" t="s">
        <v>40</v>
      </c>
      <c r="D1" s="25" t="s">
        <v>85</v>
      </c>
      <c r="E1" s="24" t="s">
        <v>86</v>
      </c>
    </row>
    <row r="2" spans="1:5" ht="18.600000000000001" thickBot="1">
      <c r="A2" s="5">
        <v>1</v>
      </c>
      <c r="B2" s="5" t="s">
        <v>28</v>
      </c>
      <c r="C2" s="5">
        <v>126</v>
      </c>
      <c r="D2">
        <f>C2-C$12</f>
        <v>32.200000000000003</v>
      </c>
      <c r="E2">
        <f>D2^2</f>
        <v>1036.8400000000001</v>
      </c>
    </row>
    <row r="3" spans="1:5" ht="18.600000000000001" thickBot="1">
      <c r="A3" s="5">
        <v>2</v>
      </c>
      <c r="B3" s="5" t="s">
        <v>29</v>
      </c>
      <c r="C3" s="5">
        <v>224</v>
      </c>
      <c r="D3">
        <f t="shared" ref="D3:D11" si="0">C3-C$12</f>
        <v>130.19999999999999</v>
      </c>
      <c r="E3">
        <f t="shared" ref="E3:E11" si="1">D3^2</f>
        <v>16952.039999999997</v>
      </c>
    </row>
    <row r="4" spans="1:5" ht="18.600000000000001" thickBot="1">
      <c r="A4" s="5">
        <v>3</v>
      </c>
      <c r="B4" s="5" t="s">
        <v>30</v>
      </c>
      <c r="C4" s="5">
        <v>34</v>
      </c>
      <c r="D4">
        <f t="shared" si="0"/>
        <v>-59.8</v>
      </c>
      <c r="E4">
        <f t="shared" si="1"/>
        <v>3576.0399999999995</v>
      </c>
    </row>
    <row r="5" spans="1:5" ht="18.600000000000001" thickBot="1">
      <c r="A5" s="5">
        <v>4</v>
      </c>
      <c r="B5" s="5" t="s">
        <v>31</v>
      </c>
      <c r="C5" s="5">
        <v>25</v>
      </c>
      <c r="D5">
        <f t="shared" si="0"/>
        <v>-68.8</v>
      </c>
      <c r="E5">
        <f t="shared" si="1"/>
        <v>4733.4399999999996</v>
      </c>
    </row>
    <row r="6" spans="1:5" ht="18.600000000000001" thickBot="1">
      <c r="A6" s="5">
        <v>5</v>
      </c>
      <c r="B6" s="5" t="s">
        <v>32</v>
      </c>
      <c r="C6" s="5">
        <v>199</v>
      </c>
      <c r="D6">
        <f t="shared" si="0"/>
        <v>105.2</v>
      </c>
      <c r="E6">
        <f t="shared" si="1"/>
        <v>11067.04</v>
      </c>
    </row>
    <row r="7" spans="1:5" ht="18.600000000000001" thickBot="1">
      <c r="A7" s="5">
        <v>6</v>
      </c>
      <c r="B7" s="5" t="s">
        <v>33</v>
      </c>
      <c r="C7" s="5">
        <v>89</v>
      </c>
      <c r="D7">
        <f t="shared" si="0"/>
        <v>-4.7999999999999972</v>
      </c>
      <c r="E7">
        <f t="shared" si="1"/>
        <v>23.039999999999974</v>
      </c>
    </row>
    <row r="8" spans="1:5" ht="18.600000000000001" thickBot="1">
      <c r="A8" s="5">
        <v>7</v>
      </c>
      <c r="B8" s="5" t="s">
        <v>34</v>
      </c>
      <c r="C8" s="5">
        <v>178</v>
      </c>
      <c r="D8">
        <f t="shared" si="0"/>
        <v>84.2</v>
      </c>
      <c r="E8">
        <f t="shared" si="1"/>
        <v>7089.64</v>
      </c>
    </row>
    <row r="9" spans="1:5" ht="18.600000000000001" thickBot="1">
      <c r="A9" s="5">
        <v>8</v>
      </c>
      <c r="B9" s="5" t="s">
        <v>35</v>
      </c>
      <c r="C9" s="5">
        <v>14</v>
      </c>
      <c r="D9">
        <f t="shared" si="0"/>
        <v>-79.8</v>
      </c>
      <c r="E9">
        <f t="shared" si="1"/>
        <v>6368.04</v>
      </c>
    </row>
    <row r="10" spans="1:5" ht="18.600000000000001" thickBot="1">
      <c r="A10" s="5">
        <v>9</v>
      </c>
      <c r="B10" s="5" t="s">
        <v>36</v>
      </c>
      <c r="C10" s="5">
        <v>38</v>
      </c>
      <c r="D10">
        <f t="shared" si="0"/>
        <v>-55.8</v>
      </c>
      <c r="E10">
        <f t="shared" si="1"/>
        <v>3113.64</v>
      </c>
    </row>
    <row r="11" spans="1:5" ht="18.600000000000001" thickBot="1">
      <c r="A11" s="5">
        <v>10</v>
      </c>
      <c r="B11" s="5" t="s">
        <v>37</v>
      </c>
      <c r="C11" s="5">
        <v>11</v>
      </c>
      <c r="D11">
        <f t="shared" si="0"/>
        <v>-82.8</v>
      </c>
      <c r="E11">
        <f t="shared" si="1"/>
        <v>6855.8399999999992</v>
      </c>
    </row>
    <row r="12" spans="1:5">
      <c r="B12" s="8" t="s">
        <v>84</v>
      </c>
      <c r="C12">
        <f>SUM(C2:C11)/A11</f>
        <v>93.8</v>
      </c>
      <c r="E12">
        <f>SUM(E2:E11)</f>
        <v>60815.599999999991</v>
      </c>
    </row>
    <row r="13" spans="1:5">
      <c r="D13" s="8" t="s">
        <v>57</v>
      </c>
      <c r="E13" s="4">
        <f>E12/(A11-1)</f>
        <v>6757.2888888888883</v>
      </c>
    </row>
    <row r="14" spans="1:5">
      <c r="D14" s="1" t="s">
        <v>88</v>
      </c>
      <c r="E14" s="26">
        <v>19.02</v>
      </c>
    </row>
    <row r="15" spans="1:5">
      <c r="D15" s="1" t="s">
        <v>87</v>
      </c>
      <c r="E15" s="26">
        <v>2.7</v>
      </c>
    </row>
    <row r="16" spans="1:5">
      <c r="D16" t="s">
        <v>89</v>
      </c>
      <c r="E16" s="4">
        <f>(A11-1)*E13/E14</f>
        <v>3197.4553101997894</v>
      </c>
    </row>
    <row r="17" spans="1:5">
      <c r="D17" t="s">
        <v>90</v>
      </c>
      <c r="E17" s="4">
        <f>(A11-1)*E13/E15</f>
        <v>22524.296296296292</v>
      </c>
    </row>
    <row r="19" spans="1:5" ht="18.600000000000001" thickBot="1"/>
    <row r="20" spans="1:5" ht="18.600000000000001" thickBot="1">
      <c r="B20" s="5" t="s">
        <v>1</v>
      </c>
      <c r="C20" s="5">
        <v>10</v>
      </c>
    </row>
    <row r="21" spans="1:5">
      <c r="B21" s="8" t="s">
        <v>84</v>
      </c>
      <c r="C21">
        <f>SUM(C11:C20)/C20</f>
        <v>11.48</v>
      </c>
    </row>
    <row r="22" spans="1:5">
      <c r="D22" s="8" t="s">
        <v>57</v>
      </c>
      <c r="E22" s="26">
        <v>3.29</v>
      </c>
    </row>
    <row r="23" spans="1:5">
      <c r="D23" s="1" t="s">
        <v>88</v>
      </c>
      <c r="E23" s="26">
        <v>19.02</v>
      </c>
    </row>
    <row r="24" spans="1:5">
      <c r="D24" s="1" t="s">
        <v>87</v>
      </c>
      <c r="E24" s="26">
        <v>2.7</v>
      </c>
    </row>
    <row r="25" spans="1:5">
      <c r="D25" t="s">
        <v>89</v>
      </c>
      <c r="E25" s="26">
        <f>(C20-1)*E22/E23</f>
        <v>1.5567823343848581</v>
      </c>
    </row>
    <row r="26" spans="1:5">
      <c r="D26" t="s">
        <v>90</v>
      </c>
      <c r="E26" s="26">
        <f>(C20-1)*E22/E24</f>
        <v>10.966666666666665</v>
      </c>
    </row>
    <row r="27" spans="1:5" ht="18.600000000000001" thickBot="1"/>
    <row r="28" spans="1:5" ht="18.600000000000001" thickBot="1">
      <c r="A28" s="7" t="s">
        <v>38</v>
      </c>
      <c r="B28" s="7"/>
      <c r="C28" s="7" t="s">
        <v>91</v>
      </c>
      <c r="D28" s="25" t="s">
        <v>85</v>
      </c>
      <c r="E28" s="24" t="s">
        <v>86</v>
      </c>
    </row>
    <row r="29" spans="1:5" ht="18.600000000000001" thickBot="1">
      <c r="A29" s="5">
        <v>1</v>
      </c>
      <c r="B29" s="5">
        <v>1</v>
      </c>
      <c r="C29" s="5">
        <v>24</v>
      </c>
      <c r="D29" s="26">
        <f>C29-C$38</f>
        <v>-2.2222222222222214</v>
      </c>
      <c r="E29" s="26">
        <f>D29^2</f>
        <v>4.9382716049382678</v>
      </c>
    </row>
    <row r="30" spans="1:5" ht="18.600000000000001" thickBot="1">
      <c r="A30" s="5">
        <v>2</v>
      </c>
      <c r="B30" s="5">
        <v>2</v>
      </c>
      <c r="C30" s="5">
        <v>28</v>
      </c>
      <c r="D30" s="26">
        <f t="shared" ref="D30:D37" si="2">C30-C$38</f>
        <v>1.7777777777777786</v>
      </c>
      <c r="E30" s="26">
        <f t="shared" ref="E30:E37" si="3">D30^2</f>
        <v>3.1604938271604968</v>
      </c>
    </row>
    <row r="31" spans="1:5" ht="18.600000000000001" thickBot="1">
      <c r="A31" s="5">
        <v>3</v>
      </c>
      <c r="B31" s="5">
        <v>3</v>
      </c>
      <c r="C31" s="5">
        <v>22</v>
      </c>
      <c r="D31" s="26">
        <f t="shared" si="2"/>
        <v>-4.2222222222222214</v>
      </c>
      <c r="E31" s="26">
        <f t="shared" si="3"/>
        <v>17.827160493827154</v>
      </c>
    </row>
    <row r="32" spans="1:5" ht="18.600000000000001" thickBot="1">
      <c r="A32" s="5">
        <v>4</v>
      </c>
      <c r="B32" s="5">
        <v>4</v>
      </c>
      <c r="C32" s="5">
        <v>31</v>
      </c>
      <c r="D32" s="26">
        <f t="shared" si="2"/>
        <v>4.7777777777777786</v>
      </c>
      <c r="E32" s="26">
        <f t="shared" si="3"/>
        <v>22.827160493827169</v>
      </c>
    </row>
    <row r="33" spans="1:5" ht="18.600000000000001" thickBot="1">
      <c r="A33" s="5">
        <v>5</v>
      </c>
      <c r="B33" s="5">
        <v>5</v>
      </c>
      <c r="C33" s="5">
        <v>28</v>
      </c>
      <c r="D33" s="26">
        <f t="shared" si="2"/>
        <v>1.7777777777777786</v>
      </c>
      <c r="E33" s="26">
        <f t="shared" si="3"/>
        <v>3.1604938271604968</v>
      </c>
    </row>
    <row r="34" spans="1:5" ht="18.600000000000001" thickBot="1">
      <c r="A34" s="5">
        <v>6</v>
      </c>
      <c r="B34" s="5">
        <v>6</v>
      </c>
      <c r="C34" s="5">
        <v>25</v>
      </c>
      <c r="D34" s="26">
        <f t="shared" si="2"/>
        <v>-1.2222222222222214</v>
      </c>
      <c r="E34" s="26">
        <f t="shared" si="3"/>
        <v>1.4938271604938251</v>
      </c>
    </row>
    <row r="35" spans="1:5" ht="18.600000000000001" thickBot="1">
      <c r="A35" s="5">
        <v>7</v>
      </c>
      <c r="B35" s="5">
        <v>7</v>
      </c>
      <c r="C35" s="5">
        <v>27</v>
      </c>
      <c r="D35" s="26">
        <f t="shared" si="2"/>
        <v>0.77777777777777857</v>
      </c>
      <c r="E35" s="26">
        <f t="shared" si="3"/>
        <v>0.60493827160493951</v>
      </c>
    </row>
    <row r="36" spans="1:5" ht="18.600000000000001" thickBot="1">
      <c r="A36" s="5">
        <v>8</v>
      </c>
      <c r="B36" s="5">
        <v>8</v>
      </c>
      <c r="C36" s="5">
        <v>26</v>
      </c>
      <c r="D36" s="26">
        <f t="shared" si="2"/>
        <v>-0.22222222222222143</v>
      </c>
      <c r="E36" s="26">
        <f t="shared" si="3"/>
        <v>4.9382716049382366E-2</v>
      </c>
    </row>
    <row r="37" spans="1:5" ht="18.600000000000001" thickBot="1">
      <c r="A37" s="5">
        <v>9</v>
      </c>
      <c r="B37" s="5">
        <v>9</v>
      </c>
      <c r="C37" s="5">
        <v>25</v>
      </c>
      <c r="D37" s="26">
        <f t="shared" si="2"/>
        <v>-1.2222222222222214</v>
      </c>
      <c r="E37" s="26">
        <f t="shared" si="3"/>
        <v>1.4938271604938251</v>
      </c>
    </row>
    <row r="38" spans="1:5">
      <c r="B38" s="8" t="s">
        <v>84</v>
      </c>
      <c r="C38" s="26">
        <f>SUM(C29:C37)/A37</f>
        <v>26.222222222222221</v>
      </c>
      <c r="E38" s="26">
        <f>SUM(E29:E37)</f>
        <v>55.555555555555543</v>
      </c>
    </row>
    <row r="39" spans="1:5">
      <c r="D39" s="8" t="s">
        <v>57</v>
      </c>
      <c r="E39" s="4">
        <f>E38/(A37-1)</f>
        <v>6.9444444444444429</v>
      </c>
    </row>
    <row r="40" spans="1:5">
      <c r="D40" s="1" t="s">
        <v>92</v>
      </c>
      <c r="E40" s="26">
        <v>15.51</v>
      </c>
    </row>
    <row r="41" spans="1:5">
      <c r="D41" s="1" t="s">
        <v>93</v>
      </c>
      <c r="E41" s="26">
        <v>2.73</v>
      </c>
    </row>
    <row r="42" spans="1:5">
      <c r="D42" t="s">
        <v>89</v>
      </c>
      <c r="E42" s="26">
        <f>(A37-1)*E39/E40</f>
        <v>3.5819184755354962</v>
      </c>
    </row>
    <row r="43" spans="1:5">
      <c r="D43" t="s">
        <v>90</v>
      </c>
      <c r="E43" s="26">
        <f>(A37-1)*E39/E41</f>
        <v>20.350020350020344</v>
      </c>
    </row>
    <row r="44" spans="1:5" ht="18.600000000000001" thickBot="1"/>
    <row r="45" spans="1:5" ht="18.600000000000001" thickBot="1">
      <c r="A45" s="7" t="s">
        <v>38</v>
      </c>
      <c r="B45" s="13" t="s">
        <v>38</v>
      </c>
      <c r="C45" s="13" t="s">
        <v>94</v>
      </c>
      <c r="D45" s="25" t="s">
        <v>85</v>
      </c>
      <c r="E45" s="24" t="s">
        <v>86</v>
      </c>
    </row>
    <row r="46" spans="1:5" ht="18.600000000000001" thickBot="1">
      <c r="A46" s="5">
        <v>1</v>
      </c>
      <c r="B46" s="5">
        <v>1</v>
      </c>
      <c r="C46" s="5">
        <v>175.8</v>
      </c>
      <c r="D46">
        <f>C46-$C$51</f>
        <v>1.6200000000000045</v>
      </c>
      <c r="E46">
        <f>D46^2</f>
        <v>2.6244000000000147</v>
      </c>
    </row>
    <row r="47" spans="1:5" ht="18.600000000000001" thickBot="1">
      <c r="A47" s="5">
        <v>2</v>
      </c>
      <c r="B47" s="5">
        <v>2</v>
      </c>
      <c r="C47" s="5">
        <v>171.9</v>
      </c>
      <c r="D47">
        <f t="shared" ref="D47:D50" si="4">C47-$C$51</f>
        <v>-2.2800000000000011</v>
      </c>
      <c r="E47">
        <f t="shared" ref="E47:E50" si="5">D47^2</f>
        <v>5.1984000000000048</v>
      </c>
    </row>
    <row r="48" spans="1:5" ht="18.600000000000001" thickBot="1">
      <c r="A48" s="5">
        <v>3</v>
      </c>
      <c r="B48" s="5">
        <v>3</v>
      </c>
      <c r="C48" s="5">
        <v>172.7</v>
      </c>
      <c r="D48">
        <f t="shared" si="4"/>
        <v>-1.4800000000000182</v>
      </c>
      <c r="E48">
        <f t="shared" si="5"/>
        <v>2.1904000000000536</v>
      </c>
    </row>
    <row r="49" spans="1:5" ht="18.600000000000001" thickBot="1">
      <c r="A49" s="5">
        <v>4</v>
      </c>
      <c r="B49" s="5">
        <v>4</v>
      </c>
      <c r="C49" s="5">
        <v>170.3</v>
      </c>
      <c r="D49">
        <f t="shared" si="4"/>
        <v>-3.8799999999999955</v>
      </c>
      <c r="E49">
        <f t="shared" si="5"/>
        <v>15.054399999999966</v>
      </c>
    </row>
    <row r="50" spans="1:5" ht="18.600000000000001" thickBot="1">
      <c r="A50" s="5">
        <v>5</v>
      </c>
      <c r="B50" s="5">
        <v>5</v>
      </c>
      <c r="C50" s="5">
        <v>180.2</v>
      </c>
      <c r="D50">
        <f t="shared" si="4"/>
        <v>6.0199999999999818</v>
      </c>
      <c r="E50">
        <f t="shared" si="5"/>
        <v>36.240399999999781</v>
      </c>
    </row>
    <row r="51" spans="1:5">
      <c r="B51" s="8" t="s">
        <v>84</v>
      </c>
      <c r="C51">
        <f>SUM(C46:C50)/A50</f>
        <v>174.18</v>
      </c>
      <c r="E51">
        <f>SUM(E46:E50)</f>
        <v>61.307999999999822</v>
      </c>
    </row>
    <row r="52" spans="1:5">
      <c r="D52" s="8" t="s">
        <v>57</v>
      </c>
      <c r="E52" s="26">
        <f>E51/(A50-1)</f>
        <v>15.326999999999956</v>
      </c>
    </row>
    <row r="53" spans="1:5">
      <c r="D53" s="1" t="s">
        <v>95</v>
      </c>
      <c r="E53" s="26">
        <v>11.14</v>
      </c>
    </row>
    <row r="54" spans="1:5">
      <c r="D54" s="1" t="s">
        <v>96</v>
      </c>
      <c r="E54" s="26">
        <v>0.48</v>
      </c>
    </row>
    <row r="55" spans="1:5">
      <c r="D55" t="s">
        <v>89</v>
      </c>
      <c r="E55" s="26">
        <f>(A50-1)*E52/E53</f>
        <v>5.50341113105923</v>
      </c>
    </row>
    <row r="56" spans="1:5">
      <c r="D56" t="s">
        <v>90</v>
      </c>
      <c r="E56" s="26">
        <f>(A50-1)*E52/E54</f>
        <v>127.72499999999964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375F-7FCC-4415-BF5A-6B74033ECE64}">
  <dimension ref="A1:D19"/>
  <sheetViews>
    <sheetView workbookViewId="0">
      <selection activeCell="G18" sqref="G18"/>
    </sheetView>
  </sheetViews>
  <sheetFormatPr defaultColWidth="12.796875" defaultRowHeight="14.4"/>
  <cols>
    <col min="1" max="1" width="12.796875" style="33" customWidth="1"/>
    <col min="2" max="16384" width="12.796875" style="33"/>
  </cols>
  <sheetData>
    <row r="1" spans="1:4">
      <c r="A1" s="31" t="s">
        <v>110</v>
      </c>
      <c r="B1" s="32" t="s">
        <v>111</v>
      </c>
      <c r="C1" s="32" t="s">
        <v>112</v>
      </c>
      <c r="D1" s="32" t="s">
        <v>113</v>
      </c>
    </row>
    <row r="2" spans="1:4">
      <c r="A2" s="32" t="s">
        <v>114</v>
      </c>
      <c r="B2" s="33">
        <v>435</v>
      </c>
      <c r="C2" s="33">
        <v>165</v>
      </c>
      <c r="D2" s="33">
        <v>600</v>
      </c>
    </row>
    <row r="3" spans="1:4">
      <c r="A3" s="32" t="s">
        <v>115</v>
      </c>
      <c r="B3" s="33">
        <v>265</v>
      </c>
      <c r="C3" s="33">
        <v>135</v>
      </c>
      <c r="D3" s="33">
        <v>400</v>
      </c>
    </row>
    <row r="4" spans="1:4">
      <c r="A4" s="32" t="s">
        <v>113</v>
      </c>
      <c r="B4" s="33">
        <v>700</v>
      </c>
      <c r="C4" s="33">
        <v>300</v>
      </c>
      <c r="D4" s="33">
        <v>1000</v>
      </c>
    </row>
    <row r="7" spans="1:4">
      <c r="A7" s="34" t="s">
        <v>116</v>
      </c>
      <c r="B7" s="32" t="s">
        <v>111</v>
      </c>
      <c r="C7" s="32" t="s">
        <v>112</v>
      </c>
      <c r="D7" s="32" t="s">
        <v>113</v>
      </c>
    </row>
    <row r="8" spans="1:4">
      <c r="A8" s="32" t="s">
        <v>114</v>
      </c>
      <c r="B8" s="33">
        <f>$D8/$D10*B10</f>
        <v>420</v>
      </c>
      <c r="C8" s="33">
        <f>$D8/$D10*C10</f>
        <v>180</v>
      </c>
      <c r="D8" s="33">
        <v>600</v>
      </c>
    </row>
    <row r="9" spans="1:4">
      <c r="A9" s="32" t="s">
        <v>115</v>
      </c>
      <c r="B9" s="33">
        <f>$D9/$D10*B10</f>
        <v>280</v>
      </c>
      <c r="C9" s="33">
        <f>$D9/$D10*C10</f>
        <v>120</v>
      </c>
      <c r="D9" s="33">
        <v>400</v>
      </c>
    </row>
    <row r="10" spans="1:4">
      <c r="A10" s="32" t="s">
        <v>113</v>
      </c>
      <c r="B10" s="33">
        <v>700</v>
      </c>
      <c r="C10" s="33">
        <v>300</v>
      </c>
      <c r="D10" s="33">
        <v>1000</v>
      </c>
    </row>
    <row r="13" spans="1:4">
      <c r="A13" s="35" t="s">
        <v>117</v>
      </c>
      <c r="B13" s="32" t="s">
        <v>111</v>
      </c>
      <c r="C13" s="32" t="s">
        <v>112</v>
      </c>
      <c r="D13" s="32" t="s">
        <v>113</v>
      </c>
    </row>
    <row r="14" spans="1:4">
      <c r="A14" s="32" t="s">
        <v>114</v>
      </c>
      <c r="B14" s="33">
        <f>(B2-B8)^2/B8</f>
        <v>0.5357142857142857</v>
      </c>
      <c r="C14" s="33">
        <f>(C2-C8)^2/C8</f>
        <v>1.25</v>
      </c>
    </row>
    <row r="15" spans="1:4">
      <c r="A15" s="32" t="s">
        <v>115</v>
      </c>
      <c r="B15" s="33">
        <f>(B3-B9)^2/B9</f>
        <v>0.8035714285714286</v>
      </c>
      <c r="C15" s="33">
        <f>(C3-C9)^2/C9</f>
        <v>1.875</v>
      </c>
    </row>
    <row r="16" spans="1:4">
      <c r="A16" s="32" t="s">
        <v>113</v>
      </c>
      <c r="D16" s="33">
        <f>SUM(B14:C15)</f>
        <v>4.4642857142857144</v>
      </c>
    </row>
    <row r="17" spans="1:1">
      <c r="A17" s="37"/>
    </row>
    <row r="18" spans="1:1">
      <c r="A18" s="33" t="s">
        <v>119</v>
      </c>
    </row>
    <row r="19" spans="1:1" ht="18">
      <c r="A19" s="36" t="s">
        <v>118</v>
      </c>
    </row>
  </sheetData>
  <phoneticPr fontId="1"/>
  <hyperlinks>
    <hyperlink ref="A19" r:id="rId1" xr:uid="{1D5C940F-2595-474C-97BD-8CAFA468A6F3}"/>
  </hyperlinks>
  <pageMargins left="0.75" right="0.75" top="1" bottom="1" header="0.51200000000000001" footer="0.51200000000000001"/>
  <pageSetup paperSize="9" orientation="portrait" horizontalDpi="300" verticalDpi="300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10AF-D1A4-4167-ADF2-D63BDBFFD64E}">
  <dimension ref="A2:C23"/>
  <sheetViews>
    <sheetView workbookViewId="0">
      <selection activeCell="D19" sqref="D19"/>
    </sheetView>
  </sheetViews>
  <sheetFormatPr defaultRowHeight="18"/>
  <cols>
    <col min="1" max="1" width="12" bestFit="1" customWidth="1"/>
  </cols>
  <sheetData>
    <row r="2" spans="1:3">
      <c r="A2" t="s">
        <v>125</v>
      </c>
      <c r="B2">
        <v>8</v>
      </c>
    </row>
    <row r="3" spans="1:3">
      <c r="A3" t="s">
        <v>126</v>
      </c>
      <c r="B3">
        <v>11</v>
      </c>
    </row>
    <row r="4" spans="1:3">
      <c r="A4" t="s">
        <v>123</v>
      </c>
      <c r="B4">
        <v>4.3</v>
      </c>
      <c r="C4" t="s">
        <v>128</v>
      </c>
    </row>
    <row r="5" spans="1:3">
      <c r="A5" t="s">
        <v>124</v>
      </c>
      <c r="B5">
        <v>1.03</v>
      </c>
    </row>
    <row r="6" spans="1:3">
      <c r="A6" s="38" t="s">
        <v>129</v>
      </c>
      <c r="B6" s="38">
        <v>1</v>
      </c>
    </row>
    <row r="7" spans="1:3">
      <c r="A7" s="38" t="s">
        <v>130</v>
      </c>
      <c r="B7" s="38">
        <v>1</v>
      </c>
    </row>
    <row r="8" spans="1:3">
      <c r="A8" t="s">
        <v>131</v>
      </c>
      <c r="B8">
        <f>(B4/B6)/(B5/B7)</f>
        <v>4.174757281553398</v>
      </c>
    </row>
    <row r="9" spans="1:3">
      <c r="A9" t="s">
        <v>132</v>
      </c>
      <c r="B9">
        <f>B2-1</f>
        <v>7</v>
      </c>
    </row>
    <row r="10" spans="1:3">
      <c r="A10" t="s">
        <v>133</v>
      </c>
      <c r="B10">
        <f>B3-1</f>
        <v>10</v>
      </c>
    </row>
    <row r="11" spans="1:3">
      <c r="A11" t="s">
        <v>134</v>
      </c>
      <c r="B11">
        <v>3.95</v>
      </c>
    </row>
    <row r="14" spans="1:3">
      <c r="A14" t="s">
        <v>125</v>
      </c>
      <c r="B14">
        <v>8</v>
      </c>
    </row>
    <row r="15" spans="1:3">
      <c r="A15" t="s">
        <v>126</v>
      </c>
      <c r="B15">
        <v>6</v>
      </c>
    </row>
    <row r="16" spans="1:3">
      <c r="A16" t="s">
        <v>123</v>
      </c>
      <c r="B16">
        <v>1</v>
      </c>
      <c r="C16" t="s">
        <v>128</v>
      </c>
    </row>
    <row r="17" spans="1:2">
      <c r="A17" t="s">
        <v>124</v>
      </c>
      <c r="B17">
        <v>1</v>
      </c>
    </row>
    <row r="18" spans="1:2">
      <c r="A18" s="39" t="s">
        <v>129</v>
      </c>
      <c r="B18" s="39">
        <v>7</v>
      </c>
    </row>
    <row r="19" spans="1:2">
      <c r="A19" s="39" t="s">
        <v>130</v>
      </c>
      <c r="B19" s="39">
        <v>5</v>
      </c>
    </row>
    <row r="20" spans="1:2">
      <c r="A20" t="s">
        <v>131</v>
      </c>
      <c r="B20">
        <f>(B16/B18)/(B17/B19)</f>
        <v>0.71428571428571419</v>
      </c>
    </row>
    <row r="21" spans="1:2">
      <c r="A21" t="s">
        <v>132</v>
      </c>
      <c r="B21">
        <f>B14-1</f>
        <v>7</v>
      </c>
    </row>
    <row r="22" spans="1:2">
      <c r="A22" t="s">
        <v>133</v>
      </c>
      <c r="B22">
        <f>B15-1</f>
        <v>5</v>
      </c>
    </row>
    <row r="23" spans="1:2">
      <c r="A23" t="s">
        <v>135</v>
      </c>
      <c r="B23">
        <v>6.8529999999999998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35C8-A3F9-4C5A-ABA7-08B238EFD65A}">
  <dimension ref="A1:H10"/>
  <sheetViews>
    <sheetView workbookViewId="0">
      <selection activeCell="F19" sqref="F19"/>
    </sheetView>
  </sheetViews>
  <sheetFormatPr defaultRowHeight="18"/>
  <cols>
    <col min="1" max="8" width="10.69921875" customWidth="1"/>
  </cols>
  <sheetData>
    <row r="1" spans="1:8" ht="18.600000000000001" thickBot="1">
      <c r="A1" t="s">
        <v>163</v>
      </c>
    </row>
    <row r="2" spans="1:8" ht="18.600000000000001" thickBot="1">
      <c r="A2" s="13" t="s">
        <v>162</v>
      </c>
      <c r="B2" s="13">
        <v>1</v>
      </c>
      <c r="C2" s="13">
        <v>2</v>
      </c>
      <c r="D2" s="13">
        <v>3</v>
      </c>
      <c r="E2" s="13">
        <v>4</v>
      </c>
      <c r="F2" s="19">
        <v>5</v>
      </c>
      <c r="G2" s="13">
        <v>6</v>
      </c>
      <c r="H2" s="13">
        <v>7</v>
      </c>
    </row>
    <row r="3" spans="1:8" ht="18.600000000000001" thickBot="1">
      <c r="A3" s="13">
        <v>1</v>
      </c>
      <c r="B3" s="14">
        <v>161.44800000000001</v>
      </c>
      <c r="C3" s="14">
        <v>199.5</v>
      </c>
      <c r="D3" s="14">
        <v>215.70699999999999</v>
      </c>
      <c r="E3" s="14">
        <v>224.583</v>
      </c>
      <c r="F3" s="46">
        <v>230.16200000000001</v>
      </c>
      <c r="G3" s="14">
        <v>233.98599999999999</v>
      </c>
      <c r="H3" s="14">
        <v>236.768</v>
      </c>
    </row>
    <row r="4" spans="1:8" ht="18.600000000000001" thickBot="1">
      <c r="A4" s="13">
        <v>2</v>
      </c>
      <c r="B4" s="14">
        <v>18.513000000000002</v>
      </c>
      <c r="C4" s="14">
        <v>19</v>
      </c>
      <c r="D4" s="14">
        <v>19.164000000000001</v>
      </c>
      <c r="E4" s="14">
        <v>19.247</v>
      </c>
      <c r="F4" s="46">
        <v>19.295999999999999</v>
      </c>
      <c r="G4" s="14">
        <v>19.329999999999998</v>
      </c>
      <c r="H4" s="14">
        <v>19.353000000000002</v>
      </c>
    </row>
    <row r="5" spans="1:8" ht="18.600000000000001" thickBot="1">
      <c r="A5" s="13">
        <v>3</v>
      </c>
      <c r="B5" s="14">
        <v>10.128</v>
      </c>
      <c r="C5" s="14">
        <v>9.5519999999999996</v>
      </c>
      <c r="D5" s="14">
        <v>9.2769999999999992</v>
      </c>
      <c r="E5" s="14">
        <v>9.1170000000000009</v>
      </c>
      <c r="F5" s="46">
        <v>9.0129999999999999</v>
      </c>
      <c r="G5" s="14">
        <v>8.9410000000000007</v>
      </c>
      <c r="H5" s="14">
        <v>8.8870000000000005</v>
      </c>
    </row>
    <row r="6" spans="1:8" ht="18.600000000000001" thickBot="1">
      <c r="A6" s="13">
        <v>4</v>
      </c>
      <c r="B6" s="14">
        <v>7.7089999999999996</v>
      </c>
      <c r="C6" s="14">
        <v>6.944</v>
      </c>
      <c r="D6" s="14">
        <v>6.5910000000000002</v>
      </c>
      <c r="E6" s="14">
        <v>6.3879999999999999</v>
      </c>
      <c r="F6" s="46">
        <v>6.2560000000000002</v>
      </c>
      <c r="G6" s="14">
        <v>6.1630000000000003</v>
      </c>
      <c r="H6" s="14">
        <v>6.0940000000000003</v>
      </c>
    </row>
    <row r="7" spans="1:8" ht="18.600000000000001" thickBot="1">
      <c r="A7" s="13">
        <v>5</v>
      </c>
      <c r="B7" s="14">
        <v>6.6079999999999997</v>
      </c>
      <c r="C7" s="14">
        <v>5.7859999999999996</v>
      </c>
      <c r="D7" s="14">
        <v>5.4089999999999998</v>
      </c>
      <c r="E7" s="14">
        <v>5.1920000000000002</v>
      </c>
      <c r="F7" s="46">
        <v>5.05</v>
      </c>
      <c r="G7" s="14">
        <v>4.95</v>
      </c>
      <c r="H7" s="14">
        <v>4.8760000000000003</v>
      </c>
    </row>
    <row r="8" spans="1:8" ht="18.600000000000001" thickBot="1">
      <c r="A8" s="20">
        <v>10</v>
      </c>
      <c r="B8" s="47">
        <v>4.9649999999999999</v>
      </c>
      <c r="C8" s="47">
        <v>4.1029999999999998</v>
      </c>
      <c r="D8" s="47">
        <v>3.7080000000000002</v>
      </c>
      <c r="E8" s="47">
        <v>3.4780000000000002</v>
      </c>
      <c r="F8" s="21">
        <v>3.3260000000000001</v>
      </c>
      <c r="G8" s="47">
        <v>3.2170000000000001</v>
      </c>
      <c r="H8" s="47">
        <v>3.1349999999999998</v>
      </c>
    </row>
    <row r="9" spans="1:8" ht="18.600000000000001" thickBot="1">
      <c r="A9" s="13">
        <v>15</v>
      </c>
      <c r="B9" s="14">
        <v>4.5430000000000001</v>
      </c>
      <c r="C9" s="14">
        <v>3.6819999999999999</v>
      </c>
      <c r="D9" s="14">
        <v>3.2869999999999999</v>
      </c>
      <c r="E9" s="14">
        <v>3.056</v>
      </c>
      <c r="F9" s="46">
        <v>2.9009999999999998</v>
      </c>
      <c r="G9" s="14">
        <v>2.79</v>
      </c>
      <c r="H9" s="14">
        <v>2.7069999999999999</v>
      </c>
    </row>
    <row r="10" spans="1:8" ht="18.600000000000001" thickBot="1">
      <c r="A10" s="13">
        <v>20</v>
      </c>
      <c r="B10" s="14">
        <v>4.351</v>
      </c>
      <c r="C10" s="14">
        <v>3.4929999999999999</v>
      </c>
      <c r="D10" s="14">
        <v>3.0979999999999999</v>
      </c>
      <c r="E10" s="14">
        <v>2.8660000000000001</v>
      </c>
      <c r="F10" s="46">
        <v>2.7109999999999999</v>
      </c>
      <c r="G10" s="14">
        <v>2.5990000000000002</v>
      </c>
      <c r="H10" s="14">
        <v>2.5139999999999998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54B1-FF29-479C-9762-721CFC319539}">
  <dimension ref="A2:C11"/>
  <sheetViews>
    <sheetView workbookViewId="0">
      <selection activeCell="H9" sqref="H9"/>
    </sheetView>
  </sheetViews>
  <sheetFormatPr defaultRowHeight="18"/>
  <sheetData>
    <row r="2" spans="1:3">
      <c r="A2" t="s">
        <v>120</v>
      </c>
    </row>
    <row r="3" spans="1:3">
      <c r="A3" t="s">
        <v>121</v>
      </c>
    </row>
    <row r="5" spans="1:3">
      <c r="A5" t="s">
        <v>123</v>
      </c>
      <c r="B5">
        <v>1.03</v>
      </c>
      <c r="C5" t="s">
        <v>128</v>
      </c>
    </row>
    <row r="6" spans="1:3">
      <c r="A6" t="s">
        <v>124</v>
      </c>
      <c r="B6">
        <v>4.3</v>
      </c>
    </row>
    <row r="7" spans="1:3">
      <c r="A7" t="s">
        <v>125</v>
      </c>
      <c r="B7">
        <v>11</v>
      </c>
    </row>
    <row r="8" spans="1:3">
      <c r="A8" t="s">
        <v>126</v>
      </c>
      <c r="B8">
        <v>8</v>
      </c>
    </row>
    <row r="9" spans="1:3">
      <c r="A9" t="s">
        <v>122</v>
      </c>
      <c r="B9">
        <f>B2-B3</f>
        <v>0</v>
      </c>
    </row>
    <row r="10" spans="1:3">
      <c r="A10" t="s">
        <v>127</v>
      </c>
    </row>
    <row r="11" spans="1:3">
      <c r="A11" t="s">
        <v>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DCE7-8290-441B-A12B-2402A3A0DAD0}">
  <dimension ref="A1:W30"/>
  <sheetViews>
    <sheetView topLeftCell="A10" zoomScaleNormal="100" workbookViewId="0">
      <selection activeCell="L19" sqref="L19"/>
    </sheetView>
  </sheetViews>
  <sheetFormatPr defaultRowHeight="18"/>
  <cols>
    <col min="2" max="2" width="10.796875" bestFit="1" customWidth="1"/>
    <col min="4" max="5" width="8.796875" customWidth="1"/>
    <col min="13" max="13" width="8.796875" customWidth="1"/>
  </cols>
  <sheetData>
    <row r="1" spans="1:23" ht="18.600000000000001" thickBot="1">
      <c r="A1" s="13" t="s">
        <v>136</v>
      </c>
      <c r="B1" s="13" t="s">
        <v>137</v>
      </c>
      <c r="C1" s="13" t="s">
        <v>138</v>
      </c>
      <c r="D1" s="13" t="s">
        <v>139</v>
      </c>
      <c r="E1" s="13" t="s">
        <v>140</v>
      </c>
    </row>
    <row r="2" spans="1:23" ht="18.600000000000001" thickBot="1">
      <c r="A2" s="13" t="s">
        <v>141</v>
      </c>
      <c r="B2" s="44">
        <f>C16</f>
        <v>1108.2496369469773</v>
      </c>
      <c r="C2" s="41">
        <f>COUNT(B9:B15)-1</f>
        <v>6</v>
      </c>
      <c r="D2" s="44">
        <f>B2/C2</f>
        <v>184.70827282449622</v>
      </c>
      <c r="E2" s="43">
        <f>D2/D3</f>
        <v>0.92622083462327787</v>
      </c>
    </row>
    <row r="3" spans="1:23" ht="18.600000000000001" thickBot="1">
      <c r="A3" s="13" t="s">
        <v>142</v>
      </c>
      <c r="B3" s="45">
        <f>B4-B2</f>
        <v>7976.8567460317463</v>
      </c>
      <c r="C3" s="41">
        <f>C4-C2</f>
        <v>40</v>
      </c>
      <c r="D3" s="44">
        <f>B3/C3</f>
        <v>199.42141865079367</v>
      </c>
      <c r="E3" s="42" t="s">
        <v>143</v>
      </c>
    </row>
    <row r="4" spans="1:23" ht="18.600000000000001" thickBot="1">
      <c r="A4" s="13" t="s">
        <v>144</v>
      </c>
      <c r="B4" s="45">
        <f>O7</f>
        <v>9085.1063829787236</v>
      </c>
      <c r="C4" s="42">
        <f>COUNT(D9:M15)-1</f>
        <v>46</v>
      </c>
      <c r="D4" s="42" t="s">
        <v>143</v>
      </c>
      <c r="E4" s="42" t="s">
        <v>143</v>
      </c>
    </row>
    <row r="6" spans="1:23">
      <c r="A6" s="11" t="s">
        <v>152</v>
      </c>
      <c r="D6" s="26">
        <f>AVERAGE(D9:L15)</f>
        <v>9.3829787234042552</v>
      </c>
      <c r="E6" t="s">
        <v>158</v>
      </c>
    </row>
    <row r="7" spans="1:23">
      <c r="B7" t="s">
        <v>153</v>
      </c>
      <c r="N7" t="s">
        <v>155</v>
      </c>
      <c r="O7" s="29">
        <f>SUM(N9:W15)</f>
        <v>9085.1063829787236</v>
      </c>
    </row>
    <row r="8" spans="1:23">
      <c r="B8" s="2" t="s">
        <v>157</v>
      </c>
      <c r="C8" t="s">
        <v>156</v>
      </c>
      <c r="N8" s="11" t="s">
        <v>154</v>
      </c>
    </row>
    <row r="9" spans="1:23">
      <c r="A9" t="s">
        <v>145</v>
      </c>
      <c r="B9" s="26">
        <f>AVERAGE(D9:M9)</f>
        <v>9.2857142857142865</v>
      </c>
      <c r="C9" s="26">
        <f t="shared" ref="C9:C15" si="0">(B9-$D$6)^2*COUNT(D9:M9)</f>
        <v>6.622259587402067E-2</v>
      </c>
      <c r="D9" s="40">
        <v>21</v>
      </c>
      <c r="E9" s="40">
        <v>12</v>
      </c>
      <c r="F9" s="40">
        <v>8</v>
      </c>
      <c r="G9" s="40">
        <v>11</v>
      </c>
      <c r="H9" s="40">
        <v>6</v>
      </c>
      <c r="I9" s="40">
        <v>3</v>
      </c>
      <c r="J9" s="40">
        <v>4</v>
      </c>
      <c r="K9" s="40"/>
      <c r="L9" s="40"/>
      <c r="M9" s="40"/>
      <c r="N9" s="29">
        <f t="shared" ref="N9:W15" si="1">IF(D9="","",(D9-$D$6)^2)</f>
        <v>134.95518334087822</v>
      </c>
      <c r="O9" s="29">
        <f t="shared" si="1"/>
        <v>6.8488003621548215</v>
      </c>
      <c r="P9" s="29">
        <f t="shared" si="1"/>
        <v>1.9126301493888633</v>
      </c>
      <c r="Q9" s="29">
        <f t="shared" si="1"/>
        <v>2.6147578089633323</v>
      </c>
      <c r="R9" s="29">
        <f t="shared" si="1"/>
        <v>11.444545043005885</v>
      </c>
      <c r="S9" s="29">
        <f t="shared" si="1"/>
        <v>40.742417383431416</v>
      </c>
      <c r="T9" s="29">
        <f t="shared" si="1"/>
        <v>28.976459936622906</v>
      </c>
      <c r="U9" s="29" t="str">
        <f t="shared" si="1"/>
        <v/>
      </c>
      <c r="V9" s="29" t="str">
        <f t="shared" si="1"/>
        <v/>
      </c>
      <c r="W9" s="29" t="str">
        <f t="shared" si="1"/>
        <v/>
      </c>
    </row>
    <row r="10" spans="1:23">
      <c r="A10" t="s">
        <v>146</v>
      </c>
      <c r="B10" s="26">
        <f t="shared" ref="B10:B15" si="2">AVERAGE(D10:M10)</f>
        <v>19</v>
      </c>
      <c r="C10" s="26">
        <f t="shared" si="0"/>
        <v>647.40968764146669</v>
      </c>
      <c r="D10" s="40">
        <v>92</v>
      </c>
      <c r="E10" s="40">
        <v>15</v>
      </c>
      <c r="F10" s="40">
        <v>6</v>
      </c>
      <c r="G10" s="40">
        <v>5</v>
      </c>
      <c r="H10" s="40">
        <v>5</v>
      </c>
      <c r="I10" s="40">
        <v>5</v>
      </c>
      <c r="J10" s="40">
        <v>5</v>
      </c>
      <c r="K10" s="40"/>
      <c r="L10" s="40"/>
      <c r="M10" s="40"/>
      <c r="N10" s="29">
        <f t="shared" si="1"/>
        <v>6825.5722046174751</v>
      </c>
      <c r="O10" s="29">
        <f t="shared" si="1"/>
        <v>31.550928021729291</v>
      </c>
      <c r="P10" s="29">
        <f t="shared" si="1"/>
        <v>11.444545043005885</v>
      </c>
      <c r="Q10" s="29">
        <f t="shared" si="1"/>
        <v>19.210502489814395</v>
      </c>
      <c r="R10" s="29">
        <f t="shared" si="1"/>
        <v>19.210502489814395</v>
      </c>
      <c r="S10" s="29">
        <f t="shared" si="1"/>
        <v>19.210502489814395</v>
      </c>
      <c r="T10" s="29">
        <f t="shared" si="1"/>
        <v>19.210502489814395</v>
      </c>
      <c r="U10" s="29" t="str">
        <f t="shared" si="1"/>
        <v/>
      </c>
      <c r="V10" s="29" t="str">
        <f t="shared" si="1"/>
        <v/>
      </c>
      <c r="W10" s="29" t="str">
        <f t="shared" si="1"/>
        <v/>
      </c>
    </row>
    <row r="11" spans="1:23">
      <c r="A11" t="s">
        <v>147</v>
      </c>
      <c r="B11" s="26">
        <f t="shared" si="2"/>
        <v>8.1111111111111107</v>
      </c>
      <c r="C11" s="26">
        <f t="shared" si="0"/>
        <v>14.558825008802382</v>
      </c>
      <c r="D11" s="40">
        <v>2</v>
      </c>
      <c r="E11" s="40">
        <v>18</v>
      </c>
      <c r="F11" s="40">
        <v>5</v>
      </c>
      <c r="G11" s="40">
        <v>5</v>
      </c>
      <c r="H11" s="40">
        <v>21</v>
      </c>
      <c r="I11" s="40">
        <v>6</v>
      </c>
      <c r="J11" s="40">
        <v>0</v>
      </c>
      <c r="K11" s="40">
        <v>2</v>
      </c>
      <c r="L11" s="40">
        <v>14</v>
      </c>
      <c r="M11" s="40"/>
      <c r="N11" s="29">
        <f t="shared" si="1"/>
        <v>54.508374830239923</v>
      </c>
      <c r="O11" s="29">
        <f t="shared" si="1"/>
        <v>74.253055681303763</v>
      </c>
      <c r="P11" s="29">
        <f t="shared" si="1"/>
        <v>19.210502489814395</v>
      </c>
      <c r="Q11" s="29">
        <f t="shared" si="1"/>
        <v>19.210502489814395</v>
      </c>
      <c r="R11" s="29">
        <f t="shared" si="1"/>
        <v>134.95518334087822</v>
      </c>
      <c r="S11" s="29">
        <f t="shared" si="1"/>
        <v>11.444545043005885</v>
      </c>
      <c r="T11" s="29">
        <f t="shared" si="1"/>
        <v>88.040289723856944</v>
      </c>
      <c r="U11" s="29">
        <f t="shared" si="1"/>
        <v>54.508374830239923</v>
      </c>
      <c r="V11" s="29">
        <f t="shared" si="1"/>
        <v>21.316885468537802</v>
      </c>
      <c r="W11" s="29" t="str">
        <f t="shared" si="1"/>
        <v/>
      </c>
    </row>
    <row r="12" spans="1:23">
      <c r="A12" t="s">
        <v>148</v>
      </c>
      <c r="B12" s="26">
        <f t="shared" si="2"/>
        <v>12.428571428571429</v>
      </c>
      <c r="C12" s="26">
        <f t="shared" si="0"/>
        <v>64.92944448037251</v>
      </c>
      <c r="D12" s="40">
        <v>8</v>
      </c>
      <c r="E12" s="40">
        <v>20</v>
      </c>
      <c r="F12" s="40">
        <v>11</v>
      </c>
      <c r="G12" s="40">
        <v>34</v>
      </c>
      <c r="H12" s="40">
        <v>4</v>
      </c>
      <c r="I12" s="40">
        <v>0</v>
      </c>
      <c r="J12" s="40">
        <v>10</v>
      </c>
      <c r="K12" s="40"/>
      <c r="L12" s="40"/>
      <c r="M12" s="40"/>
      <c r="N12" s="29">
        <f t="shared" si="1"/>
        <v>1.9126301493888633</v>
      </c>
      <c r="O12" s="29">
        <f t="shared" si="1"/>
        <v>112.72114078768674</v>
      </c>
      <c r="P12" s="29">
        <f t="shared" si="1"/>
        <v>2.6147578089633323</v>
      </c>
      <c r="Q12" s="29">
        <f t="shared" si="1"/>
        <v>605.99773653236753</v>
      </c>
      <c r="R12" s="29">
        <f t="shared" si="1"/>
        <v>28.976459936622906</v>
      </c>
      <c r="S12" s="29">
        <f t="shared" si="1"/>
        <v>88.040289723856944</v>
      </c>
      <c r="T12" s="29">
        <f t="shared" si="1"/>
        <v>0.38071525577184262</v>
      </c>
      <c r="U12" s="29" t="str">
        <f t="shared" si="1"/>
        <v/>
      </c>
      <c r="V12" s="29" t="str">
        <f t="shared" si="1"/>
        <v/>
      </c>
      <c r="W12" s="29" t="str">
        <f t="shared" si="1"/>
        <v/>
      </c>
    </row>
    <row r="13" spans="1:23">
      <c r="A13" t="s">
        <v>149</v>
      </c>
      <c r="B13" s="26">
        <f t="shared" si="2"/>
        <v>5.4</v>
      </c>
      <c r="C13" s="26">
        <f t="shared" si="0"/>
        <v>79.320597555454938</v>
      </c>
      <c r="D13" s="40">
        <v>8</v>
      </c>
      <c r="E13" s="40">
        <v>13</v>
      </c>
      <c r="F13" s="40">
        <v>5</v>
      </c>
      <c r="G13" s="40">
        <v>0</v>
      </c>
      <c r="H13" s="40">
        <v>1</v>
      </c>
      <c r="I13" s="40"/>
      <c r="J13" s="40"/>
      <c r="K13" s="40"/>
      <c r="L13" s="40"/>
      <c r="M13" s="40"/>
      <c r="N13" s="29">
        <f t="shared" si="1"/>
        <v>1.9126301493888633</v>
      </c>
      <c r="O13" s="29">
        <f t="shared" si="1"/>
        <v>13.082842915346312</v>
      </c>
      <c r="P13" s="29">
        <f t="shared" si="1"/>
        <v>19.210502489814395</v>
      </c>
      <c r="Q13" s="29">
        <f t="shared" si="1"/>
        <v>88.040289723856944</v>
      </c>
      <c r="R13" s="29">
        <f t="shared" si="1"/>
        <v>70.27433227704843</v>
      </c>
      <c r="S13" s="29" t="str">
        <f t="shared" si="1"/>
        <v/>
      </c>
      <c r="T13" s="29" t="str">
        <f t="shared" si="1"/>
        <v/>
      </c>
      <c r="U13" s="29" t="str">
        <f t="shared" si="1"/>
        <v/>
      </c>
      <c r="V13" s="29" t="str">
        <f t="shared" si="1"/>
        <v/>
      </c>
      <c r="W13" s="29" t="str">
        <f t="shared" si="1"/>
        <v/>
      </c>
    </row>
    <row r="14" spans="1:23">
      <c r="A14" t="s">
        <v>150</v>
      </c>
      <c r="B14" s="26">
        <f t="shared" si="2"/>
        <v>2.25</v>
      </c>
      <c r="C14" s="26">
        <f t="shared" si="0"/>
        <v>203.51754187415119</v>
      </c>
      <c r="D14" s="40">
        <v>2</v>
      </c>
      <c r="E14" s="40">
        <v>3</v>
      </c>
      <c r="F14" s="40">
        <v>3</v>
      </c>
      <c r="G14" s="40">
        <v>1</v>
      </c>
      <c r="H14" s="40"/>
      <c r="I14" s="40"/>
      <c r="J14" s="40"/>
      <c r="K14" s="40"/>
      <c r="L14" s="40"/>
      <c r="M14" s="40"/>
      <c r="N14" s="29">
        <f t="shared" si="1"/>
        <v>54.508374830239923</v>
      </c>
      <c r="O14" s="29">
        <f t="shared" si="1"/>
        <v>40.742417383431416</v>
      </c>
      <c r="P14" s="29">
        <f t="shared" si="1"/>
        <v>40.742417383431416</v>
      </c>
      <c r="Q14" s="29">
        <f t="shared" si="1"/>
        <v>70.27433227704843</v>
      </c>
      <c r="R14" s="29" t="str">
        <f t="shared" si="1"/>
        <v/>
      </c>
      <c r="S14" s="29" t="str">
        <f t="shared" si="1"/>
        <v/>
      </c>
      <c r="T14" s="29" t="str">
        <f t="shared" si="1"/>
        <v/>
      </c>
      <c r="U14" s="29" t="str">
        <f t="shared" si="1"/>
        <v/>
      </c>
      <c r="V14" s="29" t="str">
        <f t="shared" si="1"/>
        <v/>
      </c>
      <c r="W14" s="29" t="str">
        <f t="shared" si="1"/>
        <v/>
      </c>
    </row>
    <row r="15" spans="1:23">
      <c r="A15" t="s">
        <v>151</v>
      </c>
      <c r="B15" s="26">
        <f t="shared" si="2"/>
        <v>5.875</v>
      </c>
      <c r="C15" s="26">
        <f t="shared" si="0"/>
        <v>98.447317790855578</v>
      </c>
      <c r="D15" s="40">
        <v>13</v>
      </c>
      <c r="E15" s="40">
        <v>2</v>
      </c>
      <c r="F15" s="40">
        <v>2</v>
      </c>
      <c r="G15" s="40">
        <v>5</v>
      </c>
      <c r="H15" s="40">
        <v>5</v>
      </c>
      <c r="I15" s="40">
        <v>9</v>
      </c>
      <c r="J15" s="40">
        <v>4</v>
      </c>
      <c r="K15" s="40">
        <v>7</v>
      </c>
      <c r="L15" s="40"/>
      <c r="M15" s="40"/>
      <c r="N15" s="29">
        <f t="shared" si="1"/>
        <v>13.082842915346312</v>
      </c>
      <c r="O15" s="29">
        <f t="shared" si="1"/>
        <v>54.508374830239923</v>
      </c>
      <c r="P15" s="29">
        <f t="shared" si="1"/>
        <v>54.508374830239923</v>
      </c>
      <c r="Q15" s="29">
        <f t="shared" si="1"/>
        <v>19.210502489814395</v>
      </c>
      <c r="R15" s="29">
        <f t="shared" si="1"/>
        <v>19.210502489814395</v>
      </c>
      <c r="S15" s="29">
        <f t="shared" si="1"/>
        <v>0.146672702580353</v>
      </c>
      <c r="T15" s="29">
        <f t="shared" si="1"/>
        <v>28.976459936622906</v>
      </c>
      <c r="U15" s="29">
        <f t="shared" si="1"/>
        <v>5.6785875961973735</v>
      </c>
      <c r="V15" s="29" t="str">
        <f t="shared" si="1"/>
        <v/>
      </c>
      <c r="W15" s="29" t="str">
        <f t="shared" si="1"/>
        <v/>
      </c>
    </row>
    <row r="16" spans="1:23">
      <c r="B16" s="1" t="s">
        <v>62</v>
      </c>
      <c r="C16" s="26">
        <f>SUM(C9:C15)</f>
        <v>1108.2496369469773</v>
      </c>
    </row>
    <row r="18" spans="1:23" ht="18.600000000000001" thickBot="1"/>
    <row r="19" spans="1:23" ht="18.600000000000001" thickBot="1">
      <c r="A19" s="13" t="s">
        <v>136</v>
      </c>
      <c r="B19" s="13" t="s">
        <v>137</v>
      </c>
      <c r="C19" s="13" t="s">
        <v>138</v>
      </c>
      <c r="D19" s="13" t="s">
        <v>139</v>
      </c>
      <c r="E19" s="13" t="s">
        <v>140</v>
      </c>
    </row>
    <row r="20" spans="1:23" ht="18.600000000000001" thickBot="1">
      <c r="A20" s="13" t="s">
        <v>141</v>
      </c>
      <c r="B20" s="44">
        <f>C30</f>
        <v>1.2172666666666667</v>
      </c>
      <c r="C20" s="41">
        <f>COUNT(B27:B29)-1</f>
        <v>2</v>
      </c>
      <c r="D20" s="44">
        <f>B20/C20</f>
        <v>0.60863333333333336</v>
      </c>
      <c r="E20" s="43">
        <f>D20/D21</f>
        <v>11.414252969368608</v>
      </c>
    </row>
    <row r="21" spans="1:23" ht="18.600000000000001" thickBot="1">
      <c r="A21" s="13" t="s">
        <v>142</v>
      </c>
      <c r="B21" s="45">
        <f>B22-B20</f>
        <v>0.31993333333333362</v>
      </c>
      <c r="C21" s="41">
        <f>C22-C20</f>
        <v>6</v>
      </c>
      <c r="D21" s="44">
        <f>B21/C21</f>
        <v>5.3322222222222271E-2</v>
      </c>
      <c r="E21" s="42" t="s">
        <v>143</v>
      </c>
    </row>
    <row r="22" spans="1:23" ht="18.600000000000001" thickBot="1">
      <c r="A22" s="13" t="s">
        <v>144</v>
      </c>
      <c r="B22" s="45">
        <f>O25</f>
        <v>1.5372000000000003</v>
      </c>
      <c r="C22" s="42">
        <f>COUNT(D27:M29)-1</f>
        <v>8</v>
      </c>
      <c r="D22" s="42" t="s">
        <v>143</v>
      </c>
      <c r="E22" s="42" t="s">
        <v>143</v>
      </c>
    </row>
    <row r="24" spans="1:23">
      <c r="A24" s="11" t="s">
        <v>152</v>
      </c>
      <c r="D24" s="26">
        <f>AVERAGE(D27:L29)</f>
        <v>3.4299999999999997</v>
      </c>
      <c r="E24" t="s">
        <v>158</v>
      </c>
    </row>
    <row r="25" spans="1:23">
      <c r="B25" t="s">
        <v>153</v>
      </c>
      <c r="N25" t="s">
        <v>155</v>
      </c>
      <c r="O25" s="29">
        <f>SUM(N27:W29)</f>
        <v>1.5372000000000003</v>
      </c>
    </row>
    <row r="26" spans="1:23">
      <c r="B26" s="2" t="s">
        <v>157</v>
      </c>
      <c r="C26" t="s">
        <v>156</v>
      </c>
      <c r="N26" s="11" t="s">
        <v>154</v>
      </c>
    </row>
    <row r="27" spans="1:23">
      <c r="A27" t="s">
        <v>159</v>
      </c>
      <c r="B27" s="26">
        <f>AVERAGE(D27:M27)</f>
        <v>2.92</v>
      </c>
      <c r="C27" s="26">
        <f>(B27-$D$24)^2*COUNT(D27:M27)</f>
        <v>0.78029999999999933</v>
      </c>
      <c r="D27" s="40">
        <v>2.5099999999999998</v>
      </c>
      <c r="E27" s="40">
        <v>3.06</v>
      </c>
      <c r="F27" s="40">
        <v>3.19</v>
      </c>
      <c r="G27" s="40"/>
      <c r="H27" s="40"/>
      <c r="I27" s="40"/>
      <c r="J27" s="40"/>
      <c r="K27" s="40"/>
      <c r="L27" s="40"/>
      <c r="M27" s="40"/>
      <c r="N27" s="29">
        <f>IF(D27="","",(D27-$D$24)^2)</f>
        <v>0.84639999999999982</v>
      </c>
      <c r="O27" s="29">
        <f t="shared" ref="O27:W27" si="3">IF(E27="","",(E27-$D$24)^2)</f>
        <v>0.13689999999999974</v>
      </c>
      <c r="P27" s="29">
        <f t="shared" si="3"/>
        <v>5.7599999999999887E-2</v>
      </c>
      <c r="Q27" s="29" t="str">
        <f t="shared" si="3"/>
        <v/>
      </c>
      <c r="R27" s="29" t="str">
        <f t="shared" si="3"/>
        <v/>
      </c>
      <c r="S27" s="29" t="str">
        <f t="shared" si="3"/>
        <v/>
      </c>
      <c r="T27" s="29" t="str">
        <f t="shared" si="3"/>
        <v/>
      </c>
      <c r="U27" s="29" t="str">
        <f t="shared" si="3"/>
        <v/>
      </c>
      <c r="V27" s="29" t="str">
        <f t="shared" si="3"/>
        <v/>
      </c>
      <c r="W27" s="29" t="str">
        <f t="shared" si="3"/>
        <v/>
      </c>
    </row>
    <row r="28" spans="1:23">
      <c r="A28" t="s">
        <v>160</v>
      </c>
      <c r="B28" s="26">
        <f t="shared" ref="B28:B29" si="4">AVERAGE(D28:M28)</f>
        <v>3.5966666666666662</v>
      </c>
      <c r="C28" s="26">
        <f t="shared" ref="C28:C29" si="5">(B28-$D$24)^2*COUNT(D28:M28)</f>
        <v>8.3333333333333176E-2</v>
      </c>
      <c r="D28" s="40">
        <v>3.71</v>
      </c>
      <c r="E28" s="40">
        <v>3.62</v>
      </c>
      <c r="F28" s="40">
        <v>3.46</v>
      </c>
      <c r="G28" s="40"/>
      <c r="H28" s="40"/>
      <c r="I28" s="40"/>
      <c r="J28" s="40"/>
      <c r="K28" s="40"/>
      <c r="L28" s="40"/>
      <c r="M28" s="40"/>
      <c r="N28" s="29">
        <f t="shared" ref="N28:N29" si="6">IF(D28="","",(D28-$D$24)^2)</f>
        <v>7.8400000000000136E-2</v>
      </c>
      <c r="O28" s="29">
        <f t="shared" ref="O28:O29" si="7">IF(E28="","",(E28-$D$24)^2)</f>
        <v>3.6100000000000146E-2</v>
      </c>
      <c r="P28" s="29">
        <f t="shared" ref="P28:P29" si="8">IF(F28="","",(F28-$D$24)^2)</f>
        <v>9.0000000000001494E-4</v>
      </c>
      <c r="Q28" s="29" t="str">
        <f t="shared" ref="Q28:Q29" si="9">IF(G28="","",(G28-$D$24)^2)</f>
        <v/>
      </c>
      <c r="R28" s="29" t="str">
        <f t="shared" ref="R28:R29" si="10">IF(H28="","",(H28-$D$24)^2)</f>
        <v/>
      </c>
      <c r="S28" s="29" t="str">
        <f t="shared" ref="S28:S29" si="11">IF(I28="","",(I28-$D$24)^2)</f>
        <v/>
      </c>
      <c r="T28" s="29" t="str">
        <f t="shared" ref="T28:T29" si="12">IF(J28="","",(J28-$D$24)^2)</f>
        <v/>
      </c>
      <c r="U28" s="29" t="str">
        <f t="shared" ref="U28:U29" si="13">IF(K28="","",(K28-$D$24)^2)</f>
        <v/>
      </c>
      <c r="V28" s="29" t="str">
        <f t="shared" ref="V28:V29" si="14">IF(L28="","",(L28-$D$24)^2)</f>
        <v/>
      </c>
      <c r="W28" s="29" t="str">
        <f t="shared" ref="W28:W29" si="15">IF(M28="","",(M28-$D$24)^2)</f>
        <v/>
      </c>
    </row>
    <row r="29" spans="1:23">
      <c r="A29" t="s">
        <v>161</v>
      </c>
      <c r="B29" s="26">
        <f t="shared" si="4"/>
        <v>3.7733333333333334</v>
      </c>
      <c r="C29" s="26">
        <f t="shared" si="5"/>
        <v>0.35363333333333413</v>
      </c>
      <c r="D29" s="40">
        <v>3.67</v>
      </c>
      <c r="E29" s="40">
        <v>3.75</v>
      </c>
      <c r="F29" s="40">
        <v>3.9</v>
      </c>
      <c r="G29" s="40"/>
      <c r="H29" s="40"/>
      <c r="I29" s="40"/>
      <c r="J29" s="40"/>
      <c r="K29" s="40"/>
      <c r="L29" s="40"/>
      <c r="M29" s="40"/>
      <c r="N29" s="29">
        <f t="shared" si="6"/>
        <v>5.7600000000000103E-2</v>
      </c>
      <c r="O29" s="29">
        <f t="shared" si="7"/>
        <v>0.10240000000000019</v>
      </c>
      <c r="P29" s="29">
        <f t="shared" si="8"/>
        <v>0.22090000000000018</v>
      </c>
      <c r="Q29" s="29" t="str">
        <f t="shared" si="9"/>
        <v/>
      </c>
      <c r="R29" s="29" t="str">
        <f t="shared" si="10"/>
        <v/>
      </c>
      <c r="S29" s="29" t="str">
        <f t="shared" si="11"/>
        <v/>
      </c>
      <c r="T29" s="29" t="str">
        <f t="shared" si="12"/>
        <v/>
      </c>
      <c r="U29" s="29" t="str">
        <f t="shared" si="13"/>
        <v/>
      </c>
      <c r="V29" s="29" t="str">
        <f t="shared" si="14"/>
        <v/>
      </c>
      <c r="W29" s="29" t="str">
        <f t="shared" si="15"/>
        <v/>
      </c>
    </row>
    <row r="30" spans="1:23">
      <c r="B30" s="1" t="s">
        <v>62</v>
      </c>
      <c r="C30" s="26">
        <f>SUM(C27:C29)</f>
        <v>1.2172666666666667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F284-E028-4C68-9E05-1E3858625B4A}">
  <dimension ref="A1:N71"/>
  <sheetViews>
    <sheetView workbookViewId="0">
      <selection activeCell="W32" sqref="W32"/>
    </sheetView>
  </sheetViews>
  <sheetFormatPr defaultRowHeight="18"/>
  <cols>
    <col min="9" max="9" width="15.3984375" customWidth="1"/>
    <col min="10" max="10" width="9.3984375" customWidth="1"/>
  </cols>
  <sheetData>
    <row r="1" spans="1:11" ht="33" thickBot="1">
      <c r="B1" s="13" t="s">
        <v>164</v>
      </c>
      <c r="C1" s="13" t="s">
        <v>165</v>
      </c>
      <c r="D1" s="49" t="s">
        <v>166</v>
      </c>
      <c r="E1" s="49" t="s">
        <v>177</v>
      </c>
      <c r="F1" s="49" t="s">
        <v>178</v>
      </c>
    </row>
    <row r="2" spans="1:11" ht="18.600000000000001" thickBot="1">
      <c r="A2">
        <v>1</v>
      </c>
      <c r="B2" s="14">
        <v>97</v>
      </c>
      <c r="C2" s="14">
        <v>98</v>
      </c>
      <c r="D2">
        <f>C2-B2</f>
        <v>1</v>
      </c>
      <c r="E2">
        <f>$D$23-D2</f>
        <v>4.25</v>
      </c>
      <c r="F2" s="26">
        <f>E2^2</f>
        <v>18.0625</v>
      </c>
      <c r="G2" s="26"/>
      <c r="H2">
        <v>1</v>
      </c>
      <c r="I2" t="s">
        <v>167</v>
      </c>
    </row>
    <row r="3" spans="1:11" ht="18.600000000000001" thickBot="1">
      <c r="A3">
        <v>2</v>
      </c>
      <c r="B3" s="14">
        <v>69</v>
      </c>
      <c r="C3" s="14">
        <v>46</v>
      </c>
      <c r="D3">
        <f t="shared" ref="D3:D21" si="0">C3-B3</f>
        <v>-23</v>
      </c>
      <c r="E3">
        <f t="shared" ref="E3:E21" si="1">$D$23-D3</f>
        <v>28.25</v>
      </c>
      <c r="F3" s="26">
        <f t="shared" ref="F3:F21" si="2">E3^2</f>
        <v>798.0625</v>
      </c>
      <c r="G3" s="26"/>
      <c r="I3" t="s">
        <v>168</v>
      </c>
      <c r="J3" t="s">
        <v>171</v>
      </c>
    </row>
    <row r="4" spans="1:11" ht="18.600000000000001" thickBot="1">
      <c r="A4">
        <v>3</v>
      </c>
      <c r="B4" s="14">
        <v>90</v>
      </c>
      <c r="C4" s="14">
        <v>78</v>
      </c>
      <c r="D4">
        <f t="shared" si="0"/>
        <v>-12</v>
      </c>
      <c r="E4">
        <f t="shared" si="1"/>
        <v>17.25</v>
      </c>
      <c r="F4" s="26">
        <f t="shared" si="2"/>
        <v>297.5625</v>
      </c>
      <c r="G4" s="26"/>
      <c r="I4" t="s">
        <v>169</v>
      </c>
      <c r="J4" t="s">
        <v>170</v>
      </c>
    </row>
    <row r="5" spans="1:11" ht="18.600000000000001" thickBot="1">
      <c r="A5">
        <v>4</v>
      </c>
      <c r="B5" s="14">
        <v>65</v>
      </c>
      <c r="C5" s="14">
        <v>76</v>
      </c>
      <c r="D5">
        <f t="shared" si="0"/>
        <v>11</v>
      </c>
      <c r="E5">
        <f t="shared" si="1"/>
        <v>-5.75</v>
      </c>
      <c r="F5" s="26">
        <f t="shared" si="2"/>
        <v>33.0625</v>
      </c>
      <c r="G5" s="26"/>
    </row>
    <row r="6" spans="1:11" ht="18.600000000000001" thickBot="1">
      <c r="A6">
        <v>5</v>
      </c>
      <c r="B6" s="14">
        <v>47</v>
      </c>
      <c r="C6" s="14">
        <v>59</v>
      </c>
      <c r="D6">
        <f t="shared" si="0"/>
        <v>12</v>
      </c>
      <c r="E6">
        <f t="shared" si="1"/>
        <v>-6.75</v>
      </c>
      <c r="F6" s="26">
        <f t="shared" si="2"/>
        <v>45.5625</v>
      </c>
      <c r="G6" s="26"/>
      <c r="H6">
        <v>2</v>
      </c>
      <c r="I6" t="s">
        <v>176</v>
      </c>
    </row>
    <row r="7" spans="1:11" ht="18.600000000000001" thickBot="1">
      <c r="A7">
        <v>6</v>
      </c>
      <c r="B7" s="14">
        <v>20</v>
      </c>
      <c r="C7" s="14">
        <v>32</v>
      </c>
      <c r="D7">
        <f t="shared" si="0"/>
        <v>12</v>
      </c>
      <c r="E7">
        <f t="shared" si="1"/>
        <v>-6.75</v>
      </c>
      <c r="F7" s="26">
        <f t="shared" si="2"/>
        <v>45.5625</v>
      </c>
      <c r="G7" s="26"/>
      <c r="I7" s="1" t="s">
        <v>173</v>
      </c>
      <c r="J7">
        <v>0.05</v>
      </c>
    </row>
    <row r="8" spans="1:11" ht="18.600000000000001" thickBot="1">
      <c r="A8">
        <v>7</v>
      </c>
      <c r="B8" s="14">
        <v>89</v>
      </c>
      <c r="C8" s="14">
        <v>65</v>
      </c>
      <c r="D8">
        <f t="shared" si="0"/>
        <v>-24</v>
      </c>
      <c r="E8">
        <f t="shared" si="1"/>
        <v>29.25</v>
      </c>
      <c r="F8" s="26">
        <f t="shared" si="2"/>
        <v>855.5625</v>
      </c>
      <c r="G8" s="26"/>
    </row>
    <row r="9" spans="1:11" ht="18.600000000000001" thickBot="1">
      <c r="A9">
        <v>8</v>
      </c>
      <c r="B9" s="14">
        <v>98</v>
      </c>
      <c r="C9" s="14">
        <v>70</v>
      </c>
      <c r="D9">
        <f t="shared" si="0"/>
        <v>-28</v>
      </c>
      <c r="E9">
        <f t="shared" si="1"/>
        <v>33.25</v>
      </c>
      <c r="F9" s="26">
        <f t="shared" si="2"/>
        <v>1105.5625</v>
      </c>
      <c r="G9" s="26"/>
      <c r="H9">
        <v>3</v>
      </c>
      <c r="I9" t="s">
        <v>175</v>
      </c>
    </row>
    <row r="10" spans="1:11" ht="18.600000000000001" thickBot="1">
      <c r="A10">
        <v>9</v>
      </c>
      <c r="B10" s="14">
        <v>100</v>
      </c>
      <c r="C10" s="14">
        <v>100</v>
      </c>
      <c r="D10">
        <f t="shared" si="0"/>
        <v>0</v>
      </c>
      <c r="E10">
        <f t="shared" si="1"/>
        <v>5.25</v>
      </c>
      <c r="F10" s="26">
        <f t="shared" si="2"/>
        <v>27.5625</v>
      </c>
      <c r="G10" s="26"/>
      <c r="I10" t="s">
        <v>174</v>
      </c>
      <c r="J10" s="26">
        <f>F24</f>
        <v>294.51315789473682</v>
      </c>
    </row>
    <row r="11" spans="1:11" ht="18.600000000000001" thickBot="1">
      <c r="A11">
        <v>10</v>
      </c>
      <c r="B11" s="14">
        <v>83</v>
      </c>
      <c r="C11" s="14">
        <v>92</v>
      </c>
      <c r="D11">
        <f t="shared" si="0"/>
        <v>9</v>
      </c>
      <c r="E11">
        <f t="shared" si="1"/>
        <v>-3.75</v>
      </c>
      <c r="F11" s="26">
        <f t="shared" si="2"/>
        <v>14.0625</v>
      </c>
      <c r="G11" s="26"/>
      <c r="I11" t="s">
        <v>181</v>
      </c>
      <c r="J11">
        <f>D23</f>
        <v>5.25</v>
      </c>
    </row>
    <row r="12" spans="1:11" ht="18.600000000000001" thickBot="1">
      <c r="A12">
        <v>11</v>
      </c>
      <c r="B12" s="14">
        <v>66</v>
      </c>
      <c r="C12" s="14">
        <v>89</v>
      </c>
      <c r="D12">
        <f t="shared" si="0"/>
        <v>23</v>
      </c>
      <c r="E12">
        <f t="shared" si="1"/>
        <v>-17.75</v>
      </c>
      <c r="F12" s="26">
        <f t="shared" si="2"/>
        <v>315.0625</v>
      </c>
      <c r="G12" s="26"/>
      <c r="I12" t="s">
        <v>182</v>
      </c>
      <c r="J12">
        <v>0</v>
      </c>
      <c r="K12" t="s">
        <v>183</v>
      </c>
    </row>
    <row r="13" spans="1:11" ht="18.600000000000001" thickBot="1">
      <c r="A13">
        <v>12</v>
      </c>
      <c r="B13" s="14">
        <v>77</v>
      </c>
      <c r="C13" s="14">
        <v>71</v>
      </c>
      <c r="D13">
        <f t="shared" si="0"/>
        <v>-6</v>
      </c>
      <c r="E13">
        <f t="shared" si="1"/>
        <v>11.25</v>
      </c>
      <c r="F13" s="26">
        <f t="shared" si="2"/>
        <v>126.5625</v>
      </c>
      <c r="G13" s="26"/>
      <c r="I13" t="s">
        <v>184</v>
      </c>
      <c r="J13">
        <f>A21</f>
        <v>20</v>
      </c>
    </row>
    <row r="14" spans="1:11" ht="18.600000000000001" thickBot="1">
      <c r="A14">
        <v>13</v>
      </c>
      <c r="B14" s="14">
        <v>29</v>
      </c>
      <c r="C14" s="14">
        <v>55</v>
      </c>
      <c r="D14">
        <f t="shared" si="0"/>
        <v>26</v>
      </c>
      <c r="E14">
        <f t="shared" si="1"/>
        <v>-20.75</v>
      </c>
      <c r="F14" s="26">
        <f t="shared" si="2"/>
        <v>430.5625</v>
      </c>
      <c r="G14" s="26"/>
      <c r="I14" s="2" t="s">
        <v>99</v>
      </c>
      <c r="J14" s="18">
        <f>(J11-J12)/SQRT(J10/J13)</f>
        <v>1.3681129381964909</v>
      </c>
    </row>
    <row r="15" spans="1:11" ht="18.600000000000001" thickBot="1">
      <c r="A15">
        <v>14</v>
      </c>
      <c r="B15" s="14">
        <v>87</v>
      </c>
      <c r="C15" s="14">
        <v>100</v>
      </c>
      <c r="D15">
        <f t="shared" si="0"/>
        <v>13</v>
      </c>
      <c r="E15">
        <f t="shared" si="1"/>
        <v>-7.75</v>
      </c>
      <c r="F15" s="26">
        <f t="shared" si="2"/>
        <v>60.0625</v>
      </c>
      <c r="G15" s="26"/>
    </row>
    <row r="16" spans="1:11" ht="18.600000000000001" thickBot="1">
      <c r="A16">
        <v>15</v>
      </c>
      <c r="B16" s="14">
        <v>52</v>
      </c>
      <c r="C16" s="14">
        <v>67</v>
      </c>
      <c r="D16">
        <f t="shared" si="0"/>
        <v>15</v>
      </c>
      <c r="E16">
        <f t="shared" si="1"/>
        <v>-9.75</v>
      </c>
      <c r="F16" s="26">
        <f t="shared" si="2"/>
        <v>95.0625</v>
      </c>
      <c r="G16" s="26"/>
      <c r="H16">
        <v>4</v>
      </c>
      <c r="I16" t="s">
        <v>185</v>
      </c>
      <c r="J16" t="s">
        <v>187</v>
      </c>
    </row>
    <row r="17" spans="1:14" ht="18.600000000000001" thickBot="1">
      <c r="A17">
        <v>16</v>
      </c>
      <c r="B17" s="14">
        <v>50</v>
      </c>
      <c r="C17" s="14">
        <v>65</v>
      </c>
      <c r="D17">
        <f t="shared" si="0"/>
        <v>15</v>
      </c>
      <c r="E17">
        <f t="shared" si="1"/>
        <v>-9.75</v>
      </c>
      <c r="F17" s="26">
        <f t="shared" si="2"/>
        <v>95.0625</v>
      </c>
      <c r="G17" s="26"/>
      <c r="I17" t="s">
        <v>186</v>
      </c>
      <c r="J17">
        <f>A21-1</f>
        <v>19</v>
      </c>
    </row>
    <row r="18" spans="1:14" ht="18.600000000000001" thickBot="1">
      <c r="A18">
        <v>17</v>
      </c>
      <c r="B18" s="14">
        <v>81</v>
      </c>
      <c r="C18" s="14">
        <v>86</v>
      </c>
      <c r="D18">
        <f t="shared" si="0"/>
        <v>5</v>
      </c>
      <c r="E18">
        <f t="shared" si="1"/>
        <v>0.25</v>
      </c>
      <c r="F18" s="26">
        <f t="shared" si="2"/>
        <v>6.25E-2</v>
      </c>
      <c r="G18" s="26"/>
      <c r="I18" t="s">
        <v>190</v>
      </c>
      <c r="J18">
        <v>1.7290000000000001</v>
      </c>
    </row>
    <row r="19" spans="1:14" ht="18.600000000000001" thickBot="1">
      <c r="A19">
        <v>18</v>
      </c>
      <c r="B19" s="14">
        <v>80</v>
      </c>
      <c r="C19" s="14">
        <v>79</v>
      </c>
      <c r="D19">
        <f t="shared" si="0"/>
        <v>-1</v>
      </c>
      <c r="E19">
        <f t="shared" si="1"/>
        <v>6.25</v>
      </c>
      <c r="F19" s="26">
        <f t="shared" si="2"/>
        <v>39.0625</v>
      </c>
      <c r="G19" s="26"/>
    </row>
    <row r="20" spans="1:14" ht="18.600000000000001" thickBot="1">
      <c r="A20">
        <v>19</v>
      </c>
      <c r="B20" s="14">
        <v>60</v>
      </c>
      <c r="C20" s="14">
        <v>96</v>
      </c>
      <c r="D20">
        <f t="shared" si="0"/>
        <v>36</v>
      </c>
      <c r="E20">
        <f t="shared" si="1"/>
        <v>-30.75</v>
      </c>
      <c r="F20" s="26">
        <f t="shared" si="2"/>
        <v>945.5625</v>
      </c>
      <c r="G20" s="26"/>
      <c r="H20">
        <v>5</v>
      </c>
      <c r="I20" t="s">
        <v>191</v>
      </c>
    </row>
    <row r="21" spans="1:14" ht="18.600000000000001" thickBot="1">
      <c r="A21">
        <v>20</v>
      </c>
      <c r="B21" s="14">
        <v>73</v>
      </c>
      <c r="C21" s="14">
        <v>94</v>
      </c>
      <c r="D21">
        <f t="shared" si="0"/>
        <v>21</v>
      </c>
      <c r="E21">
        <f t="shared" si="1"/>
        <v>-15.75</v>
      </c>
      <c r="F21" s="26">
        <f t="shared" si="2"/>
        <v>248.0625</v>
      </c>
      <c r="G21" s="26"/>
      <c r="I21" t="s">
        <v>192</v>
      </c>
      <c r="J21" s="48">
        <f>ABS(J14)-ABS(J18)</f>
        <v>-0.36088706180350916</v>
      </c>
      <c r="K21" s="2" t="s">
        <v>193</v>
      </c>
      <c r="L21" t="s">
        <v>194</v>
      </c>
    </row>
    <row r="22" spans="1:14">
      <c r="A22" t="s">
        <v>179</v>
      </c>
      <c r="B22">
        <f>SUM(B2:B21)</f>
        <v>1413</v>
      </c>
      <c r="C22">
        <f>SUM(C2:C21)</f>
        <v>1518</v>
      </c>
      <c r="D22">
        <f>SUM(D2:D21)</f>
        <v>105</v>
      </c>
      <c r="E22">
        <f>SUM(E2:E21)</f>
        <v>0</v>
      </c>
      <c r="F22" s="26">
        <f>SUM(F2:F21)</f>
        <v>5595.75</v>
      </c>
      <c r="G22" s="26"/>
    </row>
    <row r="23" spans="1:14">
      <c r="A23" t="s">
        <v>180</v>
      </c>
      <c r="B23">
        <f>AVERAGE(B2:B21)</f>
        <v>70.650000000000006</v>
      </c>
      <c r="C23">
        <f>AVERAGE(C2:C21)</f>
        <v>75.900000000000006</v>
      </c>
      <c r="D23">
        <f>AVERAGE(D2:D21)</f>
        <v>5.25</v>
      </c>
      <c r="E23" t="s">
        <v>24</v>
      </c>
      <c r="F23" s="26">
        <f>F22/A21</f>
        <v>279.78750000000002</v>
      </c>
      <c r="G23" s="26"/>
    </row>
    <row r="24" spans="1:14">
      <c r="B24">
        <f>STDEVP(B2:B21)</f>
        <v>21.769875975760634</v>
      </c>
      <c r="C24">
        <f>STDEVP(C2:C21)</f>
        <v>18.503783396916425</v>
      </c>
      <c r="D24">
        <f>STDEVP(D2:D21)</f>
        <v>16.726849673503974</v>
      </c>
      <c r="E24" t="s">
        <v>128</v>
      </c>
      <c r="F24" s="26">
        <f>F22/(A21-1)</f>
        <v>294.51315789473682</v>
      </c>
      <c r="G24" t="s">
        <v>57</v>
      </c>
    </row>
    <row r="27" spans="1:14" ht="18.600000000000001" thickBot="1"/>
    <row r="28" spans="1:14" ht="33" thickBot="1">
      <c r="B28" s="13" t="s">
        <v>164</v>
      </c>
      <c r="C28" s="13" t="s">
        <v>165</v>
      </c>
      <c r="D28" s="49" t="s">
        <v>166</v>
      </c>
      <c r="E28" s="49" t="s">
        <v>177</v>
      </c>
      <c r="F28" s="49" t="s">
        <v>178</v>
      </c>
    </row>
    <row r="29" spans="1:14" ht="18.600000000000001" thickBot="1">
      <c r="A29">
        <v>1</v>
      </c>
      <c r="B29" s="14">
        <v>97</v>
      </c>
      <c r="C29" s="14">
        <v>98</v>
      </c>
      <c r="D29">
        <f>C29-B29</f>
        <v>1</v>
      </c>
      <c r="E29">
        <f>$D$70-D29</f>
        <v>4.25</v>
      </c>
      <c r="F29" s="26">
        <f>E29^2</f>
        <v>18.0625</v>
      </c>
      <c r="H29">
        <v>1</v>
      </c>
      <c r="I29" t="s">
        <v>167</v>
      </c>
      <c r="N29" s="50" t="s">
        <v>199</v>
      </c>
    </row>
    <row r="30" spans="1:14" ht="18.600000000000001" thickBot="1">
      <c r="A30">
        <v>2</v>
      </c>
      <c r="B30" s="14">
        <v>46</v>
      </c>
      <c r="C30" s="14">
        <v>69</v>
      </c>
      <c r="D30">
        <f t="shared" ref="D30:D68" si="3">C30-B30</f>
        <v>23</v>
      </c>
      <c r="E30">
        <f t="shared" ref="E30:E68" si="4">$D$70-D30</f>
        <v>-17.75</v>
      </c>
      <c r="F30" s="26">
        <f t="shared" ref="F30:F68" si="5">E30^2</f>
        <v>315.0625</v>
      </c>
      <c r="I30" t="s">
        <v>168</v>
      </c>
      <c r="J30" t="s">
        <v>171</v>
      </c>
    </row>
    <row r="31" spans="1:14" ht="18.600000000000001" thickBot="1">
      <c r="A31">
        <v>3</v>
      </c>
      <c r="B31" s="14">
        <v>90</v>
      </c>
      <c r="C31" s="14">
        <v>78</v>
      </c>
      <c r="D31">
        <f t="shared" si="3"/>
        <v>-12</v>
      </c>
      <c r="E31">
        <f t="shared" si="4"/>
        <v>17.25</v>
      </c>
      <c r="F31" s="26">
        <f t="shared" si="5"/>
        <v>297.5625</v>
      </c>
      <c r="I31" t="s">
        <v>169</v>
      </c>
      <c r="J31" t="s">
        <v>170</v>
      </c>
    </row>
    <row r="32" spans="1:14" ht="18.600000000000001" thickBot="1">
      <c r="A32">
        <v>4</v>
      </c>
      <c r="B32" s="14">
        <v>65</v>
      </c>
      <c r="C32" s="14">
        <v>76</v>
      </c>
      <c r="D32">
        <f t="shared" si="3"/>
        <v>11</v>
      </c>
      <c r="E32">
        <f t="shared" si="4"/>
        <v>-5.75</v>
      </c>
      <c r="F32" s="26">
        <f t="shared" si="5"/>
        <v>33.0625</v>
      </c>
    </row>
    <row r="33" spans="1:12" ht="18.600000000000001" thickBot="1">
      <c r="A33">
        <v>5</v>
      </c>
      <c r="B33" s="14">
        <v>47</v>
      </c>
      <c r="C33" s="14">
        <v>59</v>
      </c>
      <c r="D33">
        <f t="shared" si="3"/>
        <v>12</v>
      </c>
      <c r="E33">
        <f t="shared" si="4"/>
        <v>-6.75</v>
      </c>
      <c r="F33" s="26">
        <f t="shared" si="5"/>
        <v>45.5625</v>
      </c>
      <c r="H33">
        <v>2</v>
      </c>
      <c r="I33" t="s">
        <v>176</v>
      </c>
    </row>
    <row r="34" spans="1:12" ht="18.600000000000001" thickBot="1">
      <c r="A34">
        <v>6</v>
      </c>
      <c r="B34" s="14">
        <v>20</v>
      </c>
      <c r="C34" s="14">
        <v>32</v>
      </c>
      <c r="D34">
        <f t="shared" si="3"/>
        <v>12</v>
      </c>
      <c r="E34">
        <f t="shared" si="4"/>
        <v>-6.75</v>
      </c>
      <c r="F34" s="26">
        <f t="shared" si="5"/>
        <v>45.5625</v>
      </c>
      <c r="I34" s="1" t="s">
        <v>173</v>
      </c>
      <c r="J34">
        <v>0.05</v>
      </c>
    </row>
    <row r="35" spans="1:12" ht="18.600000000000001" thickBot="1">
      <c r="A35">
        <v>7</v>
      </c>
      <c r="B35" s="14">
        <v>89</v>
      </c>
      <c r="C35" s="14">
        <v>65</v>
      </c>
      <c r="D35">
        <f t="shared" si="3"/>
        <v>-24</v>
      </c>
      <c r="E35">
        <f t="shared" si="4"/>
        <v>29.25</v>
      </c>
      <c r="F35" s="26">
        <f t="shared" si="5"/>
        <v>855.5625</v>
      </c>
    </row>
    <row r="36" spans="1:12" ht="18.600000000000001" thickBot="1">
      <c r="A36">
        <v>8</v>
      </c>
      <c r="B36" s="14">
        <v>98</v>
      </c>
      <c r="C36" s="14">
        <v>70</v>
      </c>
      <c r="D36">
        <f t="shared" si="3"/>
        <v>-28</v>
      </c>
      <c r="E36">
        <f t="shared" si="4"/>
        <v>33.25</v>
      </c>
      <c r="F36" s="26">
        <f t="shared" si="5"/>
        <v>1105.5625</v>
      </c>
      <c r="H36">
        <v>3</v>
      </c>
      <c r="I36" t="s">
        <v>175</v>
      </c>
    </row>
    <row r="37" spans="1:12" ht="18.600000000000001" thickBot="1">
      <c r="A37">
        <v>9</v>
      </c>
      <c r="B37" s="14">
        <v>100</v>
      </c>
      <c r="C37" s="14">
        <v>100</v>
      </c>
      <c r="D37">
        <f t="shared" si="3"/>
        <v>0</v>
      </c>
      <c r="E37">
        <f t="shared" si="4"/>
        <v>5.25</v>
      </c>
      <c r="F37" s="26">
        <f t="shared" si="5"/>
        <v>27.5625</v>
      </c>
      <c r="I37" t="s">
        <v>174</v>
      </c>
      <c r="J37" s="26">
        <f>F51</f>
        <v>105.0625</v>
      </c>
    </row>
    <row r="38" spans="1:12" ht="18.600000000000001" thickBot="1">
      <c r="A38">
        <v>10</v>
      </c>
      <c r="B38" s="14">
        <v>83</v>
      </c>
      <c r="C38" s="14">
        <v>92</v>
      </c>
      <c r="D38">
        <f t="shared" si="3"/>
        <v>9</v>
      </c>
      <c r="E38">
        <f t="shared" si="4"/>
        <v>-3.75</v>
      </c>
      <c r="F38" s="26">
        <f t="shared" si="5"/>
        <v>14.0625</v>
      </c>
      <c r="I38" t="s">
        <v>181</v>
      </c>
      <c r="J38">
        <f>D70</f>
        <v>5.25</v>
      </c>
    </row>
    <row r="39" spans="1:12" ht="18.600000000000001" thickBot="1">
      <c r="A39">
        <v>11</v>
      </c>
      <c r="B39" s="14">
        <v>66</v>
      </c>
      <c r="C39" s="14">
        <v>89</v>
      </c>
      <c r="D39">
        <f t="shared" si="3"/>
        <v>23</v>
      </c>
      <c r="E39">
        <f t="shared" si="4"/>
        <v>-17.75</v>
      </c>
      <c r="F39" s="26">
        <f t="shared" si="5"/>
        <v>315.0625</v>
      </c>
      <c r="I39" t="s">
        <v>182</v>
      </c>
      <c r="J39">
        <v>0</v>
      </c>
      <c r="K39" t="s">
        <v>183</v>
      </c>
    </row>
    <row r="40" spans="1:12" ht="18.600000000000001" thickBot="1">
      <c r="A40">
        <v>12</v>
      </c>
      <c r="B40" s="14">
        <v>77</v>
      </c>
      <c r="C40" s="14">
        <v>71</v>
      </c>
      <c r="D40">
        <f t="shared" si="3"/>
        <v>-6</v>
      </c>
      <c r="E40">
        <f t="shared" si="4"/>
        <v>11.25</v>
      </c>
      <c r="F40" s="26">
        <f t="shared" si="5"/>
        <v>126.5625</v>
      </c>
      <c r="I40" t="s">
        <v>184</v>
      </c>
      <c r="J40">
        <f>A68</f>
        <v>40</v>
      </c>
    </row>
    <row r="41" spans="1:12" ht="18.600000000000001" thickBot="1">
      <c r="A41">
        <v>13</v>
      </c>
      <c r="B41" s="14">
        <v>29</v>
      </c>
      <c r="C41" s="14">
        <v>55</v>
      </c>
      <c r="D41">
        <f t="shared" si="3"/>
        <v>26</v>
      </c>
      <c r="E41">
        <f t="shared" si="4"/>
        <v>-20.75</v>
      </c>
      <c r="F41" s="26">
        <f t="shared" si="5"/>
        <v>430.5625</v>
      </c>
      <c r="I41" s="2" t="s">
        <v>99</v>
      </c>
      <c r="J41" s="18">
        <f>(J38-J39)/SQRT(J37/J40)</f>
        <v>3.2394063835871205</v>
      </c>
    </row>
    <row r="42" spans="1:12" ht="18.600000000000001" thickBot="1">
      <c r="A42">
        <v>14</v>
      </c>
      <c r="B42" s="14">
        <v>87</v>
      </c>
      <c r="C42" s="14">
        <v>100</v>
      </c>
      <c r="D42">
        <f t="shared" si="3"/>
        <v>13</v>
      </c>
      <c r="E42">
        <f t="shared" si="4"/>
        <v>-7.75</v>
      </c>
      <c r="F42" s="26">
        <f t="shared" si="5"/>
        <v>60.0625</v>
      </c>
    </row>
    <row r="43" spans="1:12" ht="18.600000000000001" thickBot="1">
      <c r="A43">
        <v>15</v>
      </c>
      <c r="B43" s="14">
        <v>52</v>
      </c>
      <c r="C43" s="14">
        <v>67</v>
      </c>
      <c r="D43">
        <f t="shared" si="3"/>
        <v>15</v>
      </c>
      <c r="E43">
        <f t="shared" si="4"/>
        <v>-9.75</v>
      </c>
      <c r="F43" s="26">
        <f t="shared" si="5"/>
        <v>95.0625</v>
      </c>
      <c r="H43">
        <v>4</v>
      </c>
      <c r="I43" t="s">
        <v>185</v>
      </c>
      <c r="J43" t="s">
        <v>187</v>
      </c>
    </row>
    <row r="44" spans="1:12" ht="18.600000000000001" thickBot="1">
      <c r="A44">
        <v>16</v>
      </c>
      <c r="B44" s="14">
        <v>50</v>
      </c>
      <c r="C44" s="14">
        <v>65</v>
      </c>
      <c r="D44">
        <f t="shared" si="3"/>
        <v>15</v>
      </c>
      <c r="E44">
        <f t="shared" si="4"/>
        <v>-9.75</v>
      </c>
      <c r="F44" s="26">
        <f t="shared" si="5"/>
        <v>95.0625</v>
      </c>
      <c r="I44" t="s">
        <v>186</v>
      </c>
      <c r="J44">
        <f>A68-1</f>
        <v>39</v>
      </c>
    </row>
    <row r="45" spans="1:12" ht="18.600000000000001" thickBot="1">
      <c r="A45">
        <v>17</v>
      </c>
      <c r="B45" s="14">
        <v>81</v>
      </c>
      <c r="C45" s="14">
        <v>86</v>
      </c>
      <c r="D45">
        <f t="shared" si="3"/>
        <v>5</v>
      </c>
      <c r="E45">
        <f t="shared" si="4"/>
        <v>0.25</v>
      </c>
      <c r="F45" s="26">
        <f t="shared" si="5"/>
        <v>6.25E-2</v>
      </c>
      <c r="I45" t="s">
        <v>196</v>
      </c>
      <c r="J45">
        <v>1.6850000000000001</v>
      </c>
    </row>
    <row r="46" spans="1:12" ht="18.600000000000001" thickBot="1">
      <c r="A46">
        <v>18</v>
      </c>
      <c r="B46" s="14">
        <v>80</v>
      </c>
      <c r="C46" s="14">
        <v>79</v>
      </c>
      <c r="D46">
        <f t="shared" si="3"/>
        <v>-1</v>
      </c>
      <c r="E46">
        <f t="shared" si="4"/>
        <v>6.25</v>
      </c>
      <c r="F46" s="26">
        <f t="shared" si="5"/>
        <v>39.0625</v>
      </c>
    </row>
    <row r="47" spans="1:12" ht="18.600000000000001" thickBot="1">
      <c r="A47">
        <v>19</v>
      </c>
      <c r="B47" s="14">
        <v>60</v>
      </c>
      <c r="C47" s="14">
        <v>96</v>
      </c>
      <c r="D47">
        <f t="shared" si="3"/>
        <v>36</v>
      </c>
      <c r="E47">
        <f t="shared" si="4"/>
        <v>-30.75</v>
      </c>
      <c r="F47" s="26">
        <f t="shared" si="5"/>
        <v>945.5625</v>
      </c>
      <c r="H47">
        <v>5</v>
      </c>
      <c r="I47" t="s">
        <v>191</v>
      </c>
    </row>
    <row r="48" spans="1:12" ht="18.600000000000001" thickBot="1">
      <c r="A48">
        <v>20</v>
      </c>
      <c r="B48" s="14">
        <v>73</v>
      </c>
      <c r="C48" s="14">
        <v>94</v>
      </c>
      <c r="D48">
        <f t="shared" si="3"/>
        <v>21</v>
      </c>
      <c r="E48">
        <f t="shared" si="4"/>
        <v>-15.75</v>
      </c>
      <c r="F48" s="26">
        <f t="shared" si="5"/>
        <v>248.0625</v>
      </c>
      <c r="I48" t="s">
        <v>192</v>
      </c>
      <c r="J48" s="48">
        <f>ABS(J41)-ABS(J45)</f>
        <v>1.5544063835871205</v>
      </c>
      <c r="K48" s="2" t="s">
        <v>197</v>
      </c>
      <c r="L48" t="s">
        <v>198</v>
      </c>
    </row>
    <row r="49" spans="1:6" ht="18.600000000000001" thickBot="1">
      <c r="A49">
        <v>21</v>
      </c>
      <c r="B49" s="14">
        <v>81</v>
      </c>
      <c r="C49" s="14">
        <v>86</v>
      </c>
      <c r="D49">
        <f t="shared" si="3"/>
        <v>5</v>
      </c>
      <c r="E49">
        <f t="shared" si="4"/>
        <v>0.25</v>
      </c>
      <c r="F49" s="26">
        <f t="shared" si="5"/>
        <v>6.25E-2</v>
      </c>
    </row>
    <row r="50" spans="1:6" ht="18.600000000000001" thickBot="1">
      <c r="A50">
        <v>22</v>
      </c>
      <c r="B50" s="14">
        <v>32</v>
      </c>
      <c r="C50" s="14">
        <v>34</v>
      </c>
      <c r="D50">
        <f t="shared" si="3"/>
        <v>2</v>
      </c>
      <c r="E50">
        <f t="shared" si="4"/>
        <v>3.25</v>
      </c>
      <c r="F50" s="26">
        <f t="shared" si="5"/>
        <v>10.5625</v>
      </c>
    </row>
    <row r="51" spans="1:6" ht="18.600000000000001" thickBot="1">
      <c r="A51">
        <v>23</v>
      </c>
      <c r="B51" s="14">
        <v>56</v>
      </c>
      <c r="C51" s="14">
        <v>51</v>
      </c>
      <c r="D51">
        <f t="shared" si="3"/>
        <v>-5</v>
      </c>
      <c r="E51">
        <f t="shared" si="4"/>
        <v>10.25</v>
      </c>
      <c r="F51" s="26">
        <f t="shared" si="5"/>
        <v>105.0625</v>
      </c>
    </row>
    <row r="52" spans="1:6" ht="18.600000000000001" thickBot="1">
      <c r="A52">
        <v>24</v>
      </c>
      <c r="B52" s="14">
        <v>74</v>
      </c>
      <c r="C52" s="14">
        <v>97</v>
      </c>
      <c r="D52">
        <f t="shared" si="3"/>
        <v>23</v>
      </c>
      <c r="E52">
        <f t="shared" si="4"/>
        <v>-17.75</v>
      </c>
      <c r="F52" s="26">
        <f t="shared" si="5"/>
        <v>315.0625</v>
      </c>
    </row>
    <row r="53" spans="1:6" ht="18.600000000000001" thickBot="1">
      <c r="A53">
        <v>25</v>
      </c>
      <c r="B53" s="14">
        <v>85</v>
      </c>
      <c r="C53" s="14">
        <v>96</v>
      </c>
      <c r="D53">
        <f t="shared" si="3"/>
        <v>11</v>
      </c>
      <c r="E53">
        <f t="shared" si="4"/>
        <v>-5.75</v>
      </c>
      <c r="F53" s="26">
        <f t="shared" si="5"/>
        <v>33.0625</v>
      </c>
    </row>
    <row r="54" spans="1:6" ht="18.600000000000001" thickBot="1">
      <c r="A54">
        <v>26</v>
      </c>
      <c r="B54" s="14">
        <v>93</v>
      </c>
      <c r="C54" s="14">
        <v>99</v>
      </c>
      <c r="D54">
        <f t="shared" si="3"/>
        <v>6</v>
      </c>
      <c r="E54">
        <f t="shared" si="4"/>
        <v>-0.75</v>
      </c>
      <c r="F54" s="26">
        <f t="shared" si="5"/>
        <v>0.5625</v>
      </c>
    </row>
    <row r="55" spans="1:6" ht="18.600000000000001" thickBot="1">
      <c r="A55">
        <v>27</v>
      </c>
      <c r="B55" s="14">
        <v>95</v>
      </c>
      <c r="C55" s="14">
        <v>97</v>
      </c>
      <c r="D55">
        <f t="shared" si="3"/>
        <v>2</v>
      </c>
      <c r="E55">
        <f t="shared" si="4"/>
        <v>3.25</v>
      </c>
      <c r="F55" s="26">
        <f t="shared" si="5"/>
        <v>10.5625</v>
      </c>
    </row>
    <row r="56" spans="1:6" ht="18.600000000000001" thickBot="1">
      <c r="A56">
        <v>28</v>
      </c>
      <c r="B56" s="14">
        <v>52</v>
      </c>
      <c r="C56" s="14">
        <v>62</v>
      </c>
      <c r="D56">
        <f t="shared" si="3"/>
        <v>10</v>
      </c>
      <c r="E56">
        <f t="shared" si="4"/>
        <v>-4.75</v>
      </c>
      <c r="F56" s="26">
        <f t="shared" si="5"/>
        <v>22.5625</v>
      </c>
    </row>
    <row r="57" spans="1:6" ht="18.600000000000001" thickBot="1">
      <c r="A57">
        <v>29</v>
      </c>
      <c r="B57" s="14">
        <v>94</v>
      </c>
      <c r="C57" s="14">
        <v>98</v>
      </c>
      <c r="D57">
        <f t="shared" si="3"/>
        <v>4</v>
      </c>
      <c r="E57">
        <f t="shared" si="4"/>
        <v>1.25</v>
      </c>
      <c r="F57" s="26">
        <f t="shared" si="5"/>
        <v>1.5625</v>
      </c>
    </row>
    <row r="58" spans="1:6" ht="18.600000000000001" thickBot="1">
      <c r="A58">
        <v>30</v>
      </c>
      <c r="B58" s="14">
        <v>44</v>
      </c>
      <c r="C58" s="14">
        <v>41</v>
      </c>
      <c r="D58">
        <f t="shared" si="3"/>
        <v>-3</v>
      </c>
      <c r="E58">
        <f t="shared" si="4"/>
        <v>8.25</v>
      </c>
      <c r="F58" s="26">
        <f t="shared" si="5"/>
        <v>68.0625</v>
      </c>
    </row>
    <row r="59" spans="1:6" ht="18.600000000000001" thickBot="1">
      <c r="A59">
        <v>31</v>
      </c>
      <c r="B59" s="14">
        <v>78</v>
      </c>
      <c r="C59" s="14">
        <v>73</v>
      </c>
      <c r="D59">
        <f t="shared" si="3"/>
        <v>-5</v>
      </c>
      <c r="E59">
        <f t="shared" si="4"/>
        <v>10.25</v>
      </c>
      <c r="F59" s="26">
        <f t="shared" si="5"/>
        <v>105.0625</v>
      </c>
    </row>
    <row r="60" spans="1:6" ht="18.600000000000001" thickBot="1">
      <c r="A60">
        <v>32</v>
      </c>
      <c r="B60" s="14">
        <v>100</v>
      </c>
      <c r="C60" s="14">
        <v>98</v>
      </c>
      <c r="D60">
        <f t="shared" si="3"/>
        <v>-2</v>
      </c>
      <c r="E60">
        <f t="shared" si="4"/>
        <v>7.25</v>
      </c>
      <c r="F60" s="26">
        <f t="shared" si="5"/>
        <v>52.5625</v>
      </c>
    </row>
    <row r="61" spans="1:6" ht="18.600000000000001" thickBot="1">
      <c r="A61">
        <v>33</v>
      </c>
      <c r="B61" s="14">
        <v>40</v>
      </c>
      <c r="C61" s="14">
        <v>41</v>
      </c>
      <c r="D61">
        <f t="shared" si="3"/>
        <v>1</v>
      </c>
      <c r="E61">
        <f t="shared" si="4"/>
        <v>4.25</v>
      </c>
      <c r="F61" s="26">
        <f t="shared" si="5"/>
        <v>18.0625</v>
      </c>
    </row>
    <row r="62" spans="1:6" ht="18.600000000000001" thickBot="1">
      <c r="A62">
        <v>34</v>
      </c>
      <c r="B62" s="14">
        <v>68</v>
      </c>
      <c r="C62" s="14">
        <v>60</v>
      </c>
      <c r="D62">
        <f t="shared" si="3"/>
        <v>-8</v>
      </c>
      <c r="E62">
        <f t="shared" si="4"/>
        <v>13.25</v>
      </c>
      <c r="F62" s="26">
        <f t="shared" si="5"/>
        <v>175.5625</v>
      </c>
    </row>
    <row r="63" spans="1:6" ht="18.600000000000001" thickBot="1">
      <c r="A63">
        <v>35</v>
      </c>
      <c r="B63" s="14">
        <v>77</v>
      </c>
      <c r="C63" s="14">
        <v>59</v>
      </c>
      <c r="D63">
        <f t="shared" si="3"/>
        <v>-18</v>
      </c>
      <c r="E63">
        <f t="shared" si="4"/>
        <v>23.25</v>
      </c>
      <c r="F63" s="26">
        <f t="shared" si="5"/>
        <v>540.5625</v>
      </c>
    </row>
    <row r="64" spans="1:6" ht="18.600000000000001" thickBot="1">
      <c r="A64">
        <v>36</v>
      </c>
      <c r="B64" s="14">
        <v>99</v>
      </c>
      <c r="C64" s="14">
        <v>99</v>
      </c>
      <c r="D64">
        <f t="shared" si="3"/>
        <v>0</v>
      </c>
      <c r="E64">
        <f t="shared" si="4"/>
        <v>5.25</v>
      </c>
      <c r="F64" s="26">
        <f t="shared" si="5"/>
        <v>27.5625</v>
      </c>
    </row>
    <row r="65" spans="1:7" ht="18.600000000000001" thickBot="1">
      <c r="A65">
        <v>37</v>
      </c>
      <c r="B65" s="14">
        <v>65</v>
      </c>
      <c r="C65" s="14">
        <v>67</v>
      </c>
      <c r="D65">
        <f t="shared" si="3"/>
        <v>2</v>
      </c>
      <c r="E65">
        <f t="shared" si="4"/>
        <v>3.25</v>
      </c>
      <c r="F65" s="26">
        <f t="shared" si="5"/>
        <v>10.5625</v>
      </c>
    </row>
    <row r="66" spans="1:7" ht="18.600000000000001" thickBot="1">
      <c r="A66">
        <v>38</v>
      </c>
      <c r="B66" s="14">
        <v>65</v>
      </c>
      <c r="C66" s="14">
        <v>58</v>
      </c>
      <c r="D66">
        <f t="shared" si="3"/>
        <v>-7</v>
      </c>
      <c r="E66">
        <f t="shared" si="4"/>
        <v>12.25</v>
      </c>
      <c r="F66" s="26">
        <f t="shared" si="5"/>
        <v>150.0625</v>
      </c>
    </row>
    <row r="67" spans="1:7" ht="18.600000000000001" thickBot="1">
      <c r="A67">
        <v>39</v>
      </c>
      <c r="B67" s="14">
        <v>58</v>
      </c>
      <c r="C67" s="14">
        <v>93</v>
      </c>
      <c r="D67">
        <f t="shared" si="3"/>
        <v>35</v>
      </c>
      <c r="E67">
        <f t="shared" si="4"/>
        <v>-29.75</v>
      </c>
      <c r="F67" s="26">
        <f t="shared" si="5"/>
        <v>885.0625</v>
      </c>
    </row>
    <row r="68" spans="1:7" ht="18.600000000000001" thickBot="1">
      <c r="A68">
        <v>40</v>
      </c>
      <c r="B68" s="14">
        <v>80</v>
      </c>
      <c r="C68" s="14">
        <v>86</v>
      </c>
      <c r="D68">
        <f t="shared" si="3"/>
        <v>6</v>
      </c>
      <c r="E68">
        <f t="shared" si="4"/>
        <v>-0.75</v>
      </c>
      <c r="F68" s="26">
        <f t="shared" si="5"/>
        <v>0.5625</v>
      </c>
    </row>
    <row r="69" spans="1:7">
      <c r="A69" t="s">
        <v>179</v>
      </c>
      <c r="B69">
        <f>SUM(B29:B68)</f>
        <v>2826</v>
      </c>
      <c r="C69">
        <f>SUM(C29:C68)</f>
        <v>3036</v>
      </c>
      <c r="D69">
        <f>SUM(D29:D68)</f>
        <v>210</v>
      </c>
      <c r="F69" s="26">
        <f>SUM(F29:F68)</f>
        <v>7645.5</v>
      </c>
    </row>
    <row r="70" spans="1:7">
      <c r="A70" t="s">
        <v>180</v>
      </c>
      <c r="B70">
        <f>AVERAGE(B29:B68)</f>
        <v>70.650000000000006</v>
      </c>
      <c r="C70">
        <f>AVERAGE(C29:C68)</f>
        <v>75.900000000000006</v>
      </c>
      <c r="D70">
        <f>AVERAGE(D29:D68)</f>
        <v>5.25</v>
      </c>
      <c r="E70" t="s">
        <v>24</v>
      </c>
      <c r="F70" s="26">
        <f>F69/A68</f>
        <v>191.13749999999999</v>
      </c>
      <c r="G70" s="26"/>
    </row>
    <row r="71" spans="1:7">
      <c r="A71" t="s">
        <v>195</v>
      </c>
      <c r="B71">
        <f>STDEVP(B29:B68)</f>
        <v>21.112259471690852</v>
      </c>
      <c r="C71">
        <f>STDEVP(C29:C68)</f>
        <v>19.866806487203725</v>
      </c>
      <c r="E71" t="s">
        <v>128</v>
      </c>
      <c r="F71" s="26">
        <f>F69/(A68-1)</f>
        <v>196.03846153846155</v>
      </c>
      <c r="G71" t="s">
        <v>57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880F-ED67-4847-BEBB-418E85DE64A3}">
  <dimension ref="A1:K135"/>
  <sheetViews>
    <sheetView topLeftCell="A113" workbookViewId="0">
      <selection activeCell="D126" sqref="D126"/>
    </sheetView>
  </sheetViews>
  <sheetFormatPr defaultRowHeight="18"/>
  <cols>
    <col min="4" max="5" width="8.59765625" customWidth="1"/>
    <col min="10" max="11" width="8.59765625" customWidth="1"/>
  </cols>
  <sheetData>
    <row r="1" spans="1:11">
      <c r="A1" s="56" t="s">
        <v>208</v>
      </c>
      <c r="B1" s="57" t="s">
        <v>209</v>
      </c>
      <c r="C1" s="2" t="s">
        <v>212</v>
      </c>
      <c r="D1" s="2" t="s">
        <v>213</v>
      </c>
      <c r="E1" s="2" t="s">
        <v>214</v>
      </c>
      <c r="G1" s="56" t="s">
        <v>208</v>
      </c>
      <c r="H1" s="57" t="s">
        <v>209</v>
      </c>
      <c r="I1" s="2" t="s">
        <v>212</v>
      </c>
      <c r="J1" s="2" t="s">
        <v>213</v>
      </c>
      <c r="K1" s="2" t="s">
        <v>214</v>
      </c>
    </row>
    <row r="2" spans="1:11">
      <c r="A2" s="56">
        <v>1</v>
      </c>
      <c r="B2" s="57">
        <v>3.5</v>
      </c>
      <c r="C2">
        <f>INT(B2)</f>
        <v>3</v>
      </c>
      <c r="D2" s="29">
        <f>B2-B$51</f>
        <v>-1.0714285714285703</v>
      </c>
      <c r="E2" s="29">
        <f>D2^2</f>
        <v>1.1479591836734668</v>
      </c>
      <c r="G2" s="59">
        <v>1</v>
      </c>
      <c r="H2" s="60">
        <v>4.5</v>
      </c>
      <c r="I2">
        <f>INT(H2)</f>
        <v>4</v>
      </c>
      <c r="J2" s="29">
        <f>H2-H$51</f>
        <v>-0.11428571428571388</v>
      </c>
      <c r="K2" s="29">
        <f>J2^2</f>
        <v>1.3061224489795825E-2</v>
      </c>
    </row>
    <row r="3" spans="1:11">
      <c r="A3" s="56">
        <v>2</v>
      </c>
      <c r="B3" s="57">
        <v>4.2</v>
      </c>
      <c r="C3">
        <f t="shared" ref="C3:C50" si="0">INT(B3)</f>
        <v>4</v>
      </c>
      <c r="D3" s="29">
        <f t="shared" ref="D3:D50" si="1">B3-B$51</f>
        <v>-0.37142857142857011</v>
      </c>
      <c r="E3" s="29">
        <f>D3^2</f>
        <v>0.13795918367346841</v>
      </c>
      <c r="G3" s="59">
        <v>2</v>
      </c>
      <c r="H3" s="60">
        <v>4.2</v>
      </c>
      <c r="I3">
        <f t="shared" ref="I3:I50" si="2">INT(H3)</f>
        <v>4</v>
      </c>
      <c r="J3" s="29">
        <f t="shared" ref="J3:J50" si="3">H3-H$51</f>
        <v>-0.4142857142857137</v>
      </c>
      <c r="K3" s="29">
        <f>J3^2</f>
        <v>0.17163265306122399</v>
      </c>
    </row>
    <row r="4" spans="1:11">
      <c r="A4" s="56">
        <v>3</v>
      </c>
      <c r="B4" s="57">
        <v>4.9000000000000004</v>
      </c>
      <c r="C4">
        <f t="shared" si="0"/>
        <v>4</v>
      </c>
      <c r="D4" s="29">
        <f t="shared" si="1"/>
        <v>0.32857142857143007</v>
      </c>
      <c r="E4" s="29">
        <f t="shared" ref="E4:E50" si="4">D4^2</f>
        <v>0.10795918367347038</v>
      </c>
      <c r="G4" s="59">
        <v>3</v>
      </c>
      <c r="H4" s="60">
        <v>3.9</v>
      </c>
      <c r="I4">
        <f t="shared" si="2"/>
        <v>3</v>
      </c>
      <c r="J4" s="29">
        <f t="shared" si="3"/>
        <v>-0.71428571428571397</v>
      </c>
      <c r="K4" s="29">
        <f t="shared" ref="K4:K50" si="5">J4^2</f>
        <v>0.51020408163265263</v>
      </c>
    </row>
    <row r="5" spans="1:11">
      <c r="A5" s="56">
        <v>4</v>
      </c>
      <c r="B5" s="57">
        <v>4.5999999999999996</v>
      </c>
      <c r="C5">
        <f t="shared" si="0"/>
        <v>4</v>
      </c>
      <c r="D5" s="29">
        <f t="shared" si="1"/>
        <v>2.8571428571429358E-2</v>
      </c>
      <c r="E5" s="29">
        <f t="shared" si="4"/>
        <v>8.1632653061228981E-4</v>
      </c>
      <c r="G5" s="59">
        <v>4</v>
      </c>
      <c r="H5" s="60">
        <v>6.6</v>
      </c>
      <c r="I5">
        <f t="shared" si="2"/>
        <v>6</v>
      </c>
      <c r="J5" s="29">
        <f t="shared" si="3"/>
        <v>1.9857142857142858</v>
      </c>
      <c r="K5" s="29">
        <f t="shared" si="5"/>
        <v>3.9430612244897962</v>
      </c>
    </row>
    <row r="6" spans="1:11">
      <c r="A6" s="56">
        <v>5</v>
      </c>
      <c r="B6" s="57">
        <v>2.8</v>
      </c>
      <c r="C6">
        <f t="shared" si="0"/>
        <v>2</v>
      </c>
      <c r="D6" s="29">
        <f t="shared" si="1"/>
        <v>-1.7714285714285705</v>
      </c>
      <c r="E6" s="29">
        <f t="shared" si="4"/>
        <v>3.1379591836734662</v>
      </c>
      <c r="G6" s="59">
        <v>5</v>
      </c>
      <c r="H6" s="60">
        <v>0.8</v>
      </c>
      <c r="I6">
        <f t="shared" si="2"/>
        <v>0</v>
      </c>
      <c r="J6" s="29">
        <f t="shared" si="3"/>
        <v>-3.8142857142857141</v>
      </c>
      <c r="K6" s="29">
        <f t="shared" si="5"/>
        <v>14.548775510204081</v>
      </c>
    </row>
    <row r="7" spans="1:11">
      <c r="A7" s="56">
        <v>6</v>
      </c>
      <c r="B7" s="57">
        <v>5.6</v>
      </c>
      <c r="C7">
        <f t="shared" si="0"/>
        <v>5</v>
      </c>
      <c r="D7" s="29">
        <f t="shared" si="1"/>
        <v>1.0285714285714294</v>
      </c>
      <c r="E7" s="29">
        <f t="shared" si="4"/>
        <v>1.057959183673471</v>
      </c>
      <c r="G7" s="59">
        <v>6</v>
      </c>
      <c r="H7" s="60">
        <v>5.6</v>
      </c>
      <c r="I7">
        <f t="shared" si="2"/>
        <v>5</v>
      </c>
      <c r="J7" s="29">
        <f t="shared" si="3"/>
        <v>0.98571428571428577</v>
      </c>
      <c r="K7" s="29">
        <f t="shared" si="5"/>
        <v>0.97163265306122459</v>
      </c>
    </row>
    <row r="8" spans="1:11">
      <c r="A8" s="56">
        <v>7</v>
      </c>
      <c r="B8" s="57">
        <v>4.2</v>
      </c>
      <c r="C8">
        <f t="shared" si="0"/>
        <v>4</v>
      </c>
      <c r="D8" s="29">
        <f t="shared" si="1"/>
        <v>-0.37142857142857011</v>
      </c>
      <c r="E8" s="29">
        <f t="shared" si="4"/>
        <v>0.13795918367346841</v>
      </c>
      <c r="G8" s="59">
        <v>7</v>
      </c>
      <c r="H8" s="60">
        <v>3.2</v>
      </c>
      <c r="I8">
        <f t="shared" si="2"/>
        <v>3</v>
      </c>
      <c r="J8" s="29">
        <f t="shared" si="3"/>
        <v>-1.4142857142857137</v>
      </c>
      <c r="K8" s="29">
        <f t="shared" si="5"/>
        <v>2.0002040816326514</v>
      </c>
    </row>
    <row r="9" spans="1:11">
      <c r="A9" s="56">
        <v>8</v>
      </c>
      <c r="B9" s="57">
        <v>4.9000000000000004</v>
      </c>
      <c r="C9">
        <f t="shared" si="0"/>
        <v>4</v>
      </c>
      <c r="D9" s="29">
        <f t="shared" si="1"/>
        <v>0.32857142857143007</v>
      </c>
      <c r="E9" s="29">
        <f t="shared" si="4"/>
        <v>0.10795918367347038</v>
      </c>
      <c r="G9" s="59">
        <v>8</v>
      </c>
      <c r="H9" s="60">
        <v>6.9</v>
      </c>
      <c r="I9">
        <f t="shared" si="2"/>
        <v>6</v>
      </c>
      <c r="J9" s="29">
        <f t="shared" si="3"/>
        <v>2.2857142857142865</v>
      </c>
      <c r="K9" s="29">
        <f t="shared" si="5"/>
        <v>5.2244897959183705</v>
      </c>
    </row>
    <row r="10" spans="1:11">
      <c r="A10" s="56">
        <v>9</v>
      </c>
      <c r="B10" s="57">
        <v>4.4000000000000004</v>
      </c>
      <c r="C10">
        <f t="shared" si="0"/>
        <v>4</v>
      </c>
      <c r="D10" s="29">
        <f t="shared" si="1"/>
        <v>-0.17142857142856993</v>
      </c>
      <c r="E10" s="29">
        <f t="shared" si="4"/>
        <v>2.9387755102040301E-2</v>
      </c>
      <c r="G10" s="59">
        <v>9</v>
      </c>
      <c r="H10" s="60">
        <v>4.4000000000000004</v>
      </c>
      <c r="I10">
        <f t="shared" si="2"/>
        <v>4</v>
      </c>
      <c r="J10" s="29">
        <f t="shared" si="3"/>
        <v>-0.21428571428571352</v>
      </c>
      <c r="K10" s="29">
        <f t="shared" si="5"/>
        <v>4.5918367346938452E-2</v>
      </c>
    </row>
    <row r="11" spans="1:11">
      <c r="A11" s="56">
        <v>10</v>
      </c>
      <c r="B11" s="57">
        <v>3.7</v>
      </c>
      <c r="C11">
        <f t="shared" si="0"/>
        <v>3</v>
      </c>
      <c r="D11" s="29">
        <f t="shared" si="1"/>
        <v>-0.87142857142857011</v>
      </c>
      <c r="E11" s="29">
        <f t="shared" si="4"/>
        <v>0.75938775510203849</v>
      </c>
      <c r="G11" s="59">
        <v>10</v>
      </c>
      <c r="H11" s="60">
        <v>4.7</v>
      </c>
      <c r="I11">
        <f t="shared" si="2"/>
        <v>4</v>
      </c>
      <c r="J11" s="29">
        <f t="shared" si="3"/>
        <v>8.5714285714286298E-2</v>
      </c>
      <c r="K11" s="29">
        <f t="shared" si="5"/>
        <v>7.3469387755103043E-3</v>
      </c>
    </row>
    <row r="12" spans="1:11">
      <c r="A12" s="56">
        <v>11</v>
      </c>
      <c r="B12" s="57">
        <v>3.8</v>
      </c>
      <c r="C12">
        <f t="shared" si="0"/>
        <v>3</v>
      </c>
      <c r="D12" s="29">
        <f t="shared" si="1"/>
        <v>-0.77142857142857046</v>
      </c>
      <c r="E12" s="29">
        <f t="shared" si="4"/>
        <v>0.59510204081632501</v>
      </c>
      <c r="G12" s="59">
        <v>11</v>
      </c>
      <c r="H12" s="60">
        <v>3.8</v>
      </c>
      <c r="I12">
        <f t="shared" si="2"/>
        <v>3</v>
      </c>
      <c r="J12" s="29">
        <f t="shared" si="3"/>
        <v>-0.81428571428571406</v>
      </c>
      <c r="K12" s="29">
        <f t="shared" si="5"/>
        <v>0.66306122448979554</v>
      </c>
    </row>
    <row r="13" spans="1:11">
      <c r="A13" s="56">
        <v>12</v>
      </c>
      <c r="B13" s="57">
        <v>4</v>
      </c>
      <c r="C13">
        <f t="shared" si="0"/>
        <v>4</v>
      </c>
      <c r="D13" s="29">
        <f t="shared" si="1"/>
        <v>-0.57142857142857029</v>
      </c>
      <c r="E13" s="29">
        <f t="shared" si="4"/>
        <v>0.32653061224489666</v>
      </c>
      <c r="G13" s="59">
        <v>12</v>
      </c>
      <c r="H13" s="60">
        <v>3</v>
      </c>
      <c r="I13">
        <f t="shared" si="2"/>
        <v>3</v>
      </c>
      <c r="J13" s="29">
        <f t="shared" si="3"/>
        <v>-1.6142857142857139</v>
      </c>
      <c r="K13" s="29">
        <f t="shared" si="5"/>
        <v>2.6059183673469373</v>
      </c>
    </row>
    <row r="14" spans="1:11">
      <c r="A14" s="56">
        <v>13</v>
      </c>
      <c r="B14" s="57">
        <v>5.2</v>
      </c>
      <c r="C14">
        <f t="shared" si="0"/>
        <v>5</v>
      </c>
      <c r="D14" s="29">
        <f t="shared" si="1"/>
        <v>0.62857142857142989</v>
      </c>
      <c r="E14" s="29">
        <f t="shared" si="4"/>
        <v>0.39510204081632821</v>
      </c>
      <c r="G14" s="59">
        <v>13</v>
      </c>
      <c r="H14" s="60">
        <v>3.2</v>
      </c>
      <c r="I14">
        <f t="shared" si="2"/>
        <v>3</v>
      </c>
      <c r="J14" s="29">
        <f t="shared" si="3"/>
        <v>-1.4142857142857137</v>
      </c>
      <c r="K14" s="29">
        <f t="shared" si="5"/>
        <v>2.0002040816326514</v>
      </c>
    </row>
    <row r="15" spans="1:11">
      <c r="A15" s="56">
        <v>14</v>
      </c>
      <c r="B15" s="57">
        <v>3.9</v>
      </c>
      <c r="C15">
        <f t="shared" si="0"/>
        <v>3</v>
      </c>
      <c r="D15" s="29">
        <f t="shared" si="1"/>
        <v>-0.67142857142857038</v>
      </c>
      <c r="E15" s="29">
        <f t="shared" si="4"/>
        <v>0.45081632653061082</v>
      </c>
      <c r="G15" s="59">
        <v>14</v>
      </c>
      <c r="H15" s="60">
        <v>4.9000000000000004</v>
      </c>
      <c r="I15">
        <f t="shared" si="2"/>
        <v>4</v>
      </c>
      <c r="J15" s="29">
        <f t="shared" si="3"/>
        <v>0.28571428571428648</v>
      </c>
      <c r="K15" s="29">
        <f t="shared" si="5"/>
        <v>8.1632653061224927E-2</v>
      </c>
    </row>
    <row r="16" spans="1:11">
      <c r="A16" s="56">
        <v>15</v>
      </c>
      <c r="B16" s="57">
        <v>5.6</v>
      </c>
      <c r="C16">
        <f t="shared" si="0"/>
        <v>5</v>
      </c>
      <c r="D16" s="29">
        <f t="shared" si="1"/>
        <v>1.0285714285714294</v>
      </c>
      <c r="E16" s="29">
        <f t="shared" si="4"/>
        <v>1.057959183673471</v>
      </c>
      <c r="G16" s="59">
        <v>15</v>
      </c>
      <c r="H16" s="60">
        <v>7.6</v>
      </c>
      <c r="I16">
        <f t="shared" si="2"/>
        <v>7</v>
      </c>
      <c r="J16" s="29">
        <f t="shared" si="3"/>
        <v>2.9857142857142858</v>
      </c>
      <c r="K16" s="29">
        <f t="shared" si="5"/>
        <v>8.9144897959183673</v>
      </c>
    </row>
    <row r="17" spans="1:11">
      <c r="A17" s="56">
        <v>16</v>
      </c>
      <c r="B17" s="57">
        <v>5.3</v>
      </c>
      <c r="C17">
        <f t="shared" si="0"/>
        <v>5</v>
      </c>
      <c r="D17" s="29">
        <f t="shared" si="1"/>
        <v>0.72857142857142954</v>
      </c>
      <c r="E17" s="29">
        <f t="shared" si="4"/>
        <v>0.53081632653061361</v>
      </c>
      <c r="G17" s="59">
        <v>16</v>
      </c>
      <c r="H17" s="60">
        <v>3.3</v>
      </c>
      <c r="I17">
        <f t="shared" si="2"/>
        <v>3</v>
      </c>
      <c r="J17" s="29">
        <f t="shared" si="3"/>
        <v>-1.3142857142857141</v>
      </c>
      <c r="K17" s="29">
        <f t="shared" si="5"/>
        <v>1.7273469387755096</v>
      </c>
    </row>
    <row r="18" spans="1:11">
      <c r="A18" s="56">
        <v>17</v>
      </c>
      <c r="B18" s="57">
        <v>5</v>
      </c>
      <c r="C18">
        <f t="shared" si="0"/>
        <v>5</v>
      </c>
      <c r="D18" s="29">
        <f t="shared" si="1"/>
        <v>0.42857142857142971</v>
      </c>
      <c r="E18" s="29">
        <f t="shared" si="4"/>
        <v>0.18367346938775608</v>
      </c>
      <c r="G18" s="59">
        <v>17</v>
      </c>
      <c r="H18" s="60">
        <v>7</v>
      </c>
      <c r="I18">
        <f t="shared" si="2"/>
        <v>7</v>
      </c>
      <c r="J18" s="29">
        <f t="shared" si="3"/>
        <v>2.3857142857142861</v>
      </c>
      <c r="K18" s="29">
        <f t="shared" si="5"/>
        <v>5.6916326530612267</v>
      </c>
    </row>
    <row r="19" spans="1:11">
      <c r="A19" s="56">
        <v>18</v>
      </c>
      <c r="B19" s="57">
        <v>4.7</v>
      </c>
      <c r="C19">
        <f t="shared" si="0"/>
        <v>4</v>
      </c>
      <c r="D19" s="29">
        <f t="shared" si="1"/>
        <v>0.12857142857142989</v>
      </c>
      <c r="E19" s="29">
        <f t="shared" si="4"/>
        <v>1.65306122448983E-2</v>
      </c>
      <c r="G19" s="59">
        <v>18</v>
      </c>
      <c r="H19" s="60">
        <v>3.7</v>
      </c>
      <c r="I19">
        <f t="shared" si="2"/>
        <v>3</v>
      </c>
      <c r="J19" s="29">
        <f t="shared" si="3"/>
        <v>-0.9142857142857137</v>
      </c>
      <c r="K19" s="29">
        <f t="shared" si="5"/>
        <v>0.8359183673469377</v>
      </c>
    </row>
    <row r="20" spans="1:11">
      <c r="A20" s="56">
        <v>19</v>
      </c>
      <c r="B20" s="57">
        <v>4</v>
      </c>
      <c r="C20">
        <f t="shared" si="0"/>
        <v>4</v>
      </c>
      <c r="D20" s="29">
        <f t="shared" si="1"/>
        <v>-0.57142857142857029</v>
      </c>
      <c r="E20" s="29">
        <f t="shared" si="4"/>
        <v>0.32653061224489666</v>
      </c>
      <c r="G20" s="59">
        <v>19</v>
      </c>
      <c r="H20" s="60">
        <v>3</v>
      </c>
      <c r="I20">
        <f t="shared" si="2"/>
        <v>3</v>
      </c>
      <c r="J20" s="29">
        <f t="shared" si="3"/>
        <v>-1.6142857142857139</v>
      </c>
      <c r="K20" s="29">
        <f t="shared" si="5"/>
        <v>2.6059183673469373</v>
      </c>
    </row>
    <row r="21" spans="1:11">
      <c r="A21" s="56">
        <v>20</v>
      </c>
      <c r="B21" s="57">
        <v>3.1</v>
      </c>
      <c r="C21">
        <f t="shared" si="0"/>
        <v>3</v>
      </c>
      <c r="D21" s="29">
        <f t="shared" si="1"/>
        <v>-1.4714285714285702</v>
      </c>
      <c r="E21" s="29">
        <f t="shared" si="4"/>
        <v>2.1651020408163228</v>
      </c>
      <c r="G21" s="59">
        <v>20</v>
      </c>
      <c r="H21" s="60">
        <v>4.0999999999999996</v>
      </c>
      <c r="I21">
        <f t="shared" si="2"/>
        <v>4</v>
      </c>
      <c r="J21" s="29">
        <f t="shared" si="3"/>
        <v>-0.51428571428571423</v>
      </c>
      <c r="K21" s="29">
        <f t="shared" si="5"/>
        <v>0.2644897959183673</v>
      </c>
    </row>
    <row r="22" spans="1:11">
      <c r="A22" s="56">
        <v>21</v>
      </c>
      <c r="B22" s="57">
        <v>5.8</v>
      </c>
      <c r="C22">
        <f t="shared" si="0"/>
        <v>5</v>
      </c>
      <c r="D22" s="29">
        <f t="shared" si="1"/>
        <v>1.2285714285714295</v>
      </c>
      <c r="E22" s="29">
        <f t="shared" si="4"/>
        <v>1.5093877551020431</v>
      </c>
      <c r="G22" s="59">
        <v>21</v>
      </c>
      <c r="H22" s="60">
        <v>5.8</v>
      </c>
      <c r="I22">
        <f t="shared" si="2"/>
        <v>5</v>
      </c>
      <c r="J22" s="29">
        <f t="shared" si="3"/>
        <v>1.1857142857142859</v>
      </c>
      <c r="K22" s="29">
        <f t="shared" si="5"/>
        <v>1.4059183673469393</v>
      </c>
    </row>
    <row r="23" spans="1:11">
      <c r="A23" s="56">
        <v>22</v>
      </c>
      <c r="B23" s="57">
        <v>3.6</v>
      </c>
      <c r="C23">
        <f t="shared" si="0"/>
        <v>3</v>
      </c>
      <c r="D23" s="29">
        <f t="shared" si="1"/>
        <v>-0.9714285714285702</v>
      </c>
      <c r="E23" s="29">
        <f t="shared" si="4"/>
        <v>0.94367346938775276</v>
      </c>
      <c r="G23" s="59">
        <v>22</v>
      </c>
      <c r="H23" s="60">
        <v>4.5999999999999996</v>
      </c>
      <c r="I23">
        <f t="shared" si="2"/>
        <v>4</v>
      </c>
      <c r="J23" s="29">
        <f t="shared" si="3"/>
        <v>-1.4285714285714235E-2</v>
      </c>
      <c r="K23" s="29">
        <f t="shared" si="5"/>
        <v>2.0408163265305977E-4</v>
      </c>
    </row>
    <row r="24" spans="1:11">
      <c r="A24" s="56">
        <v>23</v>
      </c>
      <c r="B24" s="57">
        <v>6</v>
      </c>
      <c r="C24">
        <f t="shared" si="0"/>
        <v>6</v>
      </c>
      <c r="D24" s="29">
        <f t="shared" si="1"/>
        <v>1.4285714285714297</v>
      </c>
      <c r="E24" s="29">
        <f t="shared" si="4"/>
        <v>2.0408163265306154</v>
      </c>
      <c r="G24" s="59">
        <v>23</v>
      </c>
      <c r="H24" s="60">
        <v>4</v>
      </c>
      <c r="I24">
        <f t="shared" si="2"/>
        <v>4</v>
      </c>
      <c r="J24" s="29">
        <f t="shared" si="3"/>
        <v>-0.61428571428571388</v>
      </c>
      <c r="K24" s="29">
        <f t="shared" si="5"/>
        <v>0.37734693877550973</v>
      </c>
    </row>
    <row r="25" spans="1:11">
      <c r="A25" s="56">
        <v>24</v>
      </c>
      <c r="B25" s="57">
        <v>4.2</v>
      </c>
      <c r="C25">
        <f t="shared" si="0"/>
        <v>4</v>
      </c>
      <c r="D25" s="29">
        <f t="shared" si="1"/>
        <v>-0.37142857142857011</v>
      </c>
      <c r="E25" s="29">
        <f t="shared" si="4"/>
        <v>0.13795918367346841</v>
      </c>
      <c r="G25" s="59">
        <v>24</v>
      </c>
      <c r="H25" s="60">
        <v>2.2000000000000002</v>
      </c>
      <c r="I25">
        <f t="shared" si="2"/>
        <v>2</v>
      </c>
      <c r="J25" s="29">
        <f t="shared" si="3"/>
        <v>-2.4142857142857137</v>
      </c>
      <c r="K25" s="29">
        <f t="shared" si="5"/>
        <v>5.8287755102040792</v>
      </c>
    </row>
    <row r="26" spans="1:11">
      <c r="A26" s="56">
        <v>25</v>
      </c>
      <c r="B26" s="57">
        <v>5.7</v>
      </c>
      <c r="C26">
        <f t="shared" si="0"/>
        <v>5</v>
      </c>
      <c r="D26" s="29">
        <f t="shared" si="1"/>
        <v>1.1285714285714299</v>
      </c>
      <c r="E26" s="29">
        <f t="shared" si="4"/>
        <v>1.2736734693877581</v>
      </c>
      <c r="G26" s="59">
        <v>25</v>
      </c>
      <c r="H26" s="60">
        <v>7.7</v>
      </c>
      <c r="I26">
        <f t="shared" si="2"/>
        <v>7</v>
      </c>
      <c r="J26" s="29">
        <f t="shared" si="3"/>
        <v>3.0857142857142863</v>
      </c>
      <c r="K26" s="29">
        <f t="shared" si="5"/>
        <v>9.5216326530612285</v>
      </c>
    </row>
    <row r="27" spans="1:11">
      <c r="A27" s="56">
        <v>26</v>
      </c>
      <c r="B27" s="57">
        <v>3.9</v>
      </c>
      <c r="C27">
        <f t="shared" si="0"/>
        <v>3</v>
      </c>
      <c r="D27" s="29">
        <f t="shared" si="1"/>
        <v>-0.67142857142857038</v>
      </c>
      <c r="E27" s="29">
        <f t="shared" si="4"/>
        <v>0.45081632653061082</v>
      </c>
      <c r="G27" s="59">
        <v>26</v>
      </c>
      <c r="H27" s="60">
        <v>3.9</v>
      </c>
      <c r="I27">
        <f t="shared" si="2"/>
        <v>3</v>
      </c>
      <c r="J27" s="29">
        <f t="shared" si="3"/>
        <v>-0.71428571428571397</v>
      </c>
      <c r="K27" s="29">
        <f t="shared" si="5"/>
        <v>0.51020408163265263</v>
      </c>
    </row>
    <row r="28" spans="1:11">
      <c r="A28" s="56">
        <v>27</v>
      </c>
      <c r="B28" s="57">
        <v>4.7</v>
      </c>
      <c r="C28">
        <f t="shared" si="0"/>
        <v>4</v>
      </c>
      <c r="D28" s="29">
        <f t="shared" si="1"/>
        <v>0.12857142857142989</v>
      </c>
      <c r="E28" s="29">
        <f t="shared" si="4"/>
        <v>1.65306122448983E-2</v>
      </c>
      <c r="G28" s="59">
        <v>27</v>
      </c>
      <c r="H28" s="60">
        <v>6.7</v>
      </c>
      <c r="I28">
        <f t="shared" si="2"/>
        <v>6</v>
      </c>
      <c r="J28" s="29">
        <f t="shared" si="3"/>
        <v>2.0857142857142863</v>
      </c>
      <c r="K28" s="29">
        <f t="shared" si="5"/>
        <v>4.3502040816326559</v>
      </c>
    </row>
    <row r="29" spans="1:11">
      <c r="A29" s="56">
        <v>28</v>
      </c>
      <c r="B29" s="57">
        <v>5.3</v>
      </c>
      <c r="C29">
        <f t="shared" si="0"/>
        <v>5</v>
      </c>
      <c r="D29" s="29">
        <f t="shared" si="1"/>
        <v>0.72857142857142954</v>
      </c>
      <c r="E29" s="29">
        <f t="shared" si="4"/>
        <v>0.53081632653061361</v>
      </c>
      <c r="G29" s="59">
        <v>28</v>
      </c>
      <c r="H29" s="60">
        <v>3.3</v>
      </c>
      <c r="I29">
        <f t="shared" si="2"/>
        <v>3</v>
      </c>
      <c r="J29" s="29">
        <f t="shared" si="3"/>
        <v>-1.3142857142857141</v>
      </c>
      <c r="K29" s="29">
        <f t="shared" si="5"/>
        <v>1.7273469387755096</v>
      </c>
    </row>
    <row r="30" spans="1:11">
      <c r="A30" s="56">
        <v>29</v>
      </c>
      <c r="B30" s="57">
        <v>5.5</v>
      </c>
      <c r="C30">
        <f t="shared" si="0"/>
        <v>5</v>
      </c>
      <c r="D30" s="29">
        <f t="shared" si="1"/>
        <v>0.92857142857142971</v>
      </c>
      <c r="E30" s="29">
        <f t="shared" si="4"/>
        <v>0.8622448979591858</v>
      </c>
      <c r="G30" s="59">
        <v>29</v>
      </c>
      <c r="H30" s="60">
        <v>7.5</v>
      </c>
      <c r="I30">
        <f t="shared" si="2"/>
        <v>7</v>
      </c>
      <c r="J30" s="29">
        <f t="shared" si="3"/>
        <v>2.8857142857142861</v>
      </c>
      <c r="K30" s="29">
        <f t="shared" si="5"/>
        <v>8.3273469387755128</v>
      </c>
    </row>
    <row r="31" spans="1:11">
      <c r="A31" s="56">
        <v>30</v>
      </c>
      <c r="B31" s="57">
        <v>4.7</v>
      </c>
      <c r="C31">
        <f t="shared" si="0"/>
        <v>4</v>
      </c>
      <c r="D31" s="29">
        <f t="shared" si="1"/>
        <v>0.12857142857142989</v>
      </c>
      <c r="E31" s="29">
        <f t="shared" si="4"/>
        <v>1.65306122448983E-2</v>
      </c>
      <c r="G31" s="59">
        <v>30</v>
      </c>
      <c r="H31" s="60">
        <v>2.7</v>
      </c>
      <c r="I31">
        <f t="shared" si="2"/>
        <v>2</v>
      </c>
      <c r="J31" s="29">
        <f t="shared" si="3"/>
        <v>-1.9142857142857137</v>
      </c>
      <c r="K31" s="29">
        <f t="shared" si="5"/>
        <v>3.6644897959183651</v>
      </c>
    </row>
    <row r="32" spans="1:11">
      <c r="A32" s="56">
        <v>31</v>
      </c>
      <c r="B32" s="57">
        <v>6.4</v>
      </c>
      <c r="C32">
        <f t="shared" si="0"/>
        <v>6</v>
      </c>
      <c r="D32" s="29">
        <f t="shared" si="1"/>
        <v>1.8285714285714301</v>
      </c>
      <c r="E32" s="29">
        <f t="shared" si="4"/>
        <v>3.3436734693877606</v>
      </c>
      <c r="G32" s="59">
        <v>31</v>
      </c>
      <c r="H32" s="60">
        <v>5.4</v>
      </c>
      <c r="I32">
        <f t="shared" si="2"/>
        <v>5</v>
      </c>
      <c r="J32" s="29">
        <f t="shared" si="3"/>
        <v>0.78571428571428648</v>
      </c>
      <c r="K32" s="29">
        <f t="shared" si="5"/>
        <v>0.61734693877551139</v>
      </c>
    </row>
    <row r="33" spans="1:11">
      <c r="A33" s="56">
        <v>32</v>
      </c>
      <c r="B33" s="57">
        <v>3.8</v>
      </c>
      <c r="C33">
        <f t="shared" si="0"/>
        <v>3</v>
      </c>
      <c r="D33" s="29">
        <f t="shared" si="1"/>
        <v>-0.77142857142857046</v>
      </c>
      <c r="E33" s="29">
        <f t="shared" si="4"/>
        <v>0.59510204081632501</v>
      </c>
      <c r="G33" s="59">
        <v>32</v>
      </c>
      <c r="H33" s="60">
        <v>5.8</v>
      </c>
      <c r="I33">
        <f t="shared" si="2"/>
        <v>5</v>
      </c>
      <c r="J33" s="29">
        <f t="shared" si="3"/>
        <v>1.1857142857142859</v>
      </c>
      <c r="K33" s="29">
        <f t="shared" si="5"/>
        <v>1.4059183673469393</v>
      </c>
    </row>
    <row r="34" spans="1:11">
      <c r="A34" s="56">
        <v>33</v>
      </c>
      <c r="B34" s="57">
        <v>3.9</v>
      </c>
      <c r="C34">
        <f t="shared" si="0"/>
        <v>3</v>
      </c>
      <c r="D34" s="29">
        <f t="shared" si="1"/>
        <v>-0.67142857142857038</v>
      </c>
      <c r="E34" s="29">
        <f t="shared" si="4"/>
        <v>0.45081632653061082</v>
      </c>
      <c r="G34" s="59">
        <v>33</v>
      </c>
      <c r="H34" s="60">
        <v>5.9</v>
      </c>
      <c r="I34">
        <f t="shared" si="2"/>
        <v>5</v>
      </c>
      <c r="J34" s="29">
        <f t="shared" si="3"/>
        <v>1.2857142857142865</v>
      </c>
      <c r="K34" s="29">
        <f t="shared" si="5"/>
        <v>1.653061224489798</v>
      </c>
    </row>
    <row r="35" spans="1:11">
      <c r="A35" s="56">
        <v>34</v>
      </c>
      <c r="B35" s="57">
        <v>4.2</v>
      </c>
      <c r="C35">
        <f t="shared" si="0"/>
        <v>4</v>
      </c>
      <c r="D35" s="29">
        <f t="shared" si="1"/>
        <v>-0.37142857142857011</v>
      </c>
      <c r="E35" s="29">
        <f t="shared" si="4"/>
        <v>0.13795918367346841</v>
      </c>
      <c r="G35" s="59">
        <v>34</v>
      </c>
      <c r="H35" s="60">
        <v>3.2</v>
      </c>
      <c r="I35">
        <f t="shared" si="2"/>
        <v>3</v>
      </c>
      <c r="J35" s="29">
        <f t="shared" si="3"/>
        <v>-1.4142857142857137</v>
      </c>
      <c r="K35" s="29">
        <f t="shared" si="5"/>
        <v>2.0002040816326514</v>
      </c>
    </row>
    <row r="36" spans="1:11">
      <c r="A36" s="56">
        <v>35</v>
      </c>
      <c r="B36" s="57">
        <v>5.0999999999999996</v>
      </c>
      <c r="C36">
        <f t="shared" si="0"/>
        <v>5</v>
      </c>
      <c r="D36" s="29">
        <f t="shared" si="1"/>
        <v>0.52857142857142936</v>
      </c>
      <c r="E36" s="29">
        <f t="shared" si="4"/>
        <v>0.27938775510204167</v>
      </c>
      <c r="G36" s="59">
        <v>35</v>
      </c>
      <c r="H36" s="60">
        <v>5.0999999999999996</v>
      </c>
      <c r="I36">
        <f t="shared" si="2"/>
        <v>5</v>
      </c>
      <c r="J36" s="29">
        <f t="shared" si="3"/>
        <v>0.48571428571428577</v>
      </c>
      <c r="K36" s="29">
        <f t="shared" si="5"/>
        <v>0.23591836734693883</v>
      </c>
    </row>
    <row r="37" spans="1:11">
      <c r="A37" s="56">
        <v>36</v>
      </c>
      <c r="B37" s="57">
        <v>5.0999999999999996</v>
      </c>
      <c r="C37">
        <f t="shared" si="0"/>
        <v>5</v>
      </c>
      <c r="D37" s="29">
        <f t="shared" si="1"/>
        <v>0.52857142857142936</v>
      </c>
      <c r="E37" s="29">
        <f t="shared" si="4"/>
        <v>0.27938775510204167</v>
      </c>
      <c r="G37" s="59">
        <v>36</v>
      </c>
      <c r="H37" s="60">
        <v>3.1</v>
      </c>
      <c r="I37">
        <f t="shared" si="2"/>
        <v>3</v>
      </c>
      <c r="J37" s="29">
        <f t="shared" si="3"/>
        <v>-1.5142857142857138</v>
      </c>
      <c r="K37" s="29">
        <f t="shared" si="5"/>
        <v>2.2930612244897945</v>
      </c>
    </row>
    <row r="38" spans="1:11">
      <c r="A38" s="56">
        <v>37</v>
      </c>
      <c r="B38" s="57">
        <v>4.0999999999999996</v>
      </c>
      <c r="C38">
        <f t="shared" si="0"/>
        <v>4</v>
      </c>
      <c r="D38" s="29">
        <f t="shared" si="1"/>
        <v>-0.47142857142857064</v>
      </c>
      <c r="E38" s="29">
        <f t="shared" si="4"/>
        <v>0.22224489795918292</v>
      </c>
      <c r="G38" s="59">
        <v>37</v>
      </c>
      <c r="H38" s="60">
        <v>6.1</v>
      </c>
      <c r="I38">
        <f t="shared" si="2"/>
        <v>6</v>
      </c>
      <c r="J38" s="29">
        <f t="shared" si="3"/>
        <v>1.4857142857142858</v>
      </c>
      <c r="K38" s="29">
        <f t="shared" si="5"/>
        <v>2.2073469387755105</v>
      </c>
    </row>
    <row r="39" spans="1:11">
      <c r="A39" s="56">
        <v>38</v>
      </c>
      <c r="B39" s="57">
        <v>3.6</v>
      </c>
      <c r="C39">
        <f t="shared" si="0"/>
        <v>3</v>
      </c>
      <c r="D39" s="29">
        <f t="shared" si="1"/>
        <v>-0.9714285714285702</v>
      </c>
      <c r="E39" s="29">
        <f t="shared" si="4"/>
        <v>0.94367346938775276</v>
      </c>
      <c r="G39" s="59">
        <v>38</v>
      </c>
      <c r="H39" s="60">
        <v>4.5999999999999996</v>
      </c>
      <c r="I39">
        <f t="shared" si="2"/>
        <v>4</v>
      </c>
      <c r="J39" s="29">
        <f t="shared" si="3"/>
        <v>-1.4285714285714235E-2</v>
      </c>
      <c r="K39" s="29">
        <f t="shared" si="5"/>
        <v>2.0408163265305977E-4</v>
      </c>
    </row>
    <row r="40" spans="1:11">
      <c r="A40" s="56">
        <v>39</v>
      </c>
      <c r="B40" s="57">
        <v>4.2</v>
      </c>
      <c r="C40">
        <f t="shared" si="0"/>
        <v>4</v>
      </c>
      <c r="D40" s="29">
        <f t="shared" si="1"/>
        <v>-0.37142857142857011</v>
      </c>
      <c r="E40" s="29">
        <f t="shared" si="4"/>
        <v>0.13795918367346841</v>
      </c>
      <c r="G40" s="59">
        <v>39</v>
      </c>
      <c r="H40" s="60">
        <v>2.2000000000000002</v>
      </c>
      <c r="I40">
        <f t="shared" si="2"/>
        <v>2</v>
      </c>
      <c r="J40" s="29">
        <f t="shared" si="3"/>
        <v>-2.4142857142857137</v>
      </c>
      <c r="K40" s="29">
        <f t="shared" si="5"/>
        <v>5.8287755102040792</v>
      </c>
    </row>
    <row r="41" spans="1:11">
      <c r="A41" s="56">
        <v>40</v>
      </c>
      <c r="B41" s="57">
        <v>5</v>
      </c>
      <c r="C41">
        <f t="shared" si="0"/>
        <v>5</v>
      </c>
      <c r="D41" s="29">
        <f t="shared" si="1"/>
        <v>0.42857142857142971</v>
      </c>
      <c r="E41" s="29">
        <f t="shared" si="4"/>
        <v>0.18367346938775608</v>
      </c>
      <c r="G41" s="59">
        <v>40</v>
      </c>
      <c r="H41" s="60">
        <v>4</v>
      </c>
      <c r="I41">
        <f t="shared" si="2"/>
        <v>4</v>
      </c>
      <c r="J41" s="29">
        <f t="shared" si="3"/>
        <v>-0.61428571428571388</v>
      </c>
      <c r="K41" s="29">
        <f t="shared" si="5"/>
        <v>0.37734693877550973</v>
      </c>
    </row>
    <row r="42" spans="1:11">
      <c r="A42" s="56">
        <v>41</v>
      </c>
      <c r="B42" s="57">
        <v>4.2</v>
      </c>
      <c r="C42">
        <f t="shared" si="0"/>
        <v>4</v>
      </c>
      <c r="D42" s="29">
        <f t="shared" si="1"/>
        <v>-0.37142857142857011</v>
      </c>
      <c r="E42" s="29">
        <f t="shared" si="4"/>
        <v>0.13795918367346841</v>
      </c>
      <c r="G42" s="59">
        <v>41</v>
      </c>
      <c r="H42" s="60">
        <v>6.4</v>
      </c>
      <c r="I42">
        <f t="shared" si="2"/>
        <v>6</v>
      </c>
      <c r="J42" s="29">
        <f t="shared" si="3"/>
        <v>1.7857142857142865</v>
      </c>
      <c r="K42" s="29">
        <f t="shared" si="5"/>
        <v>3.1887755102040845</v>
      </c>
    </row>
    <row r="43" spans="1:11">
      <c r="A43" s="56">
        <v>42</v>
      </c>
      <c r="B43" s="57">
        <v>5.2</v>
      </c>
      <c r="C43">
        <f t="shared" si="0"/>
        <v>5</v>
      </c>
      <c r="D43" s="29">
        <f t="shared" si="1"/>
        <v>0.62857142857142989</v>
      </c>
      <c r="E43" s="29">
        <f t="shared" si="4"/>
        <v>0.39510204081632821</v>
      </c>
      <c r="G43" s="59">
        <v>42</v>
      </c>
      <c r="H43" s="60">
        <v>5.2</v>
      </c>
      <c r="I43">
        <f t="shared" si="2"/>
        <v>5</v>
      </c>
      <c r="J43" s="29">
        <f t="shared" si="3"/>
        <v>0.5857142857142863</v>
      </c>
      <c r="K43" s="29">
        <f t="shared" si="5"/>
        <v>0.34306122448979659</v>
      </c>
    </row>
    <row r="44" spans="1:11">
      <c r="A44" s="56">
        <v>43</v>
      </c>
      <c r="B44" s="57">
        <v>5.3</v>
      </c>
      <c r="C44">
        <f t="shared" si="0"/>
        <v>5</v>
      </c>
      <c r="D44" s="29">
        <f t="shared" si="1"/>
        <v>0.72857142857142954</v>
      </c>
      <c r="E44" s="29">
        <f t="shared" si="4"/>
        <v>0.53081632653061361</v>
      </c>
      <c r="G44" s="59">
        <v>43</v>
      </c>
      <c r="H44" s="60">
        <v>3.3</v>
      </c>
      <c r="I44">
        <f t="shared" si="2"/>
        <v>3</v>
      </c>
      <c r="J44" s="29">
        <f t="shared" si="3"/>
        <v>-1.3142857142857141</v>
      </c>
      <c r="K44" s="29">
        <f t="shared" si="5"/>
        <v>1.7273469387755096</v>
      </c>
    </row>
    <row r="45" spans="1:11">
      <c r="A45" s="56">
        <v>44</v>
      </c>
      <c r="B45" s="57">
        <v>6.4</v>
      </c>
      <c r="C45">
        <f t="shared" si="0"/>
        <v>6</v>
      </c>
      <c r="D45" s="29">
        <f t="shared" si="1"/>
        <v>1.8285714285714301</v>
      </c>
      <c r="E45" s="29">
        <f t="shared" si="4"/>
        <v>3.3436734693877606</v>
      </c>
      <c r="G45" s="59">
        <v>44</v>
      </c>
      <c r="H45" s="60">
        <v>6.4</v>
      </c>
      <c r="I45">
        <f t="shared" si="2"/>
        <v>6</v>
      </c>
      <c r="J45" s="29">
        <f t="shared" si="3"/>
        <v>1.7857142857142865</v>
      </c>
      <c r="K45" s="29">
        <f t="shared" si="5"/>
        <v>3.1887755102040845</v>
      </c>
    </row>
    <row r="46" spans="1:11">
      <c r="A46" s="56">
        <v>45</v>
      </c>
      <c r="B46" s="57">
        <v>4.4000000000000004</v>
      </c>
      <c r="C46">
        <f t="shared" si="0"/>
        <v>4</v>
      </c>
      <c r="D46" s="29">
        <f t="shared" si="1"/>
        <v>-0.17142857142856993</v>
      </c>
      <c r="E46" s="29">
        <f t="shared" si="4"/>
        <v>2.9387755102040301E-2</v>
      </c>
      <c r="G46" s="59">
        <v>45</v>
      </c>
      <c r="H46" s="60">
        <v>6.4</v>
      </c>
      <c r="I46">
        <f t="shared" si="2"/>
        <v>6</v>
      </c>
      <c r="J46" s="29">
        <f t="shared" si="3"/>
        <v>1.7857142857142865</v>
      </c>
      <c r="K46" s="29">
        <f t="shared" si="5"/>
        <v>3.1887755102040845</v>
      </c>
    </row>
    <row r="47" spans="1:11">
      <c r="A47" s="56">
        <v>46</v>
      </c>
      <c r="B47" s="57">
        <v>3.6</v>
      </c>
      <c r="C47">
        <f t="shared" si="0"/>
        <v>3</v>
      </c>
      <c r="D47" s="29">
        <f t="shared" si="1"/>
        <v>-0.9714285714285702</v>
      </c>
      <c r="E47" s="29">
        <f t="shared" si="4"/>
        <v>0.94367346938775276</v>
      </c>
      <c r="G47" s="59">
        <v>46</v>
      </c>
      <c r="H47" s="60">
        <v>2.6</v>
      </c>
      <c r="I47">
        <f t="shared" si="2"/>
        <v>2</v>
      </c>
      <c r="J47" s="29">
        <f t="shared" si="3"/>
        <v>-2.0142857142857138</v>
      </c>
      <c r="K47" s="29">
        <f t="shared" si="5"/>
        <v>4.0573469387755079</v>
      </c>
    </row>
    <row r="48" spans="1:11">
      <c r="A48" s="56">
        <v>47</v>
      </c>
      <c r="B48" s="57">
        <v>3.7</v>
      </c>
      <c r="C48">
        <f t="shared" si="0"/>
        <v>3</v>
      </c>
      <c r="D48" s="29">
        <f t="shared" si="1"/>
        <v>-0.87142857142857011</v>
      </c>
      <c r="E48" s="29">
        <f t="shared" si="4"/>
        <v>0.75938775510203849</v>
      </c>
      <c r="G48" s="59">
        <v>47</v>
      </c>
      <c r="H48" s="60">
        <v>2.6</v>
      </c>
      <c r="I48">
        <f t="shared" si="2"/>
        <v>2</v>
      </c>
      <c r="J48" s="29">
        <f t="shared" si="3"/>
        <v>-2.0142857142857138</v>
      </c>
      <c r="K48" s="29">
        <f t="shared" si="5"/>
        <v>4.0573469387755079</v>
      </c>
    </row>
    <row r="49" spans="1:11">
      <c r="A49" s="56">
        <v>48</v>
      </c>
      <c r="B49" s="57">
        <v>4.2</v>
      </c>
      <c r="C49">
        <f t="shared" si="0"/>
        <v>4</v>
      </c>
      <c r="D49" s="29">
        <f t="shared" si="1"/>
        <v>-0.37142857142857011</v>
      </c>
      <c r="E49" s="29">
        <f t="shared" si="4"/>
        <v>0.13795918367346841</v>
      </c>
      <c r="G49" s="59">
        <v>48</v>
      </c>
      <c r="H49" s="60">
        <v>5.2</v>
      </c>
      <c r="I49">
        <f t="shared" si="2"/>
        <v>5</v>
      </c>
      <c r="J49" s="29">
        <f t="shared" si="3"/>
        <v>0.5857142857142863</v>
      </c>
      <c r="K49" s="29">
        <f t="shared" si="5"/>
        <v>0.34306122448979659</v>
      </c>
    </row>
    <row r="50" spans="1:11">
      <c r="A50" s="56">
        <v>49</v>
      </c>
      <c r="B50" s="57">
        <v>4.8</v>
      </c>
      <c r="C50">
        <f t="shared" si="0"/>
        <v>4</v>
      </c>
      <c r="D50" s="29">
        <f t="shared" si="1"/>
        <v>0.22857142857142954</v>
      </c>
      <c r="E50" s="29">
        <f t="shared" si="4"/>
        <v>5.2244897959184113E-2</v>
      </c>
      <c r="G50" s="59">
        <v>49</v>
      </c>
      <c r="H50" s="60">
        <v>5.8</v>
      </c>
      <c r="I50">
        <f t="shared" si="2"/>
        <v>5</v>
      </c>
      <c r="J50" s="29">
        <f t="shared" si="3"/>
        <v>1.1857142857142859</v>
      </c>
      <c r="K50" s="29">
        <f t="shared" si="5"/>
        <v>1.4059183673469393</v>
      </c>
    </row>
    <row r="51" spans="1:11">
      <c r="A51" s="58">
        <f>A50</f>
        <v>49</v>
      </c>
      <c r="B51" s="61">
        <f>AVERAGE(B2:B50)</f>
        <v>4.5714285714285703</v>
      </c>
      <c r="E51" s="29">
        <f>SUM(E2:E50)</f>
        <v>33.360000000000007</v>
      </c>
      <c r="G51" s="58">
        <f>G50</f>
        <v>49</v>
      </c>
      <c r="H51" s="61">
        <f>AVERAGE(H2:H50)</f>
        <v>4.6142857142857139</v>
      </c>
      <c r="K51" s="29">
        <f>SUM(K2:K50)</f>
        <v>126.66000000000003</v>
      </c>
    </row>
    <row r="52" spans="1:11">
      <c r="A52" t="s">
        <v>210</v>
      </c>
      <c r="D52" t="s">
        <v>216</v>
      </c>
      <c r="E52" s="29">
        <f>E51/A51</f>
        <v>0.68081632653061241</v>
      </c>
      <c r="G52" t="s">
        <v>211</v>
      </c>
      <c r="J52" t="s">
        <v>216</v>
      </c>
      <c r="K52" s="29">
        <f>K51/G51</f>
        <v>2.584897959183674</v>
      </c>
    </row>
    <row r="53" spans="1:11">
      <c r="D53" t="s">
        <v>215</v>
      </c>
      <c r="E53" s="29">
        <f>E52^0.5</f>
        <v>0.82511594732535165</v>
      </c>
      <c r="J53" t="s">
        <v>215</v>
      </c>
      <c r="K53" s="29">
        <f>K52^0.5</f>
        <v>1.6077617855838202</v>
      </c>
    </row>
    <row r="55" spans="1:11">
      <c r="B55" s="56" t="s">
        <v>217</v>
      </c>
      <c r="D55" s="2" t="s">
        <v>213</v>
      </c>
      <c r="E55" s="2" t="s">
        <v>214</v>
      </c>
      <c r="H55" s="56" t="s">
        <v>218</v>
      </c>
      <c r="J55" s="2" t="s">
        <v>213</v>
      </c>
      <c r="K55" s="2" t="s">
        <v>214</v>
      </c>
    </row>
    <row r="56" spans="1:11">
      <c r="A56" s="56">
        <v>1</v>
      </c>
      <c r="B56" s="57">
        <v>135</v>
      </c>
      <c r="D56" s="62">
        <f>B56-B$72</f>
        <v>-11.3125</v>
      </c>
      <c r="E56" s="62">
        <f>D56^2</f>
        <v>127.97265625</v>
      </c>
      <c r="G56" s="56">
        <v>1</v>
      </c>
      <c r="H56" s="57">
        <v>144</v>
      </c>
      <c r="J56" s="62">
        <f>H56-H$72</f>
        <v>-5.4375</v>
      </c>
      <c r="K56" s="62">
        <f>J56^2</f>
        <v>29.56640625</v>
      </c>
    </row>
    <row r="57" spans="1:11">
      <c r="A57" s="56">
        <v>2</v>
      </c>
      <c r="B57" s="57">
        <v>142</v>
      </c>
      <c r="D57" s="62">
        <f t="shared" ref="D57:D71" si="6">B57-B$72</f>
        <v>-4.3125</v>
      </c>
      <c r="E57" s="62">
        <f t="shared" ref="E57:E71" si="7">D57^2</f>
        <v>18.59765625</v>
      </c>
      <c r="G57" s="56">
        <v>2</v>
      </c>
      <c r="H57" s="57">
        <v>143</v>
      </c>
      <c r="J57" s="62">
        <f t="shared" ref="J57:J71" si="8">H57-H$72</f>
        <v>-6.4375</v>
      </c>
      <c r="K57" s="62">
        <f t="shared" ref="K57:K71" si="9">J57^2</f>
        <v>41.44140625</v>
      </c>
    </row>
    <row r="58" spans="1:11">
      <c r="A58" s="56">
        <v>3</v>
      </c>
      <c r="B58" s="57">
        <v>149</v>
      </c>
      <c r="D58" s="62">
        <f t="shared" si="6"/>
        <v>2.6875</v>
      </c>
      <c r="E58" s="62">
        <f t="shared" si="7"/>
        <v>7.22265625</v>
      </c>
      <c r="G58" s="56">
        <v>3</v>
      </c>
      <c r="H58" s="57">
        <v>139</v>
      </c>
      <c r="J58" s="62">
        <f t="shared" si="8"/>
        <v>-10.4375</v>
      </c>
      <c r="K58" s="62">
        <f t="shared" si="9"/>
        <v>108.94140625</v>
      </c>
    </row>
    <row r="59" spans="1:11">
      <c r="A59" s="56">
        <v>4</v>
      </c>
      <c r="B59" s="57">
        <v>146</v>
      </c>
      <c r="D59" s="62">
        <f t="shared" si="6"/>
        <v>-0.3125</v>
      </c>
      <c r="E59" s="62">
        <f t="shared" si="7"/>
        <v>9.765625E-2</v>
      </c>
      <c r="G59" s="56">
        <v>4</v>
      </c>
      <c r="H59" s="57">
        <v>166</v>
      </c>
      <c r="J59" s="62">
        <f t="shared" si="8"/>
        <v>16.5625</v>
      </c>
      <c r="K59" s="62">
        <f t="shared" si="9"/>
        <v>274.31640625</v>
      </c>
    </row>
    <row r="60" spans="1:11">
      <c r="A60" s="56">
        <v>5</v>
      </c>
      <c r="B60" s="57">
        <v>149</v>
      </c>
      <c r="D60" s="62">
        <f t="shared" si="6"/>
        <v>2.6875</v>
      </c>
      <c r="E60" s="62">
        <f t="shared" si="7"/>
        <v>7.22265625</v>
      </c>
      <c r="G60" s="56">
        <v>5</v>
      </c>
      <c r="H60" s="57">
        <v>169</v>
      </c>
      <c r="J60" s="62">
        <f t="shared" si="8"/>
        <v>19.5625</v>
      </c>
      <c r="K60" s="62">
        <f t="shared" si="9"/>
        <v>382.69140625</v>
      </c>
    </row>
    <row r="61" spans="1:11">
      <c r="A61" s="56">
        <v>6</v>
      </c>
      <c r="B61" s="57">
        <v>144</v>
      </c>
      <c r="D61" s="62">
        <f t="shared" si="6"/>
        <v>-2.3125</v>
      </c>
      <c r="E61" s="62">
        <f t="shared" si="7"/>
        <v>5.34765625</v>
      </c>
      <c r="G61" s="56">
        <v>6</v>
      </c>
      <c r="H61" s="57">
        <v>144</v>
      </c>
      <c r="J61" s="62">
        <f t="shared" si="8"/>
        <v>-5.4375</v>
      </c>
      <c r="K61" s="62">
        <f t="shared" si="9"/>
        <v>29.56640625</v>
      </c>
    </row>
    <row r="62" spans="1:11">
      <c r="A62" s="56">
        <v>7</v>
      </c>
      <c r="B62" s="57">
        <v>137</v>
      </c>
      <c r="D62" s="62">
        <f t="shared" si="6"/>
        <v>-9.3125</v>
      </c>
      <c r="E62" s="62">
        <f t="shared" si="7"/>
        <v>86.72265625</v>
      </c>
      <c r="G62" s="56">
        <v>7</v>
      </c>
      <c r="H62" s="57">
        <v>147</v>
      </c>
      <c r="J62" s="62">
        <f t="shared" si="8"/>
        <v>-2.4375</v>
      </c>
      <c r="K62" s="62">
        <f t="shared" si="9"/>
        <v>5.94140625</v>
      </c>
    </row>
    <row r="63" spans="1:11">
      <c r="A63" s="56">
        <v>8</v>
      </c>
      <c r="B63" s="57">
        <v>138</v>
      </c>
      <c r="D63" s="62">
        <f t="shared" si="6"/>
        <v>-8.3125</v>
      </c>
      <c r="E63" s="62">
        <f t="shared" si="7"/>
        <v>69.09765625</v>
      </c>
      <c r="G63" s="56">
        <v>8</v>
      </c>
      <c r="H63" s="57">
        <v>138</v>
      </c>
      <c r="J63" s="62">
        <f t="shared" si="8"/>
        <v>-11.4375</v>
      </c>
      <c r="K63" s="62">
        <f t="shared" si="9"/>
        <v>130.81640625</v>
      </c>
    </row>
    <row r="64" spans="1:11">
      <c r="A64" s="56">
        <v>9</v>
      </c>
      <c r="B64" s="57">
        <v>156</v>
      </c>
      <c r="D64" s="62">
        <f t="shared" si="6"/>
        <v>9.6875</v>
      </c>
      <c r="E64" s="62">
        <f t="shared" si="7"/>
        <v>93.84765625</v>
      </c>
      <c r="G64" s="56">
        <v>9</v>
      </c>
      <c r="H64" s="57">
        <v>176</v>
      </c>
      <c r="J64" s="62">
        <f t="shared" si="8"/>
        <v>26.5625</v>
      </c>
      <c r="K64" s="62">
        <f t="shared" si="9"/>
        <v>705.56640625</v>
      </c>
    </row>
    <row r="65" spans="1:11">
      <c r="A65" s="56">
        <v>10</v>
      </c>
      <c r="B65" s="57">
        <v>153</v>
      </c>
      <c r="D65" s="62">
        <f t="shared" si="6"/>
        <v>6.6875</v>
      </c>
      <c r="E65" s="62">
        <f t="shared" si="7"/>
        <v>44.72265625</v>
      </c>
      <c r="G65" s="56">
        <v>10</v>
      </c>
      <c r="H65" s="57">
        <v>133</v>
      </c>
      <c r="J65" s="62">
        <f t="shared" si="8"/>
        <v>-16.4375</v>
      </c>
      <c r="K65" s="62">
        <f t="shared" si="9"/>
        <v>270.19140625</v>
      </c>
    </row>
    <row r="66" spans="1:11">
      <c r="A66" s="56">
        <v>11</v>
      </c>
      <c r="B66" s="57">
        <v>150</v>
      </c>
      <c r="D66" s="62">
        <f t="shared" si="6"/>
        <v>3.6875</v>
      </c>
      <c r="E66" s="62">
        <f t="shared" si="7"/>
        <v>13.59765625</v>
      </c>
      <c r="G66" s="56">
        <v>11</v>
      </c>
      <c r="H66" s="57">
        <v>170</v>
      </c>
      <c r="J66" s="62">
        <f t="shared" si="8"/>
        <v>20.5625</v>
      </c>
      <c r="K66" s="62">
        <f t="shared" si="9"/>
        <v>422.81640625</v>
      </c>
    </row>
    <row r="67" spans="1:11">
      <c r="A67" s="56">
        <v>12</v>
      </c>
      <c r="B67" s="57">
        <v>147</v>
      </c>
      <c r="D67" s="62">
        <f t="shared" si="6"/>
        <v>0.6875</v>
      </c>
      <c r="E67" s="62">
        <f t="shared" si="7"/>
        <v>0.47265625</v>
      </c>
      <c r="G67" s="56">
        <v>12</v>
      </c>
      <c r="H67" s="57">
        <v>137</v>
      </c>
      <c r="J67" s="62">
        <f t="shared" si="8"/>
        <v>-12.4375</v>
      </c>
      <c r="K67" s="62">
        <f t="shared" si="9"/>
        <v>154.69140625</v>
      </c>
    </row>
    <row r="68" spans="1:11">
      <c r="A68" s="56">
        <v>13</v>
      </c>
      <c r="B68" s="57">
        <v>136</v>
      </c>
      <c r="D68" s="62">
        <f t="shared" si="6"/>
        <v>-10.3125</v>
      </c>
      <c r="E68" s="62">
        <f t="shared" si="7"/>
        <v>106.34765625</v>
      </c>
      <c r="G68" s="56">
        <v>13</v>
      </c>
      <c r="H68" s="57">
        <v>146</v>
      </c>
      <c r="J68" s="62">
        <f t="shared" si="8"/>
        <v>-3.4375</v>
      </c>
      <c r="K68" s="62">
        <f t="shared" si="9"/>
        <v>11.81640625</v>
      </c>
    </row>
    <row r="69" spans="1:11">
      <c r="A69" s="56">
        <v>14</v>
      </c>
      <c r="B69" s="57">
        <v>160</v>
      </c>
      <c r="D69" s="62">
        <f t="shared" si="6"/>
        <v>13.6875</v>
      </c>
      <c r="E69" s="62">
        <f t="shared" si="7"/>
        <v>187.34765625</v>
      </c>
      <c r="G69" s="56">
        <v>14</v>
      </c>
      <c r="H69" s="57">
        <v>140</v>
      </c>
      <c r="J69" s="62">
        <f t="shared" si="8"/>
        <v>-9.4375</v>
      </c>
      <c r="K69" s="62">
        <f t="shared" si="9"/>
        <v>89.06640625</v>
      </c>
    </row>
    <row r="70" spans="1:11">
      <c r="A70" s="56">
        <v>15</v>
      </c>
      <c r="B70" s="57">
        <v>142</v>
      </c>
      <c r="D70" s="62">
        <f t="shared" si="6"/>
        <v>-4.3125</v>
      </c>
      <c r="E70" s="62">
        <f t="shared" si="7"/>
        <v>18.59765625</v>
      </c>
      <c r="G70" s="56">
        <v>15</v>
      </c>
      <c r="H70" s="57">
        <v>122</v>
      </c>
      <c r="J70" s="62">
        <f t="shared" si="8"/>
        <v>-27.4375</v>
      </c>
      <c r="K70" s="62">
        <f t="shared" si="9"/>
        <v>752.81640625</v>
      </c>
    </row>
    <row r="71" spans="1:11">
      <c r="A71" s="56">
        <v>16</v>
      </c>
      <c r="B71" s="57">
        <v>157</v>
      </c>
      <c r="D71" s="62">
        <f t="shared" si="6"/>
        <v>10.6875</v>
      </c>
      <c r="E71" s="62">
        <f t="shared" si="7"/>
        <v>114.22265625</v>
      </c>
      <c r="G71" s="56">
        <v>16</v>
      </c>
      <c r="H71" s="57">
        <v>177</v>
      </c>
      <c r="J71" s="62">
        <f t="shared" si="8"/>
        <v>27.5625</v>
      </c>
      <c r="K71" s="62">
        <f t="shared" si="9"/>
        <v>759.69140625</v>
      </c>
    </row>
    <row r="72" spans="1:11">
      <c r="A72">
        <f>A71</f>
        <v>16</v>
      </c>
      <c r="B72" s="4">
        <f>AVERAGE(B56:B71)</f>
        <v>146.3125</v>
      </c>
      <c r="E72" s="29">
        <f>SUM(E56:E71)</f>
        <v>901.4375</v>
      </c>
      <c r="G72">
        <f>G71</f>
        <v>16</v>
      </c>
      <c r="H72" s="4">
        <f>AVERAGE(H56:H71)</f>
        <v>149.4375</v>
      </c>
      <c r="K72" s="29">
        <f>SUM(K56:K71)</f>
        <v>4169.9375</v>
      </c>
    </row>
    <row r="73" spans="1:11">
      <c r="D73" t="s">
        <v>216</v>
      </c>
      <c r="E73" s="29">
        <f>E72/A72</f>
        <v>56.33984375</v>
      </c>
      <c r="J73" t="s">
        <v>216</v>
      </c>
      <c r="K73" s="29">
        <f>K72/G72</f>
        <v>260.62109375</v>
      </c>
    </row>
    <row r="74" spans="1:11">
      <c r="D74" t="s">
        <v>215</v>
      </c>
      <c r="E74" s="29">
        <f>E73^0.5</f>
        <v>7.5059871935675453</v>
      </c>
      <c r="J74" t="s">
        <v>215</v>
      </c>
      <c r="K74" s="29">
        <f>K73^0.5</f>
        <v>16.143763308163312</v>
      </c>
    </row>
    <row r="77" spans="1:11">
      <c r="A77" s="56" t="s">
        <v>219</v>
      </c>
      <c r="B77" s="63" t="s">
        <v>220</v>
      </c>
      <c r="C77" s="2" t="s">
        <v>213</v>
      </c>
      <c r="D77" s="2" t="s">
        <v>214</v>
      </c>
      <c r="E77" s="63" t="s">
        <v>221</v>
      </c>
      <c r="F77" s="2" t="s">
        <v>213</v>
      </c>
      <c r="G77" s="2" t="s">
        <v>214</v>
      </c>
      <c r="H77" s="63" t="s">
        <v>222</v>
      </c>
      <c r="I77" s="2" t="s">
        <v>213</v>
      </c>
      <c r="J77" s="2" t="s">
        <v>214</v>
      </c>
    </row>
    <row r="78" spans="1:11">
      <c r="A78" s="56">
        <v>1</v>
      </c>
      <c r="B78" s="57">
        <v>78</v>
      </c>
      <c r="C78" s="62">
        <f>B78-B$91</f>
        <v>8</v>
      </c>
      <c r="D78" s="62">
        <f>C78^2</f>
        <v>64</v>
      </c>
      <c r="E78" s="57">
        <v>70</v>
      </c>
      <c r="F78" s="62">
        <f>E78-E$91</f>
        <v>0</v>
      </c>
      <c r="G78" s="62">
        <f>F78^2</f>
        <v>0</v>
      </c>
      <c r="H78" s="57">
        <v>57</v>
      </c>
      <c r="I78" s="62">
        <f>H78-H$91</f>
        <v>0</v>
      </c>
      <c r="J78" s="62">
        <f>I78^2</f>
        <v>0</v>
      </c>
    </row>
    <row r="79" spans="1:11">
      <c r="A79" s="56">
        <v>2</v>
      </c>
      <c r="B79" s="57">
        <v>62</v>
      </c>
      <c r="C79" s="62">
        <f t="shared" ref="C79:C90" si="10">B79-B$91</f>
        <v>-8</v>
      </c>
      <c r="D79" s="62">
        <f t="shared" ref="D79:D90" si="11">C79^2</f>
        <v>64</v>
      </c>
      <c r="E79" s="57">
        <v>72</v>
      </c>
      <c r="F79" s="62">
        <f t="shared" ref="F79:F90" si="12">E79-E$91</f>
        <v>2</v>
      </c>
      <c r="G79" s="62">
        <f t="shared" ref="G79:G90" si="13">F79^2</f>
        <v>4</v>
      </c>
      <c r="H79" s="57">
        <v>59</v>
      </c>
      <c r="I79" s="62">
        <f t="shared" ref="I79:I90" si="14">H79-H$91</f>
        <v>2</v>
      </c>
      <c r="J79" s="62">
        <f t="shared" ref="J79:J90" si="15">I79^2</f>
        <v>4</v>
      </c>
    </row>
    <row r="80" spans="1:11">
      <c r="A80" s="56">
        <v>3</v>
      </c>
      <c r="B80" s="57">
        <v>81</v>
      </c>
      <c r="C80" s="62">
        <f t="shared" si="10"/>
        <v>11</v>
      </c>
      <c r="D80" s="62">
        <f t="shared" si="11"/>
        <v>121</v>
      </c>
      <c r="E80" s="57">
        <v>68</v>
      </c>
      <c r="F80" s="62">
        <f t="shared" si="12"/>
        <v>-2</v>
      </c>
      <c r="G80" s="62">
        <f t="shared" si="13"/>
        <v>4</v>
      </c>
      <c r="H80" s="57">
        <v>55</v>
      </c>
      <c r="I80" s="62">
        <f t="shared" si="14"/>
        <v>-2</v>
      </c>
      <c r="J80" s="62">
        <f t="shared" si="15"/>
        <v>4</v>
      </c>
    </row>
    <row r="81" spans="1:10">
      <c r="A81" s="56">
        <v>4</v>
      </c>
      <c r="B81" s="57">
        <v>59</v>
      </c>
      <c r="C81" s="62">
        <f t="shared" si="10"/>
        <v>-11</v>
      </c>
      <c r="D81" s="62">
        <f t="shared" si="11"/>
        <v>121</v>
      </c>
      <c r="E81" s="57">
        <v>75</v>
      </c>
      <c r="F81" s="62">
        <f t="shared" si="12"/>
        <v>5</v>
      </c>
      <c r="G81" s="62">
        <f t="shared" si="13"/>
        <v>25</v>
      </c>
      <c r="H81" s="57">
        <v>62</v>
      </c>
      <c r="I81" s="62">
        <f t="shared" si="14"/>
        <v>5</v>
      </c>
      <c r="J81" s="62">
        <f t="shared" si="15"/>
        <v>25</v>
      </c>
    </row>
    <row r="82" spans="1:10">
      <c r="A82" s="56">
        <v>5</v>
      </c>
      <c r="B82" s="57">
        <v>72</v>
      </c>
      <c r="C82" s="62">
        <f t="shared" si="10"/>
        <v>2</v>
      </c>
      <c r="D82" s="62">
        <f t="shared" si="11"/>
        <v>4</v>
      </c>
      <c r="E82" s="57">
        <v>65</v>
      </c>
      <c r="F82" s="62">
        <f t="shared" si="12"/>
        <v>-5</v>
      </c>
      <c r="G82" s="62">
        <f t="shared" si="13"/>
        <v>25</v>
      </c>
      <c r="H82" s="57">
        <v>52</v>
      </c>
      <c r="I82" s="62">
        <f t="shared" si="14"/>
        <v>-5</v>
      </c>
      <c r="J82" s="62">
        <f t="shared" si="15"/>
        <v>25</v>
      </c>
    </row>
    <row r="83" spans="1:10">
      <c r="A83" s="56">
        <v>6</v>
      </c>
      <c r="B83" s="57">
        <v>68</v>
      </c>
      <c r="C83" s="62">
        <f t="shared" si="10"/>
        <v>-2</v>
      </c>
      <c r="D83" s="62">
        <f t="shared" si="11"/>
        <v>4</v>
      </c>
      <c r="E83" s="57">
        <v>71</v>
      </c>
      <c r="F83" s="62">
        <f t="shared" si="12"/>
        <v>1</v>
      </c>
      <c r="G83" s="62">
        <f t="shared" si="13"/>
        <v>1</v>
      </c>
      <c r="H83" s="57">
        <v>58</v>
      </c>
      <c r="I83" s="62">
        <f t="shared" si="14"/>
        <v>1</v>
      </c>
      <c r="J83" s="62">
        <f t="shared" si="15"/>
        <v>1</v>
      </c>
    </row>
    <row r="84" spans="1:10">
      <c r="A84" s="56">
        <v>7</v>
      </c>
      <c r="B84" s="57">
        <v>75</v>
      </c>
      <c r="C84" s="62">
        <f t="shared" si="10"/>
        <v>5</v>
      </c>
      <c r="D84" s="62">
        <f t="shared" si="11"/>
        <v>25</v>
      </c>
      <c r="E84" s="57">
        <v>69</v>
      </c>
      <c r="F84" s="62">
        <f t="shared" si="12"/>
        <v>-1</v>
      </c>
      <c r="G84" s="62">
        <f t="shared" si="13"/>
        <v>1</v>
      </c>
      <c r="H84" s="57">
        <v>56</v>
      </c>
      <c r="I84" s="62">
        <f t="shared" si="14"/>
        <v>-1</v>
      </c>
      <c r="J84" s="62">
        <f t="shared" si="15"/>
        <v>1</v>
      </c>
    </row>
    <row r="85" spans="1:10">
      <c r="A85" s="56">
        <v>8</v>
      </c>
      <c r="B85" s="57">
        <v>65</v>
      </c>
      <c r="C85" s="62">
        <f t="shared" si="10"/>
        <v>-5</v>
      </c>
      <c r="D85" s="62">
        <f t="shared" si="11"/>
        <v>25</v>
      </c>
      <c r="E85" s="57">
        <v>76</v>
      </c>
      <c r="F85" s="62">
        <f t="shared" si="12"/>
        <v>6</v>
      </c>
      <c r="G85" s="62">
        <f t="shared" si="13"/>
        <v>36</v>
      </c>
      <c r="H85" s="57">
        <v>63</v>
      </c>
      <c r="I85" s="62">
        <f t="shared" si="14"/>
        <v>6</v>
      </c>
      <c r="J85" s="62">
        <f t="shared" si="15"/>
        <v>36</v>
      </c>
    </row>
    <row r="86" spans="1:10">
      <c r="A86" s="56">
        <v>9</v>
      </c>
      <c r="B86" s="57">
        <v>80</v>
      </c>
      <c r="C86" s="62">
        <f t="shared" si="10"/>
        <v>10</v>
      </c>
      <c r="D86" s="62">
        <f t="shared" si="11"/>
        <v>100</v>
      </c>
      <c r="E86" s="57">
        <v>64</v>
      </c>
      <c r="F86" s="62">
        <f t="shared" si="12"/>
        <v>-6</v>
      </c>
      <c r="G86" s="62">
        <f t="shared" si="13"/>
        <v>36</v>
      </c>
      <c r="H86" s="57">
        <v>51</v>
      </c>
      <c r="I86" s="62">
        <f t="shared" si="14"/>
        <v>-6</v>
      </c>
      <c r="J86" s="62">
        <f t="shared" si="15"/>
        <v>36</v>
      </c>
    </row>
    <row r="87" spans="1:10">
      <c r="A87" s="56">
        <v>10</v>
      </c>
      <c r="B87" s="57">
        <v>60</v>
      </c>
      <c r="C87" s="62">
        <f t="shared" si="10"/>
        <v>-10</v>
      </c>
      <c r="D87" s="62">
        <f t="shared" si="11"/>
        <v>100</v>
      </c>
      <c r="E87" s="57">
        <v>80</v>
      </c>
      <c r="F87" s="62">
        <f t="shared" si="12"/>
        <v>10</v>
      </c>
      <c r="G87" s="62">
        <f t="shared" si="13"/>
        <v>100</v>
      </c>
      <c r="H87" s="57">
        <v>67</v>
      </c>
      <c r="I87" s="62">
        <f t="shared" si="14"/>
        <v>10</v>
      </c>
      <c r="J87" s="62">
        <f t="shared" si="15"/>
        <v>100</v>
      </c>
    </row>
    <row r="88" spans="1:10">
      <c r="A88" s="56">
        <v>11</v>
      </c>
      <c r="B88" s="57">
        <v>78</v>
      </c>
      <c r="C88" s="62">
        <f t="shared" si="10"/>
        <v>8</v>
      </c>
      <c r="D88" s="62">
        <f t="shared" si="11"/>
        <v>64</v>
      </c>
      <c r="E88" s="57">
        <v>60</v>
      </c>
      <c r="F88" s="62">
        <f t="shared" si="12"/>
        <v>-10</v>
      </c>
      <c r="G88" s="62">
        <f t="shared" si="13"/>
        <v>100</v>
      </c>
      <c r="H88" s="57">
        <v>47</v>
      </c>
      <c r="I88" s="62">
        <f t="shared" si="14"/>
        <v>-10</v>
      </c>
      <c r="J88" s="62">
        <f t="shared" si="15"/>
        <v>100</v>
      </c>
    </row>
    <row r="89" spans="1:10">
      <c r="A89" s="56">
        <v>12</v>
      </c>
      <c r="B89" s="57">
        <v>62</v>
      </c>
      <c r="C89" s="62">
        <f t="shared" si="10"/>
        <v>-8</v>
      </c>
      <c r="D89" s="62">
        <f t="shared" si="11"/>
        <v>64</v>
      </c>
      <c r="E89" s="57">
        <v>73</v>
      </c>
      <c r="F89" s="62">
        <f t="shared" si="12"/>
        <v>3</v>
      </c>
      <c r="G89" s="62">
        <f t="shared" si="13"/>
        <v>9</v>
      </c>
      <c r="H89" s="57">
        <v>60</v>
      </c>
      <c r="I89" s="62">
        <f t="shared" si="14"/>
        <v>3</v>
      </c>
      <c r="J89" s="62">
        <f t="shared" si="15"/>
        <v>9</v>
      </c>
    </row>
    <row r="90" spans="1:10">
      <c r="A90" s="56">
        <v>13</v>
      </c>
      <c r="B90" s="57">
        <v>70</v>
      </c>
      <c r="C90" s="62">
        <f t="shared" si="10"/>
        <v>0</v>
      </c>
      <c r="D90" s="62">
        <f t="shared" si="11"/>
        <v>0</v>
      </c>
      <c r="E90" s="57">
        <v>67</v>
      </c>
      <c r="F90" s="62">
        <f t="shared" si="12"/>
        <v>-3</v>
      </c>
      <c r="G90" s="62">
        <f t="shared" si="13"/>
        <v>9</v>
      </c>
      <c r="H90" s="57">
        <v>54</v>
      </c>
      <c r="I90" s="62">
        <f t="shared" si="14"/>
        <v>-3</v>
      </c>
      <c r="J90" s="62">
        <f t="shared" si="15"/>
        <v>9</v>
      </c>
    </row>
    <row r="91" spans="1:10">
      <c r="A91">
        <f>A90</f>
        <v>13</v>
      </c>
      <c r="B91">
        <f>AVERAGE(B78:B90)</f>
        <v>70</v>
      </c>
      <c r="D91" s="29">
        <f>SUM(D78:D90)</f>
        <v>756</v>
      </c>
      <c r="E91">
        <f>AVERAGE(E78:E90)</f>
        <v>70</v>
      </c>
      <c r="G91" s="29">
        <f>SUM(G78:G90)</f>
        <v>350</v>
      </c>
      <c r="H91">
        <f>AVERAGE(H78:H90)</f>
        <v>57</v>
      </c>
      <c r="J91" s="29">
        <f>SUM(J78:J90)</f>
        <v>350</v>
      </c>
    </row>
    <row r="92" spans="1:10">
      <c r="C92" t="s">
        <v>216</v>
      </c>
      <c r="D92" s="29">
        <f>D91/$A$91</f>
        <v>58.153846153846153</v>
      </c>
      <c r="F92" t="s">
        <v>216</v>
      </c>
      <c r="G92" s="29">
        <f>G91/$A$91</f>
        <v>26.923076923076923</v>
      </c>
      <c r="I92" t="s">
        <v>216</v>
      </c>
      <c r="J92" s="29">
        <f>J91/$A$91</f>
        <v>26.923076923076923</v>
      </c>
    </row>
    <row r="93" spans="1:10">
      <c r="C93" t="s">
        <v>215</v>
      </c>
      <c r="D93" s="29">
        <f>D92^0.5</f>
        <v>7.6258669116269102</v>
      </c>
      <c r="F93" t="s">
        <v>215</v>
      </c>
      <c r="G93" s="29">
        <f>G92^0.5</f>
        <v>5.1887452166277086</v>
      </c>
      <c r="I93" t="s">
        <v>215</v>
      </c>
      <c r="J93" s="29">
        <f>J92^0.5</f>
        <v>5.1887452166277086</v>
      </c>
    </row>
    <row r="94" spans="1:10">
      <c r="D94" s="29"/>
      <c r="G94" s="29"/>
      <c r="J94" s="29"/>
    </row>
    <row r="95" spans="1:10">
      <c r="A95" t="s">
        <v>224</v>
      </c>
    </row>
    <row r="96" spans="1:10">
      <c r="A96" t="s">
        <v>223</v>
      </c>
    </row>
    <row r="97" spans="1:4">
      <c r="C97" s="2" t="s">
        <v>213</v>
      </c>
      <c r="D97" s="2" t="s">
        <v>214</v>
      </c>
    </row>
    <row r="98" spans="1:4">
      <c r="A98" s="49">
        <v>1</v>
      </c>
      <c r="B98" s="49">
        <v>47</v>
      </c>
      <c r="C98" s="62">
        <f>B98-B$108</f>
        <v>-2.2000000000000028</v>
      </c>
      <c r="D98" s="62">
        <f>C98^2</f>
        <v>4.8400000000000123</v>
      </c>
    </row>
    <row r="99" spans="1:4">
      <c r="A99" s="49">
        <v>2</v>
      </c>
      <c r="B99" s="49">
        <v>51</v>
      </c>
      <c r="C99" s="62">
        <f t="shared" ref="C99:C107" si="16">B99-B$108</f>
        <v>1.7999999999999972</v>
      </c>
      <c r="D99" s="62">
        <f t="shared" ref="D99:D107" si="17">C99^2</f>
        <v>3.2399999999999896</v>
      </c>
    </row>
    <row r="100" spans="1:4">
      <c r="A100" s="49">
        <v>3</v>
      </c>
      <c r="B100" s="49">
        <v>49</v>
      </c>
      <c r="C100" s="62">
        <f t="shared" si="16"/>
        <v>-0.20000000000000284</v>
      </c>
      <c r="D100" s="62">
        <f t="shared" si="17"/>
        <v>4.0000000000001139E-2</v>
      </c>
    </row>
    <row r="101" spans="1:4">
      <c r="A101" s="49">
        <v>4</v>
      </c>
      <c r="B101" s="49">
        <v>50</v>
      </c>
      <c r="C101" s="62">
        <f t="shared" si="16"/>
        <v>0.79999999999999716</v>
      </c>
      <c r="D101" s="62">
        <f t="shared" si="17"/>
        <v>0.63999999999999546</v>
      </c>
    </row>
    <row r="102" spans="1:4">
      <c r="A102" s="49">
        <v>5</v>
      </c>
      <c r="B102" s="49">
        <v>49</v>
      </c>
      <c r="C102" s="62">
        <f t="shared" si="16"/>
        <v>-0.20000000000000284</v>
      </c>
      <c r="D102" s="62">
        <f t="shared" si="17"/>
        <v>4.0000000000001139E-2</v>
      </c>
    </row>
    <row r="103" spans="1:4">
      <c r="A103" s="49">
        <v>6</v>
      </c>
      <c r="B103" s="49">
        <v>46</v>
      </c>
      <c r="C103" s="62">
        <f t="shared" si="16"/>
        <v>-3.2000000000000028</v>
      </c>
      <c r="D103" s="62">
        <f t="shared" si="17"/>
        <v>10.240000000000018</v>
      </c>
    </row>
    <row r="104" spans="1:4">
      <c r="A104" s="49">
        <v>7</v>
      </c>
      <c r="B104" s="49">
        <v>51</v>
      </c>
      <c r="C104" s="62">
        <f t="shared" si="16"/>
        <v>1.7999999999999972</v>
      </c>
      <c r="D104" s="62">
        <f t="shared" si="17"/>
        <v>3.2399999999999896</v>
      </c>
    </row>
    <row r="105" spans="1:4">
      <c r="A105" s="49">
        <v>8</v>
      </c>
      <c r="B105" s="49">
        <v>48</v>
      </c>
      <c r="C105" s="62">
        <f t="shared" si="16"/>
        <v>-1.2000000000000028</v>
      </c>
      <c r="D105" s="62">
        <f t="shared" si="17"/>
        <v>1.4400000000000068</v>
      </c>
    </row>
    <row r="106" spans="1:4">
      <c r="A106" s="49">
        <v>9</v>
      </c>
      <c r="B106" s="49">
        <v>52</v>
      </c>
      <c r="C106" s="62">
        <f t="shared" si="16"/>
        <v>2.7999999999999972</v>
      </c>
      <c r="D106" s="62">
        <f t="shared" si="17"/>
        <v>7.8399999999999839</v>
      </c>
    </row>
    <row r="107" spans="1:4">
      <c r="A107" s="49">
        <v>10</v>
      </c>
      <c r="B107" s="49">
        <v>49</v>
      </c>
      <c r="C107" s="62">
        <f t="shared" si="16"/>
        <v>-0.20000000000000284</v>
      </c>
      <c r="D107" s="62">
        <f t="shared" si="17"/>
        <v>4.0000000000001139E-2</v>
      </c>
    </row>
    <row r="108" spans="1:4">
      <c r="A108">
        <f>A107</f>
        <v>10</v>
      </c>
      <c r="B108">
        <f>AVERAGE(B98:B107)</f>
        <v>49.2</v>
      </c>
      <c r="D108" s="29">
        <f>SUM(D98:D107)</f>
        <v>31.600000000000005</v>
      </c>
    </row>
    <row r="109" spans="1:4">
      <c r="C109" t="s">
        <v>216</v>
      </c>
      <c r="D109" s="29">
        <f>D108/A$108</f>
        <v>3.1600000000000006</v>
      </c>
    </row>
    <row r="110" spans="1:4">
      <c r="C110" t="s">
        <v>215</v>
      </c>
      <c r="D110" s="29">
        <f>D109^0.5</f>
        <v>1.7776388834631178</v>
      </c>
    </row>
    <row r="111" spans="1:4">
      <c r="C111" t="s">
        <v>225</v>
      </c>
      <c r="D111" s="26">
        <f>D108/(A108-1)</f>
        <v>3.5111111111111115</v>
      </c>
    </row>
    <row r="113" spans="1:5">
      <c r="A113" t="s">
        <v>226</v>
      </c>
    </row>
    <row r="114" spans="1:5">
      <c r="A114" t="s">
        <v>227</v>
      </c>
    </row>
    <row r="115" spans="1:5">
      <c r="C115" s="2" t="s">
        <v>213</v>
      </c>
      <c r="D115" s="2" t="s">
        <v>22</v>
      </c>
    </row>
    <row r="116" spans="1:5">
      <c r="A116" s="56">
        <v>1</v>
      </c>
      <c r="B116" s="57">
        <v>568</v>
      </c>
      <c r="C116" s="62">
        <f>B116-B$124</f>
        <v>17.625</v>
      </c>
      <c r="D116" s="62">
        <f>C116^2</f>
        <v>310.640625</v>
      </c>
    </row>
    <row r="117" spans="1:5">
      <c r="A117" s="56">
        <v>2</v>
      </c>
      <c r="B117" s="57">
        <v>530</v>
      </c>
      <c r="C117" s="62">
        <f t="shared" ref="C117:C123" si="18">B117-B$124</f>
        <v>-20.375</v>
      </c>
      <c r="D117" s="62">
        <f t="shared" ref="D117:D123" si="19">C117^2</f>
        <v>415.140625</v>
      </c>
    </row>
    <row r="118" spans="1:5">
      <c r="A118" s="56">
        <v>3</v>
      </c>
      <c r="B118" s="57">
        <v>581</v>
      </c>
      <c r="C118" s="62">
        <f t="shared" si="18"/>
        <v>30.625</v>
      </c>
      <c r="D118" s="62">
        <f t="shared" si="19"/>
        <v>937.890625</v>
      </c>
    </row>
    <row r="119" spans="1:5">
      <c r="A119" s="56">
        <v>4</v>
      </c>
      <c r="B119" s="57">
        <v>554</v>
      </c>
      <c r="C119" s="62">
        <f t="shared" si="18"/>
        <v>3.625</v>
      </c>
      <c r="D119" s="62">
        <f t="shared" si="19"/>
        <v>13.140625</v>
      </c>
    </row>
    <row r="120" spans="1:5">
      <c r="A120" s="56">
        <v>5</v>
      </c>
      <c r="B120" s="57">
        <v>536</v>
      </c>
      <c r="C120" s="62">
        <f t="shared" si="18"/>
        <v>-14.375</v>
      </c>
      <c r="D120" s="62">
        <f t="shared" si="19"/>
        <v>206.640625</v>
      </c>
    </row>
    <row r="121" spans="1:5">
      <c r="A121" s="56">
        <v>6</v>
      </c>
      <c r="B121" s="57">
        <v>518</v>
      </c>
      <c r="C121" s="62">
        <f t="shared" si="18"/>
        <v>-32.375</v>
      </c>
      <c r="D121" s="62">
        <f t="shared" si="19"/>
        <v>1048.140625</v>
      </c>
    </row>
    <row r="122" spans="1:5">
      <c r="A122" s="56">
        <v>7</v>
      </c>
      <c r="B122" s="57">
        <v>564</v>
      </c>
      <c r="C122" s="62">
        <f t="shared" si="18"/>
        <v>13.625</v>
      </c>
      <c r="D122" s="62">
        <f t="shared" si="19"/>
        <v>185.640625</v>
      </c>
    </row>
    <row r="123" spans="1:5">
      <c r="A123" s="56">
        <v>8</v>
      </c>
      <c r="B123" s="57">
        <v>552</v>
      </c>
      <c r="C123" s="62">
        <f t="shared" si="18"/>
        <v>1.625</v>
      </c>
      <c r="D123" s="62">
        <f t="shared" si="19"/>
        <v>2.640625</v>
      </c>
    </row>
    <row r="124" spans="1:5">
      <c r="A124">
        <f>A123</f>
        <v>8</v>
      </c>
      <c r="B124" s="4">
        <f>AVERAGE(B116:B123)</f>
        <v>550.375</v>
      </c>
      <c r="C124" s="62"/>
      <c r="D124" s="29">
        <f>SUM(D116:D123)</f>
        <v>3119.875</v>
      </c>
    </row>
    <row r="125" spans="1:5">
      <c r="C125" t="s">
        <v>216</v>
      </c>
      <c r="D125" s="29">
        <f>D124/A124</f>
        <v>389.984375</v>
      </c>
    </row>
    <row r="126" spans="1:5">
      <c r="C126" t="s">
        <v>215</v>
      </c>
      <c r="D126" s="29">
        <f>D125^0.5</f>
        <v>19.748022052853798</v>
      </c>
    </row>
    <row r="127" spans="1:5">
      <c r="C127" t="s">
        <v>70</v>
      </c>
      <c r="D127" s="26">
        <f>D124/(A124-1)</f>
        <v>445.69642857142856</v>
      </c>
    </row>
    <row r="128" spans="1:5">
      <c r="C128" s="1" t="s">
        <v>230</v>
      </c>
      <c r="D128" s="26">
        <f>(D127/A124)^0.5</f>
        <v>7.4640507481814842</v>
      </c>
      <c r="E128" t="s">
        <v>229</v>
      </c>
    </row>
    <row r="129" spans="3:5">
      <c r="C129" t="s">
        <v>235</v>
      </c>
      <c r="D129">
        <v>2.3650000000000002</v>
      </c>
    </row>
    <row r="130" spans="3:5">
      <c r="C130" t="s">
        <v>236</v>
      </c>
      <c r="D130">
        <v>3.4990000000000001</v>
      </c>
    </row>
    <row r="132" spans="3:5">
      <c r="C132" s="1" t="s">
        <v>237</v>
      </c>
      <c r="D132">
        <f>$B$124-D129*$D$128</f>
        <v>532.72251998055083</v>
      </c>
      <c r="E132" t="s">
        <v>228</v>
      </c>
    </row>
    <row r="133" spans="3:5">
      <c r="C133" s="1" t="s">
        <v>238</v>
      </c>
      <c r="D133">
        <f>$B$124+D129*$D$128</f>
        <v>568.02748001944917</v>
      </c>
    </row>
    <row r="134" spans="3:5">
      <c r="C134" s="1" t="s">
        <v>237</v>
      </c>
      <c r="D134">
        <f>$B$124-D130*$D$128</f>
        <v>524.25828643211298</v>
      </c>
    </row>
    <row r="135" spans="3:5">
      <c r="C135" s="1" t="s">
        <v>238</v>
      </c>
      <c r="D135">
        <f>$B$124+D130*$D$128</f>
        <v>576.49171356788702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8FA7-3E8E-4519-B97C-CE91827BA303}">
  <dimension ref="A1:Q48"/>
  <sheetViews>
    <sheetView topLeftCell="A31" workbookViewId="0">
      <selection activeCell="P50" sqref="P50"/>
    </sheetView>
  </sheetViews>
  <sheetFormatPr defaultRowHeight="18"/>
  <sheetData>
    <row r="1" spans="1:10">
      <c r="A1" t="s">
        <v>246</v>
      </c>
      <c r="D1" s="90" t="s">
        <v>245</v>
      </c>
      <c r="E1" s="90"/>
      <c r="F1" s="90"/>
      <c r="G1" s="90"/>
      <c r="H1" s="90"/>
      <c r="I1" s="90"/>
      <c r="J1" s="90"/>
    </row>
    <row r="3" spans="1:10">
      <c r="A3" t="s">
        <v>239</v>
      </c>
      <c r="B3" t="s">
        <v>247</v>
      </c>
    </row>
    <row r="4" spans="1:10">
      <c r="B4" s="71" t="s">
        <v>240</v>
      </c>
      <c r="C4" s="72" t="s">
        <v>248</v>
      </c>
      <c r="D4" s="72" t="s">
        <v>250</v>
      </c>
      <c r="E4" s="72" t="s">
        <v>242</v>
      </c>
      <c r="F4" s="72" t="s">
        <v>243</v>
      </c>
    </row>
    <row r="5" spans="1:10">
      <c r="B5" s="70" t="s">
        <v>241</v>
      </c>
      <c r="C5" s="70">
        <v>9</v>
      </c>
      <c r="D5" s="70">
        <v>22</v>
      </c>
      <c r="E5" s="70">
        <v>35</v>
      </c>
      <c r="F5" s="70">
        <v>14</v>
      </c>
      <c r="G5">
        <f>SUM(C5:F5)</f>
        <v>80</v>
      </c>
    </row>
    <row r="7" spans="1:10">
      <c r="B7" t="s">
        <v>244</v>
      </c>
      <c r="C7" s="69" t="s">
        <v>249</v>
      </c>
      <c r="D7" s="2" t="s">
        <v>251</v>
      </c>
      <c r="E7" s="2" t="s">
        <v>252</v>
      </c>
      <c r="F7" s="2" t="s">
        <v>253</v>
      </c>
      <c r="H7" t="s">
        <v>254</v>
      </c>
    </row>
    <row r="8" spans="1:10">
      <c r="B8" t="s">
        <v>255</v>
      </c>
      <c r="C8">
        <v>10.5</v>
      </c>
      <c r="D8">
        <v>17</v>
      </c>
      <c r="E8">
        <v>41</v>
      </c>
      <c r="F8">
        <v>63</v>
      </c>
      <c r="H8" s="4">
        <f>G9/G5</f>
        <v>34.818750000000001</v>
      </c>
    </row>
    <row r="9" spans="1:10">
      <c r="B9" s="1" t="s">
        <v>256</v>
      </c>
      <c r="C9">
        <f>C8*C5</f>
        <v>94.5</v>
      </c>
      <c r="D9">
        <f t="shared" ref="D9:F9" si="0">D8*D5</f>
        <v>374</v>
      </c>
      <c r="E9">
        <f t="shared" si="0"/>
        <v>1435</v>
      </c>
      <c r="F9">
        <f t="shared" si="0"/>
        <v>882</v>
      </c>
      <c r="G9">
        <f>SUM(C9:F9)</f>
        <v>2785.5</v>
      </c>
    </row>
    <row r="11" spans="1:10">
      <c r="B11" s="2" t="s">
        <v>257</v>
      </c>
      <c r="C11" s="4">
        <f>C8-$H$8</f>
        <v>-24.318750000000001</v>
      </c>
      <c r="D11" s="4">
        <f t="shared" ref="D11:F11" si="1">D8-$H$8</f>
        <v>-17.818750000000001</v>
      </c>
      <c r="E11" s="4">
        <f t="shared" si="1"/>
        <v>6.1812499999999986</v>
      </c>
      <c r="F11" s="4">
        <f t="shared" si="1"/>
        <v>28.181249999999999</v>
      </c>
    </row>
    <row r="12" spans="1:10">
      <c r="B12" s="1" t="s">
        <v>259</v>
      </c>
      <c r="C12" s="4">
        <f>C11^2</f>
        <v>591.4016015625001</v>
      </c>
      <c r="D12" s="4">
        <f t="shared" ref="D12:F12" si="2">D11^2</f>
        <v>317.50785156250004</v>
      </c>
      <c r="E12" s="4">
        <f t="shared" si="2"/>
        <v>38.207851562499982</v>
      </c>
      <c r="F12" s="4">
        <f t="shared" si="2"/>
        <v>794.18285156249988</v>
      </c>
      <c r="G12" t="s">
        <v>262</v>
      </c>
      <c r="H12" t="s">
        <v>261</v>
      </c>
    </row>
    <row r="13" spans="1:10">
      <c r="B13" s="1" t="s">
        <v>260</v>
      </c>
      <c r="C13" s="4">
        <f>C12*C5</f>
        <v>5322.6144140625011</v>
      </c>
      <c r="D13" s="4">
        <f t="shared" ref="D13:F13" si="3">D12*D5</f>
        <v>6985.1727343750008</v>
      </c>
      <c r="E13" s="4">
        <f t="shared" si="3"/>
        <v>1337.2748046874995</v>
      </c>
      <c r="F13" s="4">
        <f t="shared" si="3"/>
        <v>11118.559921874998</v>
      </c>
      <c r="G13" s="4">
        <f>SUM(C13:F13)/G5</f>
        <v>309.54527343749999</v>
      </c>
      <c r="H13" s="4">
        <f>(G13)^0.5</f>
        <v>17.593898756031876</v>
      </c>
    </row>
    <row r="15" spans="1:10">
      <c r="A15" t="s">
        <v>263</v>
      </c>
      <c r="B15" t="s">
        <v>264</v>
      </c>
    </row>
    <row r="16" spans="1:10">
      <c r="B16">
        <v>1</v>
      </c>
      <c r="C16">
        <v>6</v>
      </c>
      <c r="E16">
        <v>-9</v>
      </c>
    </row>
    <row r="17" spans="1:9">
      <c r="B17">
        <v>2</v>
      </c>
      <c r="C17">
        <v>8</v>
      </c>
      <c r="E17">
        <v>6</v>
      </c>
    </row>
    <row r="18" spans="1:9">
      <c r="B18">
        <v>3</v>
      </c>
      <c r="C18">
        <v>8</v>
      </c>
      <c r="E18">
        <v>6</v>
      </c>
    </row>
    <row r="19" spans="1:9">
      <c r="B19">
        <v>4</v>
      </c>
      <c r="C19">
        <v>10</v>
      </c>
      <c r="E19">
        <v>6</v>
      </c>
    </row>
    <row r="20" spans="1:9">
      <c r="B20">
        <v>5</v>
      </c>
      <c r="C20">
        <v>21</v>
      </c>
      <c r="E20">
        <v>8</v>
      </c>
    </row>
    <row r="21" spans="1:9">
      <c r="B21">
        <v>6</v>
      </c>
      <c r="C21" s="1">
        <v>6</v>
      </c>
      <c r="E21">
        <v>8</v>
      </c>
    </row>
    <row r="22" spans="1:9">
      <c r="B22">
        <v>7</v>
      </c>
      <c r="C22" s="1">
        <v>6</v>
      </c>
      <c r="E22">
        <v>10</v>
      </c>
    </row>
    <row r="23" spans="1:9">
      <c r="B23">
        <v>8</v>
      </c>
      <c r="C23" s="1">
        <f>C24*B23-SUM(C16:C22)</f>
        <v>-9</v>
      </c>
      <c r="E23">
        <v>21</v>
      </c>
    </row>
    <row r="24" spans="1:9">
      <c r="B24" s="1" t="s">
        <v>265</v>
      </c>
      <c r="C24">
        <v>7</v>
      </c>
      <c r="D24" s="1" t="s">
        <v>266</v>
      </c>
      <c r="E24">
        <v>7</v>
      </c>
    </row>
    <row r="26" spans="1:9">
      <c r="A26" t="s">
        <v>267</v>
      </c>
    </row>
    <row r="27" spans="1:9">
      <c r="B27" s="71" t="s">
        <v>271</v>
      </c>
      <c r="C27" s="71">
        <v>110</v>
      </c>
      <c r="D27" s="71">
        <v>120</v>
      </c>
      <c r="E27" s="71">
        <v>130</v>
      </c>
      <c r="F27" s="71">
        <v>140</v>
      </c>
      <c r="G27" s="71">
        <v>150</v>
      </c>
      <c r="H27" s="71" t="s">
        <v>268</v>
      </c>
    </row>
    <row r="28" spans="1:9">
      <c r="B28" s="70" t="s">
        <v>272</v>
      </c>
      <c r="C28" s="70">
        <v>2</v>
      </c>
      <c r="D28" s="70">
        <v>6</v>
      </c>
      <c r="E28" s="70">
        <v>3</v>
      </c>
      <c r="F28" s="70">
        <v>7</v>
      </c>
      <c r="G28" s="70">
        <v>2</v>
      </c>
      <c r="H28" s="70">
        <v>20</v>
      </c>
    </row>
    <row r="29" spans="1:9">
      <c r="I29" t="s">
        <v>265</v>
      </c>
    </row>
    <row r="30" spans="1:9">
      <c r="B30" t="s">
        <v>269</v>
      </c>
      <c r="C30">
        <f>C27*C28</f>
        <v>220</v>
      </c>
      <c r="D30">
        <f t="shared" ref="D30:G30" si="4">D27*D28</f>
        <v>720</v>
      </c>
      <c r="E30">
        <f t="shared" si="4"/>
        <v>390</v>
      </c>
      <c r="F30">
        <f t="shared" si="4"/>
        <v>980</v>
      </c>
      <c r="G30">
        <f t="shared" si="4"/>
        <v>300</v>
      </c>
      <c r="H30">
        <f>SUM(C30:G30)</f>
        <v>2610</v>
      </c>
      <c r="I30">
        <f>H30/H28</f>
        <v>130.5</v>
      </c>
    </row>
    <row r="31" spans="1:9">
      <c r="B31" t="s">
        <v>270</v>
      </c>
      <c r="C31">
        <f>C27-$I$30</f>
        <v>-20.5</v>
      </c>
      <c r="D31">
        <f t="shared" ref="D31:G31" si="5">D27-$I$30</f>
        <v>-10.5</v>
      </c>
      <c r="E31">
        <f t="shared" si="5"/>
        <v>-0.5</v>
      </c>
      <c r="F31">
        <f t="shared" si="5"/>
        <v>9.5</v>
      </c>
      <c r="G31">
        <f t="shared" si="5"/>
        <v>19.5</v>
      </c>
    </row>
    <row r="32" spans="1:9">
      <c r="B32" s="1" t="s">
        <v>259</v>
      </c>
      <c r="C32" s="4">
        <f>C31^2</f>
        <v>420.25</v>
      </c>
      <c r="D32" s="4">
        <f t="shared" ref="D32:G32" si="6">D31^2</f>
        <v>110.25</v>
      </c>
      <c r="E32" s="4">
        <f t="shared" si="6"/>
        <v>0.25</v>
      </c>
      <c r="F32" s="4">
        <f t="shared" si="6"/>
        <v>90.25</v>
      </c>
      <c r="G32" s="4">
        <f t="shared" si="6"/>
        <v>380.25</v>
      </c>
      <c r="H32" t="s">
        <v>273</v>
      </c>
      <c r="I32" t="s">
        <v>261</v>
      </c>
    </row>
    <row r="33" spans="1:17">
      <c r="B33" s="1" t="s">
        <v>260</v>
      </c>
      <c r="C33" s="4">
        <f>C32*C28</f>
        <v>840.5</v>
      </c>
      <c r="D33" s="4">
        <f t="shared" ref="D33:G33" si="7">D32*D28</f>
        <v>661.5</v>
      </c>
      <c r="E33" s="4">
        <f t="shared" si="7"/>
        <v>0.75</v>
      </c>
      <c r="F33" s="4">
        <f t="shared" si="7"/>
        <v>631.75</v>
      </c>
      <c r="G33" s="4">
        <f t="shared" si="7"/>
        <v>760.5</v>
      </c>
      <c r="H33" s="4">
        <f>SUM(C33:G33)/H28</f>
        <v>144.75</v>
      </c>
      <c r="I33" s="4">
        <f>H33^0.5</f>
        <v>12.031209415515965</v>
      </c>
    </row>
    <row r="35" spans="1:17">
      <c r="A35" t="s">
        <v>274</v>
      </c>
    </row>
    <row r="36" spans="1:17">
      <c r="C36" s="2" t="s">
        <v>275</v>
      </c>
      <c r="D36" s="2" t="s">
        <v>276</v>
      </c>
      <c r="E36" s="2" t="s">
        <v>278</v>
      </c>
      <c r="I36" t="s">
        <v>275</v>
      </c>
      <c r="J36" t="s">
        <v>284</v>
      </c>
      <c r="K36" t="s">
        <v>258</v>
      </c>
      <c r="L36" t="s">
        <v>276</v>
      </c>
      <c r="M36" t="s">
        <v>284</v>
      </c>
      <c r="N36" t="s">
        <v>258</v>
      </c>
      <c r="O36" t="s">
        <v>278</v>
      </c>
      <c r="P36" t="s">
        <v>284</v>
      </c>
      <c r="Q36" t="s">
        <v>258</v>
      </c>
    </row>
    <row r="37" spans="1:17">
      <c r="B37" s="1" t="s">
        <v>277</v>
      </c>
      <c r="C37" s="73">
        <v>4</v>
      </c>
      <c r="D37" s="73">
        <v>6</v>
      </c>
      <c r="E37" s="2">
        <f>C37+D37</f>
        <v>10</v>
      </c>
      <c r="I37" s="75">
        <v>5</v>
      </c>
      <c r="J37">
        <f>I37-$I$41</f>
        <v>0</v>
      </c>
      <c r="K37">
        <f>J37^2</f>
        <v>0</v>
      </c>
      <c r="L37" s="75">
        <v>7</v>
      </c>
      <c r="M37">
        <f>L37-$L$43</f>
        <v>0</v>
      </c>
      <c r="N37">
        <f>M37^2</f>
        <v>0</v>
      </c>
      <c r="O37" s="75">
        <f>I37</f>
        <v>5</v>
      </c>
      <c r="P37">
        <f>O37-$O$47</f>
        <v>-1.2000000000000002</v>
      </c>
      <c r="Q37">
        <f>P37^2</f>
        <v>1.4400000000000004</v>
      </c>
    </row>
    <row r="38" spans="1:17">
      <c r="B38" s="1" t="s">
        <v>279</v>
      </c>
      <c r="C38" s="2">
        <f>C39*C37</f>
        <v>20</v>
      </c>
      <c r="D38" s="2">
        <f>D39*D37</f>
        <v>42</v>
      </c>
      <c r="E38" s="2">
        <f>C38+D38</f>
        <v>62</v>
      </c>
      <c r="I38" s="75">
        <v>5</v>
      </c>
      <c r="J38">
        <f t="shared" ref="J38:J40" si="8">I38-$I$41</f>
        <v>0</v>
      </c>
      <c r="K38">
        <f t="shared" ref="K38:K40" si="9">J38^2</f>
        <v>0</v>
      </c>
      <c r="L38" s="75">
        <v>7</v>
      </c>
      <c r="M38">
        <f t="shared" ref="M38:M42" si="10">L38-$L$43</f>
        <v>0</v>
      </c>
      <c r="N38">
        <f t="shared" ref="N38:N42" si="11">M38^2</f>
        <v>0</v>
      </c>
      <c r="O38" s="75">
        <f t="shared" ref="O38:O40" si="12">I38</f>
        <v>5</v>
      </c>
      <c r="P38">
        <f t="shared" ref="P38:P45" si="13">O38-$O$47</f>
        <v>-1.2000000000000002</v>
      </c>
      <c r="Q38">
        <f t="shared" ref="Q38:Q45" si="14">P38^2</f>
        <v>1.4400000000000004</v>
      </c>
    </row>
    <row r="39" spans="1:17">
      <c r="B39" s="1" t="s">
        <v>265</v>
      </c>
      <c r="C39" s="73">
        <v>5</v>
      </c>
      <c r="D39" s="73">
        <v>7</v>
      </c>
      <c r="E39" s="2">
        <f>E38/E37</f>
        <v>6.2</v>
      </c>
      <c r="I39" s="75">
        <v>7</v>
      </c>
      <c r="J39">
        <f t="shared" si="8"/>
        <v>2</v>
      </c>
      <c r="K39">
        <f t="shared" si="9"/>
        <v>4</v>
      </c>
      <c r="L39" s="75">
        <v>9</v>
      </c>
      <c r="M39">
        <f t="shared" si="10"/>
        <v>2</v>
      </c>
      <c r="N39">
        <f t="shared" si="11"/>
        <v>4</v>
      </c>
      <c r="O39" s="75">
        <f t="shared" si="12"/>
        <v>7</v>
      </c>
      <c r="P39">
        <f t="shared" si="13"/>
        <v>0.79999999999999982</v>
      </c>
      <c r="Q39">
        <f t="shared" si="14"/>
        <v>0.63999999999999968</v>
      </c>
    </row>
    <row r="40" spans="1:17">
      <c r="B40" s="1" t="s">
        <v>283</v>
      </c>
      <c r="C40" s="74">
        <f>C37*C39^2</f>
        <v>100</v>
      </c>
      <c r="D40" s="74">
        <f>D37*D39^2</f>
        <v>294</v>
      </c>
      <c r="E40" s="74">
        <f>E37*E39^2</f>
        <v>384.40000000000003</v>
      </c>
      <c r="I40" s="75">
        <v>3</v>
      </c>
      <c r="J40">
        <f t="shared" si="8"/>
        <v>-2</v>
      </c>
      <c r="K40">
        <f t="shared" si="9"/>
        <v>4</v>
      </c>
      <c r="L40" s="75">
        <f>14-L39</f>
        <v>5</v>
      </c>
      <c r="M40">
        <f t="shared" si="10"/>
        <v>-2</v>
      </c>
      <c r="N40">
        <f t="shared" si="11"/>
        <v>4</v>
      </c>
      <c r="O40" s="75">
        <f t="shared" si="12"/>
        <v>3</v>
      </c>
      <c r="P40">
        <f t="shared" si="13"/>
        <v>-3.2</v>
      </c>
      <c r="Q40">
        <f t="shared" si="14"/>
        <v>10.240000000000002</v>
      </c>
    </row>
    <row r="41" spans="1:17">
      <c r="B41" s="1" t="s">
        <v>281</v>
      </c>
      <c r="C41" s="74">
        <f>C37*C43</f>
        <v>8</v>
      </c>
      <c r="D41" s="74">
        <f>D37*D43</f>
        <v>18</v>
      </c>
      <c r="E41" s="2">
        <f>E42-E40</f>
        <v>35.599999999999966</v>
      </c>
      <c r="F41" s="30" t="s">
        <v>280</v>
      </c>
      <c r="I41">
        <f>AVERAGE(I37:I40)</f>
        <v>5</v>
      </c>
      <c r="K41">
        <f>SUM(K37:K40)</f>
        <v>8</v>
      </c>
      <c r="L41" s="75">
        <v>9.2360699999999998</v>
      </c>
      <c r="M41">
        <f t="shared" si="10"/>
        <v>2.2360699999999998</v>
      </c>
      <c r="N41">
        <f t="shared" si="11"/>
        <v>5.0000090448999988</v>
      </c>
      <c r="O41" s="75">
        <f>L37</f>
        <v>7</v>
      </c>
      <c r="P41">
        <f t="shared" si="13"/>
        <v>0.79999999999999982</v>
      </c>
      <c r="Q41">
        <f t="shared" si="14"/>
        <v>0.63999999999999968</v>
      </c>
    </row>
    <row r="42" spans="1:17">
      <c r="B42" s="1" t="s">
        <v>282</v>
      </c>
      <c r="C42" s="74">
        <f>C41+C40</f>
        <v>108</v>
      </c>
      <c r="D42" s="74">
        <f>D41+D40</f>
        <v>312</v>
      </c>
      <c r="E42" s="2">
        <f>C42+D42</f>
        <v>420</v>
      </c>
      <c r="J42" s="1" t="s">
        <v>285</v>
      </c>
      <c r="K42">
        <f>K41/4</f>
        <v>2</v>
      </c>
      <c r="L42" s="75">
        <f>14-L41</f>
        <v>4.7639300000000002</v>
      </c>
      <c r="M42">
        <f t="shared" si="10"/>
        <v>-2.2360699999999998</v>
      </c>
      <c r="N42">
        <f t="shared" si="11"/>
        <v>5.0000090448999988</v>
      </c>
      <c r="O42" s="75">
        <f t="shared" ref="O42:O46" si="15">L38</f>
        <v>7</v>
      </c>
      <c r="P42">
        <f t="shared" si="13"/>
        <v>0.79999999999999982</v>
      </c>
      <c r="Q42">
        <f t="shared" si="14"/>
        <v>0.63999999999999968</v>
      </c>
    </row>
    <row r="43" spans="1:17">
      <c r="B43" s="1" t="s">
        <v>262</v>
      </c>
      <c r="C43" s="73">
        <v>2</v>
      </c>
      <c r="D43" s="73">
        <v>3</v>
      </c>
      <c r="E43" s="2">
        <f>E41/E37</f>
        <v>3.5599999999999965</v>
      </c>
      <c r="L43">
        <f>AVERAGE(L37:L42)</f>
        <v>7</v>
      </c>
      <c r="N43">
        <f>SUM(N39:N42)</f>
        <v>18.000018089799998</v>
      </c>
      <c r="O43" s="75">
        <f t="shared" si="15"/>
        <v>9</v>
      </c>
      <c r="P43">
        <f t="shared" si="13"/>
        <v>2.8</v>
      </c>
      <c r="Q43">
        <f t="shared" si="14"/>
        <v>7.839999999999999</v>
      </c>
    </row>
    <row r="44" spans="1:17">
      <c r="M44" s="1" t="s">
        <v>285</v>
      </c>
      <c r="N44">
        <f>N43/6</f>
        <v>3.0000030149666661</v>
      </c>
      <c r="O44" s="75">
        <f t="shared" si="15"/>
        <v>5</v>
      </c>
      <c r="P44">
        <f t="shared" si="13"/>
        <v>-1.2000000000000002</v>
      </c>
      <c r="Q44">
        <f t="shared" si="14"/>
        <v>1.4400000000000004</v>
      </c>
    </row>
    <row r="45" spans="1:17">
      <c r="O45" s="75">
        <f t="shared" si="15"/>
        <v>9.2360699999999998</v>
      </c>
      <c r="P45">
        <f t="shared" si="13"/>
        <v>3.0360699999999996</v>
      </c>
      <c r="Q45">
        <f t="shared" si="14"/>
        <v>9.2177210448999976</v>
      </c>
    </row>
    <row r="46" spans="1:17">
      <c r="O46" s="75">
        <f t="shared" si="15"/>
        <v>4.7639300000000002</v>
      </c>
      <c r="P46">
        <f>O46-$O$47</f>
        <v>-1.43607</v>
      </c>
      <c r="Q46">
        <f>P46^2</f>
        <v>2.0622970448999998</v>
      </c>
    </row>
    <row r="47" spans="1:17">
      <c r="N47" t="s">
        <v>265</v>
      </c>
      <c r="O47">
        <f>AVERAGE(O37:O46)</f>
        <v>6.2</v>
      </c>
      <c r="Q47">
        <f>SUM(Q37:Q46)</f>
        <v>35.600018089800002</v>
      </c>
    </row>
    <row r="48" spans="1:17">
      <c r="P48" s="1" t="s">
        <v>285</v>
      </c>
      <c r="Q48">
        <f>Q47/10</f>
        <v>3.5600018089800001</v>
      </c>
    </row>
  </sheetData>
  <mergeCells count="1">
    <mergeCell ref="D1:J1"/>
  </mergeCells>
  <phoneticPr fontId="1"/>
  <hyperlinks>
    <hyperlink ref="D1" r:id="rId1" xr:uid="{6FA6E099-2AC3-4139-98F1-BAC2028098D7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zoomScaleNormal="100" workbookViewId="0">
      <selection activeCell="K11" sqref="K11"/>
    </sheetView>
  </sheetViews>
  <sheetFormatPr defaultRowHeight="18"/>
  <cols>
    <col min="3" max="3" width="13" bestFit="1" customWidth="1"/>
    <col min="4" max="4" width="11.5" bestFit="1" customWidth="1"/>
    <col min="5" max="5" width="8.3984375" bestFit="1" customWidth="1"/>
  </cols>
  <sheetData>
    <row r="2" spans="2:7">
      <c r="B2" t="s">
        <v>11</v>
      </c>
    </row>
    <row r="3" spans="2:7">
      <c r="B3" s="1" t="s">
        <v>12</v>
      </c>
      <c r="C3">
        <f>40*0.05</f>
        <v>2</v>
      </c>
      <c r="D3" s="1"/>
      <c r="G3" t="s">
        <v>17</v>
      </c>
    </row>
    <row r="4" spans="2:7">
      <c r="B4" s="1"/>
    </row>
    <row r="6" spans="2:7">
      <c r="B6" s="2" t="s">
        <v>3</v>
      </c>
      <c r="C6" s="2" t="s">
        <v>13</v>
      </c>
      <c r="D6" s="2" t="s">
        <v>14</v>
      </c>
      <c r="E6" s="2" t="s">
        <v>15</v>
      </c>
      <c r="F6" s="2" t="s">
        <v>8</v>
      </c>
    </row>
    <row r="7" spans="2:7">
      <c r="B7">
        <v>0</v>
      </c>
      <c r="C7">
        <f>EXP(-$C$3)</f>
        <v>0.1353352832366127</v>
      </c>
      <c r="D7">
        <f>$C$3^B7</f>
        <v>1</v>
      </c>
      <c r="E7">
        <f>FACT(B7)</f>
        <v>1</v>
      </c>
      <c r="F7">
        <f>C7*D7/E7</f>
        <v>0.1353352832366127</v>
      </c>
    </row>
    <row r="8" spans="2:7">
      <c r="B8">
        <v>1</v>
      </c>
      <c r="C8">
        <f>EXP(-$C$3)</f>
        <v>0.1353352832366127</v>
      </c>
      <c r="D8">
        <f>$C$3^B8</f>
        <v>2</v>
      </c>
      <c r="E8">
        <f>FACT(B8)</f>
        <v>1</v>
      </c>
      <c r="F8">
        <f>C8*D8/E8</f>
        <v>0.2706705664732254</v>
      </c>
    </row>
    <row r="9" spans="2:7">
      <c r="B9">
        <v>2</v>
      </c>
      <c r="C9">
        <f>EXP(-$C$3)</f>
        <v>0.1353352832366127</v>
      </c>
      <c r="D9">
        <f>$C$3^B9</f>
        <v>4</v>
      </c>
      <c r="E9">
        <f>FACT(B9)</f>
        <v>2</v>
      </c>
      <c r="F9">
        <f>C9*D9/E9</f>
        <v>0.2706705664732254</v>
      </c>
    </row>
    <row r="10" spans="2:7">
      <c r="B10">
        <v>3</v>
      </c>
      <c r="C10">
        <f t="shared" ref="C10:C17" si="0">EXP(-$C$3)</f>
        <v>0.1353352832366127</v>
      </c>
      <c r="D10">
        <f t="shared" ref="D10:D17" si="1">$C$3^B10</f>
        <v>8</v>
      </c>
      <c r="E10">
        <f t="shared" ref="E10:E17" si="2">FACT(B10)</f>
        <v>6</v>
      </c>
      <c r="F10">
        <f t="shared" ref="F10:F17" si="3">C10*D10/E10</f>
        <v>0.18044704431548361</v>
      </c>
    </row>
    <row r="11" spans="2:7">
      <c r="B11">
        <v>4</v>
      </c>
      <c r="C11">
        <f t="shared" si="0"/>
        <v>0.1353352832366127</v>
      </c>
      <c r="D11">
        <f t="shared" si="1"/>
        <v>16</v>
      </c>
      <c r="E11">
        <f t="shared" si="2"/>
        <v>24</v>
      </c>
      <c r="F11">
        <f t="shared" si="3"/>
        <v>9.0223522157741806E-2</v>
      </c>
    </row>
    <row r="12" spans="2:7">
      <c r="B12">
        <v>5</v>
      </c>
      <c r="C12">
        <f t="shared" si="0"/>
        <v>0.1353352832366127</v>
      </c>
      <c r="D12">
        <f t="shared" si="1"/>
        <v>32</v>
      </c>
      <c r="E12">
        <f t="shared" si="2"/>
        <v>120</v>
      </c>
      <c r="F12">
        <f t="shared" si="3"/>
        <v>3.6089408863096722E-2</v>
      </c>
    </row>
    <row r="13" spans="2:7">
      <c r="B13">
        <v>6</v>
      </c>
      <c r="C13">
        <f t="shared" si="0"/>
        <v>0.1353352832366127</v>
      </c>
      <c r="D13">
        <f t="shared" si="1"/>
        <v>64</v>
      </c>
      <c r="E13">
        <f t="shared" si="2"/>
        <v>720</v>
      </c>
      <c r="F13">
        <f t="shared" si="3"/>
        <v>1.2029802954365574E-2</v>
      </c>
    </row>
    <row r="14" spans="2:7">
      <c r="B14">
        <v>7</v>
      </c>
      <c r="C14">
        <f t="shared" si="0"/>
        <v>0.1353352832366127</v>
      </c>
      <c r="D14">
        <f t="shared" si="1"/>
        <v>128</v>
      </c>
      <c r="E14">
        <f t="shared" si="2"/>
        <v>5040</v>
      </c>
      <c r="F14">
        <f t="shared" si="3"/>
        <v>3.4370865583901638E-3</v>
      </c>
    </row>
    <row r="15" spans="2:7">
      <c r="B15">
        <v>8</v>
      </c>
      <c r="C15">
        <f t="shared" si="0"/>
        <v>0.1353352832366127</v>
      </c>
      <c r="D15">
        <f t="shared" si="1"/>
        <v>256</v>
      </c>
      <c r="E15">
        <f t="shared" si="2"/>
        <v>40320</v>
      </c>
      <c r="F15">
        <f t="shared" si="3"/>
        <v>8.5927163959754094E-4</v>
      </c>
    </row>
    <row r="16" spans="2:7">
      <c r="B16">
        <v>9</v>
      </c>
      <c r="C16">
        <f t="shared" si="0"/>
        <v>0.1353352832366127</v>
      </c>
      <c r="D16">
        <f t="shared" si="1"/>
        <v>512</v>
      </c>
      <c r="E16">
        <f t="shared" si="2"/>
        <v>362880</v>
      </c>
      <c r="F16">
        <f t="shared" si="3"/>
        <v>1.9094925324389798E-4</v>
      </c>
    </row>
    <row r="17" spans="2:6">
      <c r="B17">
        <v>10</v>
      </c>
      <c r="C17">
        <f t="shared" si="0"/>
        <v>0.1353352832366127</v>
      </c>
      <c r="D17">
        <f t="shared" si="1"/>
        <v>1024</v>
      </c>
      <c r="E17">
        <f t="shared" si="2"/>
        <v>3628800</v>
      </c>
      <c r="F17">
        <f t="shared" si="3"/>
        <v>3.8189850648779595E-5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058A-2FB5-4479-9A70-1F6A9D60D57A}">
  <dimension ref="B3:C17"/>
  <sheetViews>
    <sheetView topLeftCell="A2" workbookViewId="0">
      <selection activeCell="B18" sqref="B18"/>
    </sheetView>
  </sheetViews>
  <sheetFormatPr defaultRowHeight="18"/>
  <sheetData>
    <row r="3" spans="2:3">
      <c r="B3">
        <v>147</v>
      </c>
      <c r="C3">
        <v>2.9</v>
      </c>
    </row>
    <row r="4" spans="2:3">
      <c r="B4">
        <v>56</v>
      </c>
      <c r="C4">
        <v>6.7</v>
      </c>
    </row>
    <row r="5" spans="2:3">
      <c r="B5">
        <v>49</v>
      </c>
      <c r="C5">
        <v>3.5</v>
      </c>
    </row>
    <row r="6" spans="2:3">
      <c r="B6">
        <v>76</v>
      </c>
      <c r="C6">
        <v>4.2</v>
      </c>
    </row>
    <row r="7" spans="2:3">
      <c r="B7">
        <v>56</v>
      </c>
      <c r="C7">
        <v>4.8</v>
      </c>
    </row>
    <row r="8" spans="2:3">
      <c r="B8">
        <v>49</v>
      </c>
      <c r="C8">
        <v>4.4000000000000004</v>
      </c>
    </row>
    <row r="9" spans="2:3">
      <c r="B9">
        <v>94</v>
      </c>
      <c r="C9">
        <v>5.6</v>
      </c>
    </row>
    <row r="17" spans="2:2">
      <c r="B17">
        <f>6339-15*140</f>
        <v>4239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EA0C-4623-4A72-AB60-C034C99E43DA}">
  <dimension ref="A1:BH2"/>
  <sheetViews>
    <sheetView tabSelected="1" workbookViewId="0">
      <selection activeCell="D7" sqref="D7"/>
    </sheetView>
  </sheetViews>
  <sheetFormatPr defaultRowHeight="18"/>
  <sheetData>
    <row r="1" spans="1:60" ht="18.600000000000001" thickBot="1">
      <c r="A1" s="86">
        <v>42736</v>
      </c>
      <c r="B1" s="86">
        <v>42767</v>
      </c>
      <c r="C1" s="86">
        <v>42795</v>
      </c>
      <c r="D1" s="86">
        <v>42826</v>
      </c>
      <c r="E1" s="86">
        <v>42856</v>
      </c>
      <c r="F1" s="86">
        <v>42887</v>
      </c>
      <c r="G1" s="86">
        <v>42917</v>
      </c>
      <c r="H1" s="86">
        <v>42948</v>
      </c>
      <c r="I1" s="86">
        <v>42979</v>
      </c>
      <c r="J1" s="86">
        <v>43009</v>
      </c>
      <c r="K1" s="86">
        <v>43040</v>
      </c>
      <c r="L1" s="86">
        <v>43070</v>
      </c>
      <c r="M1" s="86">
        <v>43101</v>
      </c>
      <c r="N1" s="86">
        <v>43132</v>
      </c>
      <c r="O1" s="86">
        <v>43160</v>
      </c>
      <c r="P1" s="86">
        <v>43191</v>
      </c>
      <c r="Q1" s="86">
        <v>43221</v>
      </c>
      <c r="R1" s="86">
        <v>43252</v>
      </c>
      <c r="S1" s="86">
        <v>43282</v>
      </c>
      <c r="T1" s="86">
        <v>43313</v>
      </c>
      <c r="U1" s="86">
        <v>43344</v>
      </c>
      <c r="V1" s="86">
        <v>43374</v>
      </c>
      <c r="W1" s="86">
        <v>43405</v>
      </c>
      <c r="X1" s="86">
        <v>43435</v>
      </c>
      <c r="Y1" s="86">
        <v>43466</v>
      </c>
      <c r="Z1" s="86">
        <v>43497</v>
      </c>
      <c r="AA1" s="86">
        <v>43525</v>
      </c>
      <c r="AB1" s="86">
        <v>43556</v>
      </c>
      <c r="AC1" s="86">
        <v>43586</v>
      </c>
      <c r="AD1" s="86">
        <v>43617</v>
      </c>
      <c r="AE1" s="86">
        <v>43647</v>
      </c>
      <c r="AF1" s="86">
        <v>43678</v>
      </c>
      <c r="AG1" s="86">
        <v>43709</v>
      </c>
      <c r="AH1" s="86">
        <v>43739</v>
      </c>
      <c r="AI1" s="86">
        <v>43770</v>
      </c>
      <c r="AJ1" s="86">
        <v>43800</v>
      </c>
      <c r="AK1" s="86">
        <v>43831</v>
      </c>
      <c r="AL1" s="86">
        <v>43862</v>
      </c>
      <c r="AM1" s="86">
        <v>43891</v>
      </c>
      <c r="AN1" s="86">
        <v>43922</v>
      </c>
      <c r="AO1" s="86">
        <v>43952</v>
      </c>
      <c r="AP1" s="86">
        <v>43983</v>
      </c>
      <c r="AQ1" s="86">
        <v>44013</v>
      </c>
      <c r="AR1" s="86">
        <v>44044</v>
      </c>
      <c r="AS1" s="86">
        <v>44075</v>
      </c>
      <c r="AT1" s="86">
        <v>44105</v>
      </c>
      <c r="AU1" s="86">
        <v>44136</v>
      </c>
      <c r="AV1" s="86">
        <v>44166</v>
      </c>
      <c r="AW1" s="86">
        <v>44197</v>
      </c>
      <c r="AX1" s="86">
        <v>44228</v>
      </c>
      <c r="AY1" s="86">
        <v>44256</v>
      </c>
      <c r="AZ1" s="86">
        <v>44287</v>
      </c>
      <c r="BA1" s="86">
        <v>44317</v>
      </c>
      <c r="BB1" s="86">
        <v>44348</v>
      </c>
      <c r="BC1" s="86">
        <v>44378</v>
      </c>
      <c r="BD1" s="86">
        <v>44409</v>
      </c>
      <c r="BE1" s="86">
        <v>44440</v>
      </c>
      <c r="BF1" s="86">
        <v>44470</v>
      </c>
      <c r="BG1" s="86">
        <v>44501</v>
      </c>
      <c r="BH1" s="86">
        <v>44531</v>
      </c>
    </row>
    <row r="2" spans="1:60" ht="18.600000000000001" thickBot="1">
      <c r="A2" s="76">
        <v>489</v>
      </c>
      <c r="B2" s="76">
        <v>382</v>
      </c>
      <c r="C2" s="76">
        <v>472</v>
      </c>
      <c r="D2" s="76">
        <v>624</v>
      </c>
      <c r="E2" s="76">
        <v>915</v>
      </c>
      <c r="F2" s="76">
        <v>914</v>
      </c>
      <c r="G2" s="84">
        <v>1394</v>
      </c>
      <c r="H2" s="84">
        <v>1370</v>
      </c>
      <c r="I2" s="76">
        <v>826</v>
      </c>
      <c r="J2" s="76">
        <v>599</v>
      </c>
      <c r="K2" s="76">
        <v>489</v>
      </c>
      <c r="L2" s="76">
        <v>573</v>
      </c>
      <c r="M2" s="77">
        <v>507</v>
      </c>
      <c r="N2" s="77">
        <v>416</v>
      </c>
      <c r="O2" s="77">
        <v>607</v>
      </c>
      <c r="P2" s="77">
        <v>746</v>
      </c>
      <c r="Q2" s="77">
        <v>894</v>
      </c>
      <c r="R2" s="83">
        <v>1021</v>
      </c>
      <c r="S2" s="83">
        <v>1506</v>
      </c>
      <c r="T2" s="83">
        <v>1443</v>
      </c>
      <c r="U2" s="77">
        <v>861</v>
      </c>
      <c r="V2" s="77">
        <v>640</v>
      </c>
      <c r="W2" s="77">
        <v>492</v>
      </c>
      <c r="X2" s="77">
        <v>537</v>
      </c>
      <c r="Y2" s="78">
        <v>494</v>
      </c>
      <c r="Z2" s="78">
        <v>423</v>
      </c>
      <c r="AA2" s="78">
        <v>542</v>
      </c>
      <c r="AB2" s="78">
        <v>667</v>
      </c>
      <c r="AC2" s="81">
        <v>1000</v>
      </c>
      <c r="AD2" s="78">
        <v>991</v>
      </c>
      <c r="AE2" s="81">
        <v>1236</v>
      </c>
      <c r="AF2" s="81">
        <v>1513</v>
      </c>
      <c r="AG2" s="78">
        <v>996</v>
      </c>
      <c r="AH2" s="78">
        <v>724</v>
      </c>
      <c r="AI2" s="78">
        <v>531</v>
      </c>
      <c r="AJ2" s="78">
        <v>584</v>
      </c>
      <c r="AK2" s="79">
        <v>510</v>
      </c>
      <c r="AL2" s="79">
        <v>482</v>
      </c>
      <c r="AM2" s="79">
        <v>610</v>
      </c>
      <c r="AN2" s="79">
        <v>689</v>
      </c>
      <c r="AO2" s="82">
        <v>1040</v>
      </c>
      <c r="AP2" s="82">
        <v>1123</v>
      </c>
      <c r="AQ2" s="82">
        <v>1155</v>
      </c>
      <c r="AR2" s="82">
        <v>1658</v>
      </c>
      <c r="AS2" s="82">
        <v>1025</v>
      </c>
      <c r="AT2" s="79">
        <v>649</v>
      </c>
      <c r="AU2" s="79">
        <v>573</v>
      </c>
      <c r="AV2" s="79">
        <v>599</v>
      </c>
      <c r="AW2" s="80">
        <v>510</v>
      </c>
      <c r="AX2" s="80">
        <v>458</v>
      </c>
      <c r="AY2" s="80">
        <v>602</v>
      </c>
      <c r="AZ2" s="80">
        <v>708</v>
      </c>
      <c r="BA2" s="80">
        <v>915</v>
      </c>
      <c r="BB2" s="80">
        <v>1089</v>
      </c>
      <c r="BC2" s="85">
        <v>1485</v>
      </c>
      <c r="BD2" s="85">
        <v>1427</v>
      </c>
      <c r="BE2" s="80">
        <v>973</v>
      </c>
      <c r="BF2" s="80">
        <v>779</v>
      </c>
      <c r="BG2" s="80">
        <v>582</v>
      </c>
      <c r="BH2" s="80">
        <v>620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6A05-C6CB-4CFE-907F-D7F056266A56}">
  <dimension ref="B2:I25"/>
  <sheetViews>
    <sheetView workbookViewId="0">
      <selection activeCell="J10" sqref="J10"/>
    </sheetView>
  </sheetViews>
  <sheetFormatPr defaultRowHeight="18"/>
  <cols>
    <col min="7" max="7" width="8.3984375" customWidth="1"/>
  </cols>
  <sheetData>
    <row r="2" spans="2:9">
      <c r="B2" t="s">
        <v>7</v>
      </c>
      <c r="I2" t="s">
        <v>16</v>
      </c>
    </row>
    <row r="3" spans="2:9">
      <c r="B3" s="1" t="s">
        <v>2</v>
      </c>
      <c r="C3" s="1">
        <v>0.25</v>
      </c>
      <c r="E3" s="1" t="s">
        <v>9</v>
      </c>
      <c r="F3">
        <f>1-C3</f>
        <v>0.75</v>
      </c>
    </row>
    <row r="5" spans="2:9">
      <c r="B5" s="2" t="s">
        <v>3</v>
      </c>
      <c r="C5" s="2" t="s">
        <v>8</v>
      </c>
      <c r="D5">
        <v>0</v>
      </c>
      <c r="F5" t="s">
        <v>10</v>
      </c>
    </row>
    <row r="6" spans="2:9">
      <c r="B6">
        <v>1</v>
      </c>
      <c r="C6">
        <f>(1-$C$3)^(B6-1)*$C$3</f>
        <v>0.25</v>
      </c>
      <c r="D6">
        <f>D5+C6</f>
        <v>0.25</v>
      </c>
      <c r="F6">
        <f>$F$3^B6</f>
        <v>0.75</v>
      </c>
      <c r="G6" s="3">
        <f>D6+F6</f>
        <v>1</v>
      </c>
    </row>
    <row r="7" spans="2:9">
      <c r="B7">
        <v>2</v>
      </c>
      <c r="C7">
        <f>(1-$C$3)^(B7-1)*$C$3</f>
        <v>0.1875</v>
      </c>
      <c r="D7">
        <f>D6+C7</f>
        <v>0.4375</v>
      </c>
      <c r="F7">
        <f>$F$3^B7</f>
        <v>0.5625</v>
      </c>
      <c r="G7" s="3">
        <f>D7+F7</f>
        <v>1</v>
      </c>
    </row>
    <row r="8" spans="2:9">
      <c r="B8">
        <v>3</v>
      </c>
      <c r="C8">
        <f t="shared" ref="C8:C25" si="0">(1-$C$3)^(B8-1)*$C$3</f>
        <v>0.140625</v>
      </c>
      <c r="D8">
        <f t="shared" ref="D8:D16" si="1">D7+C8</f>
        <v>0.578125</v>
      </c>
      <c r="F8">
        <f t="shared" ref="F8:F13" si="2">$F$3^B8</f>
        <v>0.421875</v>
      </c>
      <c r="G8" s="3">
        <f t="shared" ref="G8:G13" si="3">D8+F8</f>
        <v>1</v>
      </c>
    </row>
    <row r="9" spans="2:9">
      <c r="B9">
        <v>4</v>
      </c>
      <c r="C9">
        <f t="shared" si="0"/>
        <v>0.10546875</v>
      </c>
      <c r="D9">
        <f t="shared" si="1"/>
        <v>0.68359375</v>
      </c>
      <c r="F9">
        <f t="shared" si="2"/>
        <v>0.31640625</v>
      </c>
      <c r="G9" s="3">
        <f t="shared" si="3"/>
        <v>1</v>
      </c>
    </row>
    <row r="10" spans="2:9">
      <c r="B10">
        <v>5</v>
      </c>
      <c r="C10">
        <f t="shared" si="0"/>
        <v>7.91015625E-2</v>
      </c>
      <c r="D10">
        <f t="shared" si="1"/>
        <v>0.7626953125</v>
      </c>
      <c r="F10">
        <f t="shared" si="2"/>
        <v>0.2373046875</v>
      </c>
      <c r="G10" s="3">
        <f t="shared" si="3"/>
        <v>1</v>
      </c>
    </row>
    <row r="11" spans="2:9">
      <c r="B11">
        <v>6</v>
      </c>
      <c r="C11">
        <f t="shared" si="0"/>
        <v>5.9326171875E-2</v>
      </c>
      <c r="D11">
        <f t="shared" si="1"/>
        <v>0.822021484375</v>
      </c>
      <c r="F11">
        <f t="shared" si="2"/>
        <v>0.177978515625</v>
      </c>
      <c r="G11" s="3">
        <f t="shared" si="3"/>
        <v>1</v>
      </c>
    </row>
    <row r="12" spans="2:9">
      <c r="B12">
        <v>7</v>
      </c>
      <c r="C12">
        <f t="shared" si="0"/>
        <v>4.449462890625E-2</v>
      </c>
      <c r="D12">
        <f t="shared" si="1"/>
        <v>0.86651611328125</v>
      </c>
      <c r="F12">
        <f t="shared" si="2"/>
        <v>0.13348388671875</v>
      </c>
      <c r="G12" s="3">
        <f t="shared" si="3"/>
        <v>1</v>
      </c>
    </row>
    <row r="13" spans="2:9">
      <c r="B13">
        <v>8</v>
      </c>
      <c r="C13">
        <f t="shared" si="0"/>
        <v>3.33709716796875E-2</v>
      </c>
      <c r="D13">
        <f t="shared" si="1"/>
        <v>0.8998870849609375</v>
      </c>
      <c r="F13">
        <f t="shared" si="2"/>
        <v>0.1001129150390625</v>
      </c>
      <c r="G13" s="3">
        <f t="shared" si="3"/>
        <v>1</v>
      </c>
    </row>
    <row r="14" spans="2:9">
      <c r="B14">
        <v>9</v>
      </c>
      <c r="C14">
        <f t="shared" si="0"/>
        <v>2.5028228759765625E-2</v>
      </c>
      <c r="D14">
        <f t="shared" si="1"/>
        <v>0.92491531372070313</v>
      </c>
      <c r="F14">
        <f>$F$3^B14</f>
        <v>7.5084686279296875E-2</v>
      </c>
      <c r="G14" s="3">
        <f>D14+F14</f>
        <v>1</v>
      </c>
    </row>
    <row r="15" spans="2:9">
      <c r="B15">
        <v>10</v>
      </c>
      <c r="C15">
        <f t="shared" si="0"/>
        <v>1.8771171569824219E-2</v>
      </c>
      <c r="D15">
        <f t="shared" si="1"/>
        <v>0.94368648529052734</v>
      </c>
      <c r="F15">
        <f t="shared" ref="F15:F19" si="4">$F$3^B15</f>
        <v>5.6313514709472656E-2</v>
      </c>
      <c r="G15" s="3">
        <f t="shared" ref="G15:G19" si="5">D15+F15</f>
        <v>1</v>
      </c>
    </row>
    <row r="16" spans="2:9">
      <c r="B16">
        <v>11</v>
      </c>
      <c r="C16">
        <f t="shared" si="0"/>
        <v>1.4078378677368164E-2</v>
      </c>
      <c r="D16">
        <f t="shared" si="1"/>
        <v>0.95776486396789551</v>
      </c>
      <c r="F16">
        <f t="shared" si="4"/>
        <v>4.2235136032104492E-2</v>
      </c>
      <c r="G16" s="3">
        <f t="shared" si="5"/>
        <v>1</v>
      </c>
    </row>
    <row r="17" spans="2:7">
      <c r="B17">
        <v>12</v>
      </c>
      <c r="C17">
        <f t="shared" si="0"/>
        <v>1.0558784008026123E-2</v>
      </c>
      <c r="D17">
        <f t="shared" ref="D17:D19" si="6">D16+C17</f>
        <v>0.96832364797592163</v>
      </c>
      <c r="F17">
        <f t="shared" si="4"/>
        <v>3.1676352024078369E-2</v>
      </c>
      <c r="G17" s="3">
        <f t="shared" si="5"/>
        <v>1</v>
      </c>
    </row>
    <row r="18" spans="2:7">
      <c r="B18">
        <v>13</v>
      </c>
      <c r="C18">
        <f t="shared" si="0"/>
        <v>7.9190880060195923E-3</v>
      </c>
      <c r="D18">
        <f t="shared" si="6"/>
        <v>0.97624273598194122</v>
      </c>
      <c r="F18">
        <f t="shared" si="4"/>
        <v>2.3757264018058777E-2</v>
      </c>
      <c r="G18" s="3">
        <f t="shared" si="5"/>
        <v>1</v>
      </c>
    </row>
    <row r="19" spans="2:7">
      <c r="B19">
        <v>14</v>
      </c>
      <c r="C19">
        <f t="shared" si="0"/>
        <v>5.9393160045146942E-3</v>
      </c>
      <c r="D19">
        <f t="shared" si="6"/>
        <v>0.98218205198645592</v>
      </c>
      <c r="F19">
        <f t="shared" si="4"/>
        <v>1.7817948013544083E-2</v>
      </c>
      <c r="G19" s="3">
        <f t="shared" si="5"/>
        <v>1</v>
      </c>
    </row>
    <row r="20" spans="2:7">
      <c r="B20">
        <v>15</v>
      </c>
      <c r="C20">
        <f t="shared" si="0"/>
        <v>4.4544870033860207E-3</v>
      </c>
      <c r="D20">
        <f t="shared" ref="D20:D25" si="7">D19+C20</f>
        <v>0.98663653898984194</v>
      </c>
      <c r="F20">
        <f>$F$3^B20</f>
        <v>1.3363461010158062E-2</v>
      </c>
      <c r="G20" s="3">
        <f>D20+F20</f>
        <v>1</v>
      </c>
    </row>
    <row r="21" spans="2:7">
      <c r="B21">
        <v>16</v>
      </c>
      <c r="C21">
        <f t="shared" si="0"/>
        <v>3.3408652525395155E-3</v>
      </c>
      <c r="D21">
        <f t="shared" si="7"/>
        <v>0.98997740424238145</v>
      </c>
      <c r="F21">
        <f t="shared" ref="F21:F25" si="8">$F$3^B21</f>
        <v>1.0022595757618546E-2</v>
      </c>
      <c r="G21" s="3">
        <f t="shared" ref="G21:G25" si="9">D21+F21</f>
        <v>1</v>
      </c>
    </row>
    <row r="22" spans="2:7">
      <c r="B22">
        <v>17</v>
      </c>
      <c r="C22">
        <f t="shared" si="0"/>
        <v>2.5056489394046366E-3</v>
      </c>
      <c r="D22">
        <f t="shared" si="7"/>
        <v>0.99248305318178609</v>
      </c>
      <c r="F22">
        <f t="shared" si="8"/>
        <v>7.5169468182139099E-3</v>
      </c>
      <c r="G22" s="3">
        <f t="shared" si="9"/>
        <v>1</v>
      </c>
    </row>
    <row r="23" spans="2:7">
      <c r="B23">
        <v>18</v>
      </c>
      <c r="C23">
        <f t="shared" si="0"/>
        <v>1.8792367045534775E-3</v>
      </c>
      <c r="D23">
        <f t="shared" si="7"/>
        <v>0.99436228988633957</v>
      </c>
      <c r="F23">
        <f t="shared" si="8"/>
        <v>5.6377101136604324E-3</v>
      </c>
      <c r="G23" s="3">
        <f t="shared" si="9"/>
        <v>1</v>
      </c>
    </row>
    <row r="24" spans="2:7">
      <c r="B24">
        <v>19</v>
      </c>
      <c r="C24">
        <f t="shared" si="0"/>
        <v>1.4094275284151081E-3</v>
      </c>
      <c r="D24">
        <f t="shared" si="7"/>
        <v>0.99577171741475468</v>
      </c>
      <c r="F24">
        <f t="shared" si="8"/>
        <v>4.2282825852453243E-3</v>
      </c>
      <c r="G24" s="3">
        <f t="shared" si="9"/>
        <v>1</v>
      </c>
    </row>
    <row r="25" spans="2:7">
      <c r="B25">
        <v>20</v>
      </c>
      <c r="C25">
        <f t="shared" si="0"/>
        <v>1.0570706463113311E-3</v>
      </c>
      <c r="D25">
        <f t="shared" si="7"/>
        <v>0.99682878806106601</v>
      </c>
      <c r="F25">
        <f t="shared" si="8"/>
        <v>3.1712119389339932E-3</v>
      </c>
      <c r="G25" s="3">
        <f t="shared" si="9"/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CF05-AD4B-42D5-AA17-DECAD0C4C28D}">
  <dimension ref="A1:I16"/>
  <sheetViews>
    <sheetView workbookViewId="0">
      <selection activeCell="I12" sqref="I12"/>
    </sheetView>
  </sheetViews>
  <sheetFormatPr defaultRowHeight="18"/>
  <sheetData>
    <row r="1" spans="1:9">
      <c r="A1" s="2" t="s">
        <v>23</v>
      </c>
      <c r="B1" s="2" t="s">
        <v>20</v>
      </c>
      <c r="C1" s="2" t="s">
        <v>21</v>
      </c>
      <c r="D1" s="2" t="s">
        <v>22</v>
      </c>
      <c r="E1" s="2"/>
      <c r="F1" s="2" t="s">
        <v>23</v>
      </c>
      <c r="G1" s="2" t="s">
        <v>20</v>
      </c>
      <c r="H1" s="2" t="s">
        <v>21</v>
      </c>
      <c r="I1" s="2" t="s">
        <v>22</v>
      </c>
    </row>
    <row r="2" spans="1:9">
      <c r="A2">
        <v>1</v>
      </c>
      <c r="B2">
        <v>80</v>
      </c>
      <c r="C2">
        <f>B2-$B$13</f>
        <v>5.5</v>
      </c>
      <c r="D2">
        <f>C2^2</f>
        <v>30.25</v>
      </c>
      <c r="F2">
        <v>1</v>
      </c>
      <c r="G2" s="4">
        <v>7</v>
      </c>
      <c r="H2">
        <f>G2-G$13</f>
        <v>-1.0400000000000009</v>
      </c>
      <c r="I2">
        <f>H2^2</f>
        <v>1.0816000000000019</v>
      </c>
    </row>
    <row r="3" spans="1:9">
      <c r="A3">
        <v>2</v>
      </c>
      <c r="B3">
        <v>75</v>
      </c>
      <c r="C3">
        <f t="shared" ref="C3:C11" si="0">B3-$B$13</f>
        <v>0.5</v>
      </c>
      <c r="D3">
        <f t="shared" ref="D3:D11" si="1">C3^2</f>
        <v>0.25</v>
      </c>
      <c r="F3">
        <v>2</v>
      </c>
      <c r="G3" s="4">
        <v>6.2</v>
      </c>
      <c r="H3">
        <f t="shared" ref="H3:H11" si="2">G3-G$13</f>
        <v>-1.8400000000000007</v>
      </c>
      <c r="I3">
        <f t="shared" ref="I3:I11" si="3">H3^2</f>
        <v>3.3856000000000028</v>
      </c>
    </row>
    <row r="4" spans="1:9">
      <c r="A4">
        <v>3</v>
      </c>
      <c r="B4">
        <v>40</v>
      </c>
      <c r="C4">
        <f t="shared" si="0"/>
        <v>-34.5</v>
      </c>
      <c r="D4">
        <f t="shared" si="1"/>
        <v>1190.25</v>
      </c>
      <c r="F4">
        <v>3</v>
      </c>
      <c r="G4" s="4">
        <v>8.3000000000000007</v>
      </c>
      <c r="H4">
        <f t="shared" si="2"/>
        <v>0.25999999999999979</v>
      </c>
      <c r="I4">
        <f t="shared" si="3"/>
        <v>6.7599999999999882E-2</v>
      </c>
    </row>
    <row r="5" spans="1:9">
      <c r="A5">
        <v>4</v>
      </c>
      <c r="B5">
        <v>100</v>
      </c>
      <c r="C5">
        <f t="shared" si="0"/>
        <v>25.5</v>
      </c>
      <c r="D5">
        <f t="shared" si="1"/>
        <v>650.25</v>
      </c>
      <c r="F5">
        <v>4</v>
      </c>
      <c r="G5" s="4">
        <v>10</v>
      </c>
      <c r="H5">
        <f t="shared" si="2"/>
        <v>1.9599999999999991</v>
      </c>
      <c r="I5">
        <f t="shared" si="3"/>
        <v>3.8415999999999966</v>
      </c>
    </row>
    <row r="6" spans="1:9">
      <c r="A6">
        <v>5</v>
      </c>
      <c r="B6">
        <v>95</v>
      </c>
      <c r="C6">
        <f t="shared" si="0"/>
        <v>20.5</v>
      </c>
      <c r="D6">
        <f t="shared" si="1"/>
        <v>420.25</v>
      </c>
      <c r="F6">
        <v>5</v>
      </c>
      <c r="G6" s="4">
        <v>9.1</v>
      </c>
      <c r="H6">
        <f t="shared" si="2"/>
        <v>1.0599999999999987</v>
      </c>
      <c r="I6">
        <f t="shared" si="3"/>
        <v>1.1235999999999973</v>
      </c>
    </row>
    <row r="7" spans="1:9">
      <c r="A7">
        <v>6</v>
      </c>
      <c r="B7">
        <v>55</v>
      </c>
      <c r="C7">
        <f t="shared" si="0"/>
        <v>-19.5</v>
      </c>
      <c r="D7">
        <f t="shared" si="1"/>
        <v>380.25</v>
      </c>
      <c r="F7">
        <v>6</v>
      </c>
      <c r="G7" s="4">
        <v>6.8</v>
      </c>
      <c r="H7">
        <f t="shared" si="2"/>
        <v>-1.2400000000000011</v>
      </c>
      <c r="I7">
        <f t="shared" si="3"/>
        <v>1.5376000000000027</v>
      </c>
    </row>
    <row r="8" spans="1:9">
      <c r="A8">
        <v>7</v>
      </c>
      <c r="B8">
        <v>80</v>
      </c>
      <c r="C8">
        <f t="shared" si="0"/>
        <v>5.5</v>
      </c>
      <c r="D8">
        <f t="shared" si="1"/>
        <v>30.25</v>
      </c>
      <c r="F8">
        <v>7</v>
      </c>
      <c r="G8" s="4">
        <v>7.4</v>
      </c>
      <c r="H8">
        <f t="shared" si="2"/>
        <v>-0.64000000000000057</v>
      </c>
      <c r="I8">
        <f t="shared" si="3"/>
        <v>0.40960000000000074</v>
      </c>
    </row>
    <row r="9" spans="1:9">
      <c r="A9">
        <v>8</v>
      </c>
      <c r="B9">
        <v>85</v>
      </c>
      <c r="C9">
        <f t="shared" si="0"/>
        <v>10.5</v>
      </c>
      <c r="D9">
        <f t="shared" si="1"/>
        <v>110.25</v>
      </c>
      <c r="F9">
        <v>8</v>
      </c>
      <c r="G9" s="4">
        <v>8.5</v>
      </c>
      <c r="H9">
        <f t="shared" si="2"/>
        <v>0.45999999999999908</v>
      </c>
      <c r="I9">
        <f t="shared" si="3"/>
        <v>0.21159999999999915</v>
      </c>
    </row>
    <row r="10" spans="1:9">
      <c r="A10">
        <v>9</v>
      </c>
      <c r="B10">
        <v>70</v>
      </c>
      <c r="C10">
        <f t="shared" si="0"/>
        <v>-4.5</v>
      </c>
      <c r="D10">
        <f t="shared" si="1"/>
        <v>20.25</v>
      </c>
      <c r="F10">
        <v>9</v>
      </c>
      <c r="G10" s="4">
        <v>9.1999999999999993</v>
      </c>
      <c r="H10">
        <f t="shared" si="2"/>
        <v>1.1599999999999984</v>
      </c>
      <c r="I10">
        <f t="shared" si="3"/>
        <v>1.3455999999999961</v>
      </c>
    </row>
    <row r="11" spans="1:9">
      <c r="A11">
        <v>10</v>
      </c>
      <c r="B11">
        <v>65</v>
      </c>
      <c r="C11">
        <f t="shared" si="0"/>
        <v>-9.5</v>
      </c>
      <c r="D11">
        <f t="shared" si="1"/>
        <v>90.25</v>
      </c>
      <c r="F11">
        <v>10</v>
      </c>
      <c r="G11" s="4">
        <v>7.9</v>
      </c>
      <c r="H11">
        <f t="shared" si="2"/>
        <v>-0.14000000000000057</v>
      </c>
      <c r="I11">
        <f t="shared" si="3"/>
        <v>1.9600000000000159E-2</v>
      </c>
    </row>
    <row r="12" spans="1:9">
      <c r="B12">
        <f>SUM(B2:B11)</f>
        <v>745</v>
      </c>
      <c r="D12">
        <f>SUM(D2:D11)</f>
        <v>2922.5</v>
      </c>
      <c r="G12">
        <f>SUM(G2:G11)</f>
        <v>80.400000000000006</v>
      </c>
      <c r="I12">
        <f>SUM(I2:I11)</f>
        <v>13.023999999999997</v>
      </c>
    </row>
    <row r="13" spans="1:9">
      <c r="A13" t="s">
        <v>19</v>
      </c>
      <c r="B13">
        <f>B12/A11</f>
        <v>74.5</v>
      </c>
      <c r="C13" t="s">
        <v>24</v>
      </c>
      <c r="D13">
        <f>D12/A11</f>
        <v>292.25</v>
      </c>
      <c r="F13" t="s">
        <v>19</v>
      </c>
      <c r="G13">
        <f>G12/F11</f>
        <v>8.0400000000000009</v>
      </c>
      <c r="H13" t="s">
        <v>24</v>
      </c>
      <c r="I13">
        <f>I12/F11</f>
        <v>1.3023999999999998</v>
      </c>
    </row>
    <row r="14" spans="1:9">
      <c r="C14" t="s">
        <v>25</v>
      </c>
      <c r="D14" s="4">
        <f>D12/(A11-1)</f>
        <v>324.72222222222223</v>
      </c>
      <c r="H14" t="s">
        <v>25</v>
      </c>
      <c r="I14" s="3">
        <f>I12/(F11-1)</f>
        <v>1.4471111111111108</v>
      </c>
    </row>
    <row r="15" spans="1:9">
      <c r="H15" t="s">
        <v>26</v>
      </c>
      <c r="I15" s="3">
        <f>SQRT(I14)</f>
        <v>1.2029593139882624</v>
      </c>
    </row>
    <row r="16" spans="1:9">
      <c r="H16" t="s">
        <v>27</v>
      </c>
      <c r="I16" s="3">
        <f>I15/SQRT(F11)</f>
        <v>0.38040913647165608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FFF8-0A03-4794-A4F1-8572034B5F92}">
  <dimension ref="A1:E54"/>
  <sheetViews>
    <sheetView zoomScale="85" zoomScaleNormal="85" workbookViewId="0">
      <selection activeCell="B16" sqref="B16"/>
    </sheetView>
  </sheetViews>
  <sheetFormatPr defaultRowHeight="18"/>
  <cols>
    <col min="1" max="1" width="8.796875" style="6"/>
    <col min="2" max="2" width="9.69921875" style="6" bestFit="1" customWidth="1"/>
    <col min="3" max="16384" width="8.796875" style="6"/>
  </cols>
  <sheetData>
    <row r="1" spans="1:5" ht="18.600000000000001" thickBot="1">
      <c r="A1" s="6" t="s">
        <v>54</v>
      </c>
    </row>
    <row r="2" spans="1:5" ht="33" thickBot="1">
      <c r="A2" s="7" t="s">
        <v>38</v>
      </c>
      <c r="B2" s="7" t="s">
        <v>39</v>
      </c>
      <c r="C2" s="7" t="s">
        <v>40</v>
      </c>
    </row>
    <row r="3" spans="1:5" ht="18.600000000000001" thickBot="1">
      <c r="A3" s="5">
        <v>1</v>
      </c>
      <c r="B3" s="5" t="s">
        <v>28</v>
      </c>
      <c r="C3" s="5">
        <v>126</v>
      </c>
    </row>
    <row r="4" spans="1:5" ht="18.600000000000001" thickBot="1">
      <c r="A4" s="5">
        <v>2</v>
      </c>
      <c r="B4" s="5" t="s">
        <v>29</v>
      </c>
      <c r="C4" s="5">
        <v>224</v>
      </c>
    </row>
    <row r="5" spans="1:5" ht="18.600000000000001" thickBot="1">
      <c r="A5" s="5">
        <v>3</v>
      </c>
      <c r="B5" s="5" t="s">
        <v>30</v>
      </c>
      <c r="C5" s="5">
        <v>34</v>
      </c>
    </row>
    <row r="6" spans="1:5" ht="18.600000000000001" thickBot="1">
      <c r="A6" s="5">
        <v>4</v>
      </c>
      <c r="B6" s="5" t="s">
        <v>31</v>
      </c>
      <c r="C6" s="5">
        <v>25</v>
      </c>
    </row>
    <row r="7" spans="1:5" ht="18.600000000000001" thickBot="1">
      <c r="A7" s="5">
        <v>5</v>
      </c>
      <c r="B7" s="5" t="s">
        <v>32</v>
      </c>
      <c r="C7" s="5">
        <v>199</v>
      </c>
    </row>
    <row r="8" spans="1:5" ht="18.600000000000001" thickBot="1">
      <c r="A8" s="5">
        <v>6</v>
      </c>
      <c r="B8" s="5" t="s">
        <v>33</v>
      </c>
      <c r="C8" s="5">
        <v>89</v>
      </c>
    </row>
    <row r="9" spans="1:5" ht="18.600000000000001" thickBot="1">
      <c r="A9" s="5">
        <v>7</v>
      </c>
      <c r="B9" s="5" t="s">
        <v>34</v>
      </c>
      <c r="C9" s="5">
        <v>178</v>
      </c>
    </row>
    <row r="10" spans="1:5" ht="18.600000000000001" thickBot="1">
      <c r="A10" s="5">
        <v>8</v>
      </c>
      <c r="B10" s="5" t="s">
        <v>35</v>
      </c>
      <c r="C10" s="5">
        <v>14</v>
      </c>
      <c r="E10"/>
    </row>
    <row r="11" spans="1:5" ht="18.600000000000001" thickBot="1">
      <c r="A11" s="5">
        <v>9</v>
      </c>
      <c r="B11" s="5" t="s">
        <v>36</v>
      </c>
      <c r="C11" s="5">
        <v>38</v>
      </c>
    </row>
    <row r="12" spans="1:5" ht="18.600000000000001" thickBot="1">
      <c r="A12" s="5">
        <v>10</v>
      </c>
      <c r="B12" s="5" t="s">
        <v>37</v>
      </c>
      <c r="C12" s="5">
        <v>11</v>
      </c>
    </row>
    <row r="13" spans="1:5">
      <c r="B13" s="8" t="s">
        <v>41</v>
      </c>
      <c r="C13" s="6">
        <f>SUM(C3:C12)/A12</f>
        <v>93.8</v>
      </c>
    </row>
    <row r="14" spans="1:5">
      <c r="A14" s="6" t="s">
        <v>53</v>
      </c>
      <c r="B14" s="6" t="s">
        <v>42</v>
      </c>
      <c r="C14" s="6">
        <v>5560</v>
      </c>
    </row>
    <row r="15" spans="1:5">
      <c r="A15" s="6" t="s">
        <v>64</v>
      </c>
      <c r="B15" s="6" t="s">
        <v>43</v>
      </c>
      <c r="C15" s="9">
        <f>SQRT(C14/A12)</f>
        <v>23.57965224510319</v>
      </c>
    </row>
    <row r="16" spans="1:5">
      <c r="B16" s="6" t="s">
        <v>51</v>
      </c>
      <c r="C16" s="6">
        <v>1.96</v>
      </c>
      <c r="E16"/>
    </row>
    <row r="17" spans="1:3">
      <c r="B17" s="6" t="s">
        <v>44</v>
      </c>
      <c r="C17" s="10">
        <f>C16*C15</f>
        <v>46.216118400402252</v>
      </c>
    </row>
    <row r="18" spans="1:3">
      <c r="C18" s="10"/>
    </row>
    <row r="19" spans="1:3">
      <c r="B19" s="6" t="s">
        <v>45</v>
      </c>
      <c r="C19" s="10">
        <f>C13-C17</f>
        <v>47.583881599597746</v>
      </c>
    </row>
    <row r="20" spans="1:3">
      <c r="B20" s="6" t="s">
        <v>46</v>
      </c>
      <c r="C20" s="10">
        <f>C13+C17</f>
        <v>140.01611840040226</v>
      </c>
    </row>
    <row r="22" spans="1:3">
      <c r="A22" s="11" t="s">
        <v>47</v>
      </c>
    </row>
    <row r="23" spans="1:3">
      <c r="A23" s="11" t="s">
        <v>49</v>
      </c>
    </row>
    <row r="24" spans="1:3">
      <c r="A24" s="12" t="s">
        <v>48</v>
      </c>
    </row>
    <row r="25" spans="1:3" ht="18.600000000000001" thickBot="1">
      <c r="A25" s="11"/>
    </row>
    <row r="26" spans="1:3" ht="18.600000000000001" thickBot="1">
      <c r="A26" s="5">
        <v>100</v>
      </c>
      <c r="B26" s="5" t="s">
        <v>1</v>
      </c>
      <c r="C26" s="5"/>
    </row>
    <row r="27" spans="1:3">
      <c r="B27" s="8" t="s">
        <v>41</v>
      </c>
      <c r="C27" s="6">
        <v>172</v>
      </c>
    </row>
    <row r="28" spans="1:3">
      <c r="B28" s="6" t="s">
        <v>42</v>
      </c>
      <c r="C28" s="6">
        <f>5.5^2</f>
        <v>30.25</v>
      </c>
    </row>
    <row r="29" spans="1:3">
      <c r="B29" s="6" t="s">
        <v>43</v>
      </c>
      <c r="C29" s="9">
        <f>SQRT(C28/A26)</f>
        <v>0.55000000000000004</v>
      </c>
    </row>
    <row r="30" spans="1:3">
      <c r="B30" s="6" t="s">
        <v>51</v>
      </c>
      <c r="C30" s="6">
        <v>1.96</v>
      </c>
    </row>
    <row r="31" spans="1:3">
      <c r="B31" s="6" t="s">
        <v>44</v>
      </c>
      <c r="C31" s="10">
        <f>C30*C29</f>
        <v>1.0780000000000001</v>
      </c>
    </row>
    <row r="32" spans="1:3">
      <c r="C32" s="10"/>
    </row>
    <row r="33" spans="1:3">
      <c r="B33" s="6" t="s">
        <v>45</v>
      </c>
      <c r="C33" s="10">
        <f>C27-C31</f>
        <v>170.922</v>
      </c>
    </row>
    <row r="34" spans="1:3">
      <c r="B34" s="6" t="s">
        <v>46</v>
      </c>
      <c r="C34" s="10">
        <f>C27+C31</f>
        <v>173.078</v>
      </c>
    </row>
    <row r="35" spans="1:3" ht="18.600000000000001" thickBot="1"/>
    <row r="36" spans="1:3" ht="18.600000000000001" thickBot="1">
      <c r="A36" s="5">
        <v>100</v>
      </c>
      <c r="B36" s="5" t="s">
        <v>1</v>
      </c>
      <c r="C36" s="5"/>
    </row>
    <row r="37" spans="1:3">
      <c r="B37" s="8" t="s">
        <v>41</v>
      </c>
      <c r="C37" s="6">
        <v>67</v>
      </c>
    </row>
    <row r="38" spans="1:3">
      <c r="B38" s="6" t="s">
        <v>42</v>
      </c>
      <c r="C38" s="6">
        <f>9^2</f>
        <v>81</v>
      </c>
    </row>
    <row r="39" spans="1:3">
      <c r="B39" s="6" t="s">
        <v>43</v>
      </c>
      <c r="C39" s="9">
        <f>SQRT(C38/A36)</f>
        <v>0.9</v>
      </c>
    </row>
    <row r="40" spans="1:3">
      <c r="B40" s="6" t="s">
        <v>50</v>
      </c>
      <c r="C40" s="6">
        <v>1.64</v>
      </c>
    </row>
    <row r="41" spans="1:3">
      <c r="B41" s="6" t="s">
        <v>44</v>
      </c>
      <c r="C41" s="10">
        <f>C40*C39</f>
        <v>1.476</v>
      </c>
    </row>
    <row r="42" spans="1:3">
      <c r="C42" s="10"/>
    </row>
    <row r="43" spans="1:3">
      <c r="B43" s="6" t="s">
        <v>45</v>
      </c>
      <c r="C43" s="10">
        <f>C37-C41</f>
        <v>65.524000000000001</v>
      </c>
    </row>
    <row r="44" spans="1:3">
      <c r="B44" s="6" t="s">
        <v>46</v>
      </c>
      <c r="C44" s="10">
        <f>C37+C41</f>
        <v>68.475999999999999</v>
      </c>
    </row>
    <row r="45" spans="1:3" ht="18.600000000000001" thickBot="1"/>
    <row r="46" spans="1:3" ht="18.600000000000001" thickBot="1">
      <c r="A46" s="5">
        <v>100</v>
      </c>
      <c r="B46" s="5" t="s">
        <v>1</v>
      </c>
      <c r="C46" s="5"/>
    </row>
    <row r="47" spans="1:3">
      <c r="B47" s="8" t="s">
        <v>41</v>
      </c>
      <c r="C47" s="6">
        <v>49</v>
      </c>
    </row>
    <row r="48" spans="1:3">
      <c r="B48" s="6" t="s">
        <v>42</v>
      </c>
      <c r="C48" s="6">
        <f>6^2</f>
        <v>36</v>
      </c>
    </row>
    <row r="49" spans="2:3">
      <c r="B49" s="6" t="s">
        <v>43</v>
      </c>
      <c r="C49" s="9">
        <f>SQRT(C48/A46)</f>
        <v>0.6</v>
      </c>
    </row>
    <row r="50" spans="2:3">
      <c r="B50" s="6" t="s">
        <v>52</v>
      </c>
      <c r="C50" s="6">
        <v>2.58</v>
      </c>
    </row>
    <row r="51" spans="2:3">
      <c r="B51" s="6" t="s">
        <v>44</v>
      </c>
      <c r="C51" s="10">
        <f>C50*C49</f>
        <v>1.548</v>
      </c>
    </row>
    <row r="52" spans="2:3">
      <c r="C52" s="10"/>
    </row>
    <row r="53" spans="2:3">
      <c r="B53" s="6" t="s">
        <v>45</v>
      </c>
      <c r="C53" s="10">
        <f>C47-C51</f>
        <v>47.451999999999998</v>
      </c>
    </row>
    <row r="54" spans="2:3">
      <c r="B54" s="6" t="s">
        <v>46</v>
      </c>
      <c r="C54" s="10">
        <f>C47+C51</f>
        <v>50.548000000000002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415C-A114-484C-A527-9FFB1471A3E4}">
  <dimension ref="A1:M39"/>
  <sheetViews>
    <sheetView topLeftCell="A19" zoomScale="85" zoomScaleNormal="85" workbookViewId="0">
      <selection activeCell="C27" sqref="C27"/>
    </sheetView>
  </sheetViews>
  <sheetFormatPr defaultRowHeight="18"/>
  <cols>
    <col min="1" max="1" width="8.796875" style="6"/>
    <col min="2" max="2" width="10.796875" style="6" bestFit="1" customWidth="1"/>
    <col min="3" max="3" width="8.796875" style="6"/>
    <col min="4" max="4" width="10.5" style="6" bestFit="1" customWidth="1"/>
    <col min="5" max="16384" width="8.796875" style="6"/>
  </cols>
  <sheetData>
    <row r="1" spans="1:8" ht="18.600000000000001" thickBot="1">
      <c r="A1" s="6" t="s">
        <v>54</v>
      </c>
    </row>
    <row r="2" spans="1:8" ht="33" thickBot="1">
      <c r="A2" s="13" t="s">
        <v>38</v>
      </c>
      <c r="B2" s="13" t="s">
        <v>55</v>
      </c>
      <c r="C2" s="13" t="s">
        <v>58</v>
      </c>
      <c r="D2" s="13" t="s">
        <v>59</v>
      </c>
    </row>
    <row r="3" spans="1:8" ht="18.600000000000001" thickBot="1">
      <c r="A3" s="14">
        <v>1</v>
      </c>
      <c r="B3" s="5">
        <v>100.2</v>
      </c>
      <c r="C3" s="5">
        <f>B3-B$13</f>
        <v>0.17000000000000171</v>
      </c>
      <c r="D3" s="6">
        <f>C3^2</f>
        <v>2.8900000000000581E-2</v>
      </c>
    </row>
    <row r="4" spans="1:8" ht="18.600000000000001" thickBot="1">
      <c r="A4" s="14">
        <v>2</v>
      </c>
      <c r="B4" s="5">
        <v>101.5</v>
      </c>
      <c r="C4" s="5">
        <f t="shared" ref="C4:C12" si="0">B4-B$13</f>
        <v>1.4699999999999989</v>
      </c>
      <c r="D4" s="6">
        <f t="shared" ref="D4:D12" si="1">C4^2</f>
        <v>2.1608999999999967</v>
      </c>
    </row>
    <row r="5" spans="1:8" ht="18.600000000000001" thickBot="1">
      <c r="A5" s="14">
        <v>3</v>
      </c>
      <c r="B5" s="5">
        <v>98</v>
      </c>
      <c r="C5" s="5">
        <f t="shared" si="0"/>
        <v>-2.0300000000000011</v>
      </c>
      <c r="D5" s="6">
        <f t="shared" si="1"/>
        <v>4.1209000000000042</v>
      </c>
    </row>
    <row r="6" spans="1:8" ht="18.600000000000001" thickBot="1">
      <c r="A6" s="14">
        <v>4</v>
      </c>
      <c r="B6" s="5">
        <v>100.1</v>
      </c>
      <c r="C6" s="5">
        <f t="shared" si="0"/>
        <v>6.9999999999993179E-2</v>
      </c>
      <c r="D6" s="6">
        <f t="shared" si="1"/>
        <v>4.8999999999990449E-3</v>
      </c>
    </row>
    <row r="7" spans="1:8" ht="18.600000000000001" thickBot="1">
      <c r="A7" s="14">
        <v>5</v>
      </c>
      <c r="B7" s="5">
        <v>100.9</v>
      </c>
      <c r="C7" s="5">
        <f t="shared" si="0"/>
        <v>0.87000000000000455</v>
      </c>
      <c r="D7" s="6">
        <f t="shared" si="1"/>
        <v>0.7569000000000079</v>
      </c>
    </row>
    <row r="8" spans="1:8" ht="18.600000000000001" thickBot="1">
      <c r="A8" s="14">
        <v>6</v>
      </c>
      <c r="B8" s="5">
        <v>99.6</v>
      </c>
      <c r="C8" s="5">
        <f t="shared" si="0"/>
        <v>-0.43000000000000682</v>
      </c>
      <c r="D8" s="6">
        <f t="shared" si="1"/>
        <v>0.18490000000000587</v>
      </c>
    </row>
    <row r="9" spans="1:8" ht="18.600000000000001" thickBot="1">
      <c r="A9" s="14">
        <v>7</v>
      </c>
      <c r="B9" s="5">
        <v>98.6</v>
      </c>
      <c r="C9" s="5">
        <f t="shared" si="0"/>
        <v>-1.4300000000000068</v>
      </c>
      <c r="D9" s="6">
        <f t="shared" si="1"/>
        <v>2.0449000000000197</v>
      </c>
      <c r="H9"/>
    </row>
    <row r="10" spans="1:8" ht="18.600000000000001" thickBot="1">
      <c r="A10" s="14">
        <v>8</v>
      </c>
      <c r="B10" s="5">
        <v>102.1</v>
      </c>
      <c r="C10" s="5">
        <f t="shared" si="0"/>
        <v>2.0699999999999932</v>
      </c>
      <c r="D10" s="6">
        <f t="shared" si="1"/>
        <v>4.284899999999972</v>
      </c>
      <c r="E10"/>
    </row>
    <row r="11" spans="1:8" ht="18.600000000000001" thickBot="1">
      <c r="A11" s="14">
        <v>9</v>
      </c>
      <c r="B11" s="5">
        <v>101.4</v>
      </c>
      <c r="C11" s="5">
        <f t="shared" si="0"/>
        <v>1.3700000000000045</v>
      </c>
      <c r="D11" s="6">
        <f t="shared" si="1"/>
        <v>1.8769000000000124</v>
      </c>
    </row>
    <row r="12" spans="1:8" ht="18.600000000000001" thickBot="1">
      <c r="A12" s="14">
        <v>10</v>
      </c>
      <c r="B12" s="5">
        <v>97.9</v>
      </c>
      <c r="C12" s="5">
        <f t="shared" si="0"/>
        <v>-2.1299999999999955</v>
      </c>
      <c r="D12" s="6">
        <f t="shared" si="1"/>
        <v>4.5368999999999806</v>
      </c>
    </row>
    <row r="13" spans="1:8">
      <c r="A13" s="8" t="s">
        <v>41</v>
      </c>
      <c r="B13" s="6">
        <f>SUM(B3:B12)/A12</f>
        <v>100.03</v>
      </c>
      <c r="C13" s="16" t="s">
        <v>62</v>
      </c>
      <c r="D13" s="6">
        <f>SUM(D3:D12)</f>
        <v>20.001000000000001</v>
      </c>
    </row>
    <row r="14" spans="1:8">
      <c r="B14" s="6" t="s">
        <v>56</v>
      </c>
      <c r="C14" s="16" t="s">
        <v>57</v>
      </c>
      <c r="D14" s="15">
        <f>D13/(A12-1)</f>
        <v>2.2223333333333333</v>
      </c>
      <c r="E14" s="17" t="s">
        <v>63</v>
      </c>
    </row>
    <row r="15" spans="1:8">
      <c r="B15" s="6" t="s">
        <v>64</v>
      </c>
      <c r="C15" s="16" t="s">
        <v>60</v>
      </c>
      <c r="D15" s="9">
        <f>SQRT(D14/A12)</f>
        <v>0.47141630575674126</v>
      </c>
    </row>
    <row r="16" spans="1:8">
      <c r="C16" s="16" t="s">
        <v>61</v>
      </c>
      <c r="D16" s="6">
        <v>2.262</v>
      </c>
      <c r="E16" t="s">
        <v>65</v>
      </c>
    </row>
    <row r="17" spans="1:13">
      <c r="C17" s="16" t="s">
        <v>44</v>
      </c>
      <c r="D17" s="15">
        <f>D16*D15</f>
        <v>1.0663436836217488</v>
      </c>
    </row>
    <row r="18" spans="1:13">
      <c r="C18" s="10"/>
      <c r="I18"/>
    </row>
    <row r="19" spans="1:13">
      <c r="C19" s="6" t="s">
        <v>45</v>
      </c>
      <c r="D19" s="15">
        <f>B13-D17</f>
        <v>98.963656316378248</v>
      </c>
    </row>
    <row r="20" spans="1:13">
      <c r="C20" s="6" t="s">
        <v>46</v>
      </c>
      <c r="D20" s="15">
        <f>B13+D17</f>
        <v>101.09634368362175</v>
      </c>
    </row>
    <row r="21" spans="1:13">
      <c r="K21"/>
    </row>
    <row r="22" spans="1:13">
      <c r="A22" s="11" t="s">
        <v>47</v>
      </c>
    </row>
    <row r="23" spans="1:13">
      <c r="A23" s="11" t="s">
        <v>49</v>
      </c>
      <c r="L23" s="6" t="s">
        <v>66</v>
      </c>
    </row>
    <row r="24" spans="1:13">
      <c r="A24" s="12" t="s">
        <v>48</v>
      </c>
      <c r="L24" s="6" t="s">
        <v>67</v>
      </c>
      <c r="M24"/>
    </row>
    <row r="25" spans="1:13">
      <c r="A25" s="11"/>
      <c r="L25" s="6" t="s">
        <v>69</v>
      </c>
      <c r="M25"/>
    </row>
    <row r="26" spans="1:13" ht="18.600000000000001" thickBot="1">
      <c r="A26" s="11"/>
    </row>
    <row r="27" spans="1:13" ht="18.600000000000001" thickBot="1">
      <c r="A27" s="14">
        <v>1</v>
      </c>
      <c r="B27" s="5">
        <v>80</v>
      </c>
      <c r="C27" s="5">
        <f>B27-B$32</f>
        <v>-1</v>
      </c>
      <c r="D27" s="6">
        <f>C27^2</f>
        <v>1</v>
      </c>
    </row>
    <row r="28" spans="1:13" ht="18.600000000000001" thickBot="1">
      <c r="A28" s="14">
        <v>2</v>
      </c>
      <c r="B28" s="5">
        <v>95</v>
      </c>
      <c r="C28" s="5">
        <f t="shared" ref="C28:C31" si="2">B28-B$32</f>
        <v>14</v>
      </c>
      <c r="D28" s="6">
        <f>C28^2</f>
        <v>196</v>
      </c>
    </row>
    <row r="29" spans="1:13" ht="18.600000000000001" thickBot="1">
      <c r="A29" s="14">
        <v>3</v>
      </c>
      <c r="B29" s="5">
        <v>60</v>
      </c>
      <c r="C29" s="5">
        <f t="shared" si="2"/>
        <v>-21</v>
      </c>
      <c r="D29" s="6">
        <f t="shared" ref="D29:D31" si="3">C29^2</f>
        <v>441</v>
      </c>
      <c r="L29" s="6" t="s">
        <v>68</v>
      </c>
    </row>
    <row r="30" spans="1:13" ht="18.600000000000001" thickBot="1">
      <c r="A30" s="14">
        <v>4</v>
      </c>
      <c r="B30" s="5">
        <v>70</v>
      </c>
      <c r="C30" s="5">
        <f t="shared" si="2"/>
        <v>-11</v>
      </c>
      <c r="D30" s="6">
        <f t="shared" si="3"/>
        <v>121</v>
      </c>
      <c r="L30" s="6" t="s">
        <v>70</v>
      </c>
    </row>
    <row r="31" spans="1:13" ht="18.600000000000001" thickBot="1">
      <c r="A31" s="14">
        <v>5</v>
      </c>
      <c r="B31" s="5">
        <v>100</v>
      </c>
      <c r="C31" s="5">
        <f t="shared" si="2"/>
        <v>19</v>
      </c>
      <c r="D31" s="6">
        <f t="shared" si="3"/>
        <v>361</v>
      </c>
    </row>
    <row r="32" spans="1:13">
      <c r="A32" s="8" t="s">
        <v>41</v>
      </c>
      <c r="B32" s="6">
        <f>SUM(B27:B31)/A31</f>
        <v>81</v>
      </c>
      <c r="C32" s="16" t="s">
        <v>62</v>
      </c>
      <c r="D32" s="6">
        <f>SUM(D27:D31)</f>
        <v>1120</v>
      </c>
    </row>
    <row r="33" spans="2:13">
      <c r="B33" s="6" t="s">
        <v>56</v>
      </c>
      <c r="C33" s="16" t="s">
        <v>57</v>
      </c>
      <c r="D33" s="15">
        <f>D32/(A31-1)</f>
        <v>280</v>
      </c>
      <c r="M33"/>
    </row>
    <row r="34" spans="2:13">
      <c r="B34" s="6" t="s">
        <v>64</v>
      </c>
      <c r="C34" s="16" t="s">
        <v>60</v>
      </c>
      <c r="D34" s="9">
        <f>SQRT(D33/A31)</f>
        <v>7.4833147735478827</v>
      </c>
      <c r="L34" s="6" t="s">
        <v>69</v>
      </c>
    </row>
    <row r="35" spans="2:13">
      <c r="C35" s="16" t="s">
        <v>61</v>
      </c>
      <c r="D35" s="6">
        <v>2.7759999999999998</v>
      </c>
    </row>
    <row r="36" spans="2:13">
      <c r="C36" s="16" t="s">
        <v>44</v>
      </c>
      <c r="D36" s="15">
        <f>D35*D34</f>
        <v>20.77368181136892</v>
      </c>
    </row>
    <row r="37" spans="2:13">
      <c r="C37" s="10"/>
    </row>
    <row r="38" spans="2:13">
      <c r="C38" s="6" t="s">
        <v>45</v>
      </c>
      <c r="D38" s="15">
        <f>B32-D36</f>
        <v>60.226318188631083</v>
      </c>
    </row>
    <row r="39" spans="2:13">
      <c r="C39" s="6" t="s">
        <v>46</v>
      </c>
      <c r="D39" s="15">
        <f>B32+D36</f>
        <v>101.77368181136892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A902-770E-41B9-88D1-E861074BBE49}">
  <dimension ref="A1:E44"/>
  <sheetViews>
    <sheetView workbookViewId="0">
      <selection activeCell="D20" sqref="D20"/>
    </sheetView>
  </sheetViews>
  <sheetFormatPr defaultRowHeight="18"/>
  <cols>
    <col min="3" max="3" width="7.796875" customWidth="1"/>
    <col min="4" max="4" width="9" customWidth="1"/>
  </cols>
  <sheetData>
    <row r="1" spans="1:5" ht="18.600000000000001" thickBot="1">
      <c r="A1" s="13" t="s">
        <v>38</v>
      </c>
      <c r="B1" s="13" t="s">
        <v>97</v>
      </c>
      <c r="C1" s="2" t="s">
        <v>85</v>
      </c>
      <c r="D1" s="2" t="s">
        <v>86</v>
      </c>
    </row>
    <row r="2" spans="1:5" ht="18.600000000000001" thickBot="1">
      <c r="A2" s="14">
        <v>1</v>
      </c>
      <c r="B2" s="27">
        <v>632.9</v>
      </c>
      <c r="C2" s="29">
        <f>B2-$B$12</f>
        <v>-0.29000000000007731</v>
      </c>
      <c r="D2" s="28">
        <f>C2^2</f>
        <v>8.4100000000044833E-2</v>
      </c>
    </row>
    <row r="3" spans="1:5" ht="18.600000000000001" thickBot="1">
      <c r="A3" s="14">
        <v>2</v>
      </c>
      <c r="B3" s="27">
        <v>633.1</v>
      </c>
      <c r="C3" s="29">
        <f t="shared" ref="C3:C11" si="0">B3-$B$12</f>
        <v>-9.0000000000031832E-2</v>
      </c>
      <c r="D3" s="28">
        <f t="shared" ref="D3:D11" si="1">C3^2</f>
        <v>8.1000000000057294E-3</v>
      </c>
    </row>
    <row r="4" spans="1:5" ht="18.600000000000001" thickBot="1">
      <c r="A4" s="14">
        <v>3</v>
      </c>
      <c r="B4" s="27">
        <v>633.20000000000005</v>
      </c>
      <c r="C4" s="29">
        <f t="shared" si="0"/>
        <v>9.9999999999909051E-3</v>
      </c>
      <c r="D4" s="28">
        <f t="shared" si="1"/>
        <v>9.9999999999818103E-5</v>
      </c>
    </row>
    <row r="5" spans="1:5" ht="18.600000000000001" thickBot="1">
      <c r="A5" s="14">
        <v>4</v>
      </c>
      <c r="B5" s="27">
        <v>632.29999999999995</v>
      </c>
      <c r="C5" s="29">
        <f t="shared" si="0"/>
        <v>-0.89000000000010004</v>
      </c>
      <c r="D5" s="28">
        <f t="shared" si="1"/>
        <v>0.79210000000017811</v>
      </c>
    </row>
    <row r="6" spans="1:5" ht="18.600000000000001" thickBot="1">
      <c r="A6" s="14">
        <v>5</v>
      </c>
      <c r="B6" s="27">
        <v>633.1</v>
      </c>
      <c r="C6" s="29">
        <f t="shared" si="0"/>
        <v>-9.0000000000031832E-2</v>
      </c>
      <c r="D6" s="28">
        <f t="shared" si="1"/>
        <v>8.1000000000057294E-3</v>
      </c>
    </row>
    <row r="7" spans="1:5" ht="18.600000000000001" thickBot="1">
      <c r="A7" s="14">
        <v>6</v>
      </c>
      <c r="B7" s="27">
        <v>634.70000000000005</v>
      </c>
      <c r="C7" s="29">
        <f t="shared" si="0"/>
        <v>1.5099999999999909</v>
      </c>
      <c r="D7" s="28">
        <f t="shared" si="1"/>
        <v>2.2800999999999725</v>
      </c>
    </row>
    <row r="8" spans="1:5" ht="18.600000000000001" thickBot="1">
      <c r="A8" s="14">
        <v>7</v>
      </c>
      <c r="B8" s="27">
        <v>633.6</v>
      </c>
      <c r="C8" s="29">
        <f t="shared" si="0"/>
        <v>0.40999999999996817</v>
      </c>
      <c r="D8" s="28">
        <f t="shared" si="1"/>
        <v>0.16809999999997391</v>
      </c>
    </row>
    <row r="9" spans="1:5" ht="18.600000000000001" thickBot="1">
      <c r="A9" s="14">
        <v>8</v>
      </c>
      <c r="B9" s="27">
        <v>633</v>
      </c>
      <c r="C9" s="29">
        <f t="shared" si="0"/>
        <v>-0.19000000000005457</v>
      </c>
      <c r="D9" s="28">
        <f t="shared" si="1"/>
        <v>3.6100000000020734E-2</v>
      </c>
    </row>
    <row r="10" spans="1:5" ht="18.600000000000001" thickBot="1">
      <c r="A10" s="14">
        <v>9</v>
      </c>
      <c r="B10" s="27">
        <v>632.4</v>
      </c>
      <c r="C10" s="29">
        <f t="shared" si="0"/>
        <v>-0.79000000000007731</v>
      </c>
      <c r="D10" s="28">
        <f t="shared" si="1"/>
        <v>0.62410000000012211</v>
      </c>
    </row>
    <row r="11" spans="1:5" ht="18.600000000000001" thickBot="1">
      <c r="A11" s="14">
        <v>10</v>
      </c>
      <c r="B11" s="27">
        <v>633.6</v>
      </c>
      <c r="C11" s="29">
        <f t="shared" si="0"/>
        <v>0.40999999999996817</v>
      </c>
      <c r="D11" s="28">
        <f t="shared" si="1"/>
        <v>0.16809999999997391</v>
      </c>
    </row>
    <row r="12" spans="1:5">
      <c r="A12" s="1" t="s">
        <v>84</v>
      </c>
      <c r="B12">
        <f>SUM(B2:B11)/A11</f>
        <v>633.19000000000005</v>
      </c>
      <c r="C12" s="1" t="s">
        <v>62</v>
      </c>
      <c r="D12" s="28">
        <f>SUM(D2:D11)</f>
        <v>4.1690000000002971</v>
      </c>
    </row>
    <row r="13" spans="1:5">
      <c r="C13" s="1" t="s">
        <v>57</v>
      </c>
      <c r="D13" s="28">
        <f>D12/(A11-1)</f>
        <v>0.46322222222225523</v>
      </c>
    </row>
    <row r="14" spans="1:5">
      <c r="C14" s="16" t="s">
        <v>60</v>
      </c>
      <c r="D14" s="9">
        <f>SQRT(D13/A11)</f>
        <v>0.21522597943144672</v>
      </c>
    </row>
    <row r="15" spans="1:5">
      <c r="C15" s="1" t="s">
        <v>61</v>
      </c>
      <c r="D15" s="11">
        <v>1.833</v>
      </c>
      <c r="E15" t="s">
        <v>100</v>
      </c>
    </row>
    <row r="16" spans="1:5">
      <c r="C16" s="1" t="s">
        <v>98</v>
      </c>
      <c r="D16">
        <v>633</v>
      </c>
    </row>
    <row r="17" spans="2:5">
      <c r="C17" s="1" t="s">
        <v>99</v>
      </c>
      <c r="D17">
        <f>(B12-D16)/D14</f>
        <v>0.88279305547578157</v>
      </c>
    </row>
    <row r="19" spans="2:5" ht="18.600000000000001" thickBot="1"/>
    <row r="20" spans="2:5" ht="18.600000000000001" thickBot="1">
      <c r="B20" t="s">
        <v>109</v>
      </c>
      <c r="C20" s="1" t="s">
        <v>1</v>
      </c>
      <c r="D20" s="14">
        <v>20</v>
      </c>
    </row>
    <row r="21" spans="2:5">
      <c r="C21" s="1" t="s">
        <v>84</v>
      </c>
      <c r="D21">
        <v>25.29</v>
      </c>
    </row>
    <row r="22" spans="2:5">
      <c r="C22" s="1" t="s">
        <v>57</v>
      </c>
      <c r="D22" s="28">
        <v>2.23</v>
      </c>
    </row>
    <row r="23" spans="2:5">
      <c r="C23" s="16" t="s">
        <v>60</v>
      </c>
      <c r="D23" s="9">
        <f>SQRT(D22/D20)</f>
        <v>0.33391615714127998</v>
      </c>
    </row>
    <row r="24" spans="2:5">
      <c r="C24" s="1" t="s">
        <v>61</v>
      </c>
      <c r="D24" s="9">
        <v>2.093</v>
      </c>
      <c r="E24" t="s">
        <v>101</v>
      </c>
    </row>
    <row r="25" spans="2:5">
      <c r="C25" s="1" t="s">
        <v>98</v>
      </c>
      <c r="D25">
        <v>25.5</v>
      </c>
    </row>
    <row r="26" spans="2:5">
      <c r="C26" s="1" t="s">
        <v>99</v>
      </c>
      <c r="D26">
        <f>(D21-D25)/D23</f>
        <v>-0.62890038564725637</v>
      </c>
    </row>
    <row r="27" spans="2:5" ht="18.600000000000001" thickBot="1"/>
    <row r="28" spans="2:5" ht="18.600000000000001" thickBot="1">
      <c r="B28" t="s">
        <v>108</v>
      </c>
      <c r="C28" s="1" t="s">
        <v>1</v>
      </c>
      <c r="D28" s="14">
        <v>10</v>
      </c>
    </row>
    <row r="29" spans="2:5">
      <c r="C29" s="1" t="s">
        <v>84</v>
      </c>
      <c r="D29">
        <v>25</v>
      </c>
    </row>
    <row r="30" spans="2:5">
      <c r="C30" s="1" t="s">
        <v>57</v>
      </c>
      <c r="D30" s="29">
        <v>9</v>
      </c>
    </row>
    <row r="31" spans="2:5">
      <c r="C31" s="16" t="s">
        <v>60</v>
      </c>
      <c r="D31" s="9">
        <f>SQRT(D30/D28)</f>
        <v>0.94868329805051377</v>
      </c>
    </row>
    <row r="32" spans="2:5">
      <c r="C32" s="1" t="s">
        <v>61</v>
      </c>
      <c r="D32" s="9">
        <v>1.833</v>
      </c>
      <c r="E32" t="s">
        <v>100</v>
      </c>
    </row>
    <row r="33" spans="2:5">
      <c r="C33" s="1" t="s">
        <v>98</v>
      </c>
      <c r="D33">
        <v>21</v>
      </c>
    </row>
    <row r="34" spans="2:5">
      <c r="C34" s="1" t="s">
        <v>99</v>
      </c>
      <c r="D34">
        <f>(D29-D33)/D31</f>
        <v>4.2163702135578394</v>
      </c>
    </row>
    <row r="36" spans="2:5" ht="18.600000000000001" thickBot="1">
      <c r="B36" t="s">
        <v>107</v>
      </c>
      <c r="D36" s="2" t="s">
        <v>102</v>
      </c>
      <c r="E36" s="2" t="s">
        <v>103</v>
      </c>
    </row>
    <row r="37" spans="2:5" ht="18.600000000000001" thickBot="1">
      <c r="C37" s="1" t="s">
        <v>1</v>
      </c>
      <c r="D37" s="5">
        <v>10</v>
      </c>
      <c r="E37" s="30">
        <v>8</v>
      </c>
    </row>
    <row r="38" spans="2:5">
      <c r="C38" s="1" t="s">
        <v>84</v>
      </c>
      <c r="D38" s="30">
        <v>93</v>
      </c>
      <c r="E38" s="30">
        <v>87</v>
      </c>
    </row>
    <row r="39" spans="2:5">
      <c r="C39" s="1" t="s">
        <v>57</v>
      </c>
      <c r="D39" s="29">
        <v>13.7</v>
      </c>
      <c r="E39">
        <v>15.2</v>
      </c>
    </row>
    <row r="40" spans="2:5">
      <c r="C40" s="1" t="s">
        <v>105</v>
      </c>
      <c r="D40" s="29">
        <f>((D37-1)*D39+(E37-1)*E39)/(D37+E37-2)</f>
        <v>14.356249999999999</v>
      </c>
    </row>
    <row r="41" spans="2:5">
      <c r="C41" s="16" t="s">
        <v>104</v>
      </c>
      <c r="D41" s="9">
        <f>SQRT(D40*(1/D37+1/E37))</f>
        <v>1.7972635449482639</v>
      </c>
    </row>
    <row r="42" spans="2:5">
      <c r="C42" s="1" t="s">
        <v>106</v>
      </c>
      <c r="D42" s="9">
        <v>2.12</v>
      </c>
      <c r="E42" t="s">
        <v>101</v>
      </c>
    </row>
    <row r="43" spans="2:5">
      <c r="C43" s="1"/>
    </row>
    <row r="44" spans="2:5">
      <c r="C44" s="1" t="s">
        <v>99</v>
      </c>
      <c r="D44">
        <f>(D38-E38)/D41</f>
        <v>3.3384085583134198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F4F1-2237-485F-AF04-5122F72E055E}">
  <dimension ref="A1:G50"/>
  <sheetViews>
    <sheetView workbookViewId="0">
      <selection activeCell="B44" sqref="B44"/>
    </sheetView>
  </sheetViews>
  <sheetFormatPr defaultRowHeight="18"/>
  <cols>
    <col min="2" max="2" width="11.69921875" bestFit="1" customWidth="1"/>
  </cols>
  <sheetData>
    <row r="1" spans="1:7">
      <c r="B1" t="s">
        <v>72</v>
      </c>
    </row>
    <row r="2" spans="1:7">
      <c r="A2" t="s">
        <v>71</v>
      </c>
      <c r="B2">
        <v>100</v>
      </c>
    </row>
    <row r="3" spans="1:7">
      <c r="A3" t="s">
        <v>73</v>
      </c>
      <c r="B3">
        <v>0.1</v>
      </c>
      <c r="G3" t="s">
        <v>78</v>
      </c>
    </row>
    <row r="5" spans="1:7">
      <c r="A5" t="s">
        <v>77</v>
      </c>
      <c r="B5">
        <v>0.95</v>
      </c>
    </row>
    <row r="6" spans="1:7">
      <c r="B6">
        <v>1.96</v>
      </c>
    </row>
    <row r="7" spans="1:7">
      <c r="A7" t="s">
        <v>74</v>
      </c>
      <c r="B7" s="3">
        <f>B3-B6*SQRT(B3*(1-B3)/B2)</f>
        <v>4.1200000000000001E-2</v>
      </c>
    </row>
    <row r="8" spans="1:7">
      <c r="A8" t="s">
        <v>75</v>
      </c>
      <c r="B8" s="3">
        <f>B3</f>
        <v>0.1</v>
      </c>
    </row>
    <row r="9" spans="1:7">
      <c r="A9" t="s">
        <v>76</v>
      </c>
      <c r="B9" s="3">
        <f>B3+B6*SQRT(B3*(1-B3)/B2)</f>
        <v>0.1588</v>
      </c>
    </row>
    <row r="12" spans="1:7">
      <c r="B12" t="s">
        <v>79</v>
      </c>
    </row>
    <row r="13" spans="1:7">
      <c r="A13" t="s">
        <v>71</v>
      </c>
      <c r="B13">
        <v>400</v>
      </c>
    </row>
    <row r="14" spans="1:7">
      <c r="A14" t="s">
        <v>73</v>
      </c>
      <c r="B14">
        <v>0.2</v>
      </c>
    </row>
    <row r="16" spans="1:7">
      <c r="A16" t="s">
        <v>77</v>
      </c>
      <c r="B16">
        <v>0.95</v>
      </c>
    </row>
    <row r="17" spans="1:2">
      <c r="B17">
        <v>1.96</v>
      </c>
    </row>
    <row r="18" spans="1:2">
      <c r="A18" t="s">
        <v>74</v>
      </c>
      <c r="B18" s="3">
        <f>B14-B17*SQRT(B14*(1-B14)/B13)</f>
        <v>0.1608</v>
      </c>
    </row>
    <row r="19" spans="1:2">
      <c r="A19" t="s">
        <v>75</v>
      </c>
      <c r="B19" s="3">
        <f>B14</f>
        <v>0.2</v>
      </c>
    </row>
    <row r="20" spans="1:2">
      <c r="A20" t="s">
        <v>76</v>
      </c>
      <c r="B20" s="3">
        <f>B14+B17*SQRT(B14*(1-B14)/B13)</f>
        <v>0.23920000000000002</v>
      </c>
    </row>
    <row r="22" spans="1:2">
      <c r="B22" t="s">
        <v>80</v>
      </c>
    </row>
    <row r="23" spans="1:2">
      <c r="A23" t="s">
        <v>71</v>
      </c>
      <c r="B23">
        <v>300</v>
      </c>
    </row>
    <row r="24" spans="1:2">
      <c r="A24" t="s">
        <v>73</v>
      </c>
      <c r="B24">
        <v>0.1</v>
      </c>
    </row>
    <row r="26" spans="1:2">
      <c r="A26" t="s">
        <v>77</v>
      </c>
      <c r="B26">
        <v>0.95</v>
      </c>
    </row>
    <row r="27" spans="1:2">
      <c r="B27">
        <v>1.65</v>
      </c>
    </row>
    <row r="28" spans="1:2">
      <c r="A28" t="s">
        <v>74</v>
      </c>
      <c r="B28" s="3">
        <f>B24-B27*SQRT(B24*(1-B24)/B23)</f>
        <v>7.1421161675113531E-2</v>
      </c>
    </row>
    <row r="29" spans="1:2">
      <c r="A29" t="s">
        <v>75</v>
      </c>
      <c r="B29" s="3">
        <f>B24</f>
        <v>0.1</v>
      </c>
    </row>
    <row r="30" spans="1:2">
      <c r="A30" t="s">
        <v>76</v>
      </c>
      <c r="B30" s="3">
        <f>B24+B27*SQRT(B24*(1-B24)/B23)</f>
        <v>0.12857883832488648</v>
      </c>
    </row>
    <row r="32" spans="1:2">
      <c r="B32" t="s">
        <v>82</v>
      </c>
    </row>
    <row r="33" spans="1:2">
      <c r="A33" t="s">
        <v>71</v>
      </c>
      <c r="B33">
        <v>1475</v>
      </c>
    </row>
    <row r="34" spans="1:2">
      <c r="A34" t="s">
        <v>73</v>
      </c>
      <c r="B34">
        <v>0.6</v>
      </c>
    </row>
    <row r="36" spans="1:2">
      <c r="A36" t="s">
        <v>77</v>
      </c>
      <c r="B36">
        <v>0.95</v>
      </c>
    </row>
    <row r="37" spans="1:2">
      <c r="B37">
        <v>1.96</v>
      </c>
    </row>
    <row r="38" spans="1:2">
      <c r="A38" t="s">
        <v>74</v>
      </c>
      <c r="B38" s="18">
        <f>B34-B37*SQRT(B34*(1-B34)/B33)</f>
        <v>0.5749985220775834</v>
      </c>
    </row>
    <row r="39" spans="1:2">
      <c r="A39" t="s">
        <v>75</v>
      </c>
      <c r="B39" s="18">
        <f>B34</f>
        <v>0.6</v>
      </c>
    </row>
    <row r="40" spans="1:2">
      <c r="A40" t="s">
        <v>76</v>
      </c>
      <c r="B40" s="18">
        <f>B34+B37*SQRT(B34*(1-B34)/B33)</f>
        <v>0.62500147792241656</v>
      </c>
    </row>
    <row r="42" spans="1:2">
      <c r="B42" t="s">
        <v>83</v>
      </c>
    </row>
    <row r="43" spans="1:2">
      <c r="A43" t="s">
        <v>71</v>
      </c>
      <c r="B43">
        <v>9600</v>
      </c>
    </row>
    <row r="44" spans="1:2">
      <c r="A44" t="s">
        <v>73</v>
      </c>
      <c r="B44" s="23">
        <v>0.5</v>
      </c>
    </row>
    <row r="46" spans="1:2">
      <c r="A46" t="s">
        <v>77</v>
      </c>
      <c r="B46">
        <v>0.95</v>
      </c>
    </row>
    <row r="47" spans="1:2">
      <c r="B47">
        <v>1.96</v>
      </c>
    </row>
    <row r="48" spans="1:2">
      <c r="A48" t="s">
        <v>74</v>
      </c>
      <c r="B48" s="18">
        <f>B44-B47*SQRT(B44*(1-B44)/B43)</f>
        <v>0.48999791688363536</v>
      </c>
    </row>
    <row r="49" spans="1:2">
      <c r="A49" t="s">
        <v>75</v>
      </c>
      <c r="B49" s="18">
        <f>B44</f>
        <v>0.5</v>
      </c>
    </row>
    <row r="50" spans="1:2">
      <c r="A50" t="s">
        <v>76</v>
      </c>
      <c r="B50" s="18">
        <f>B44+B47*SQRT(B44*(1-B44)/B43)</f>
        <v>0.51000208311636464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F557-F574-46BE-A51C-0E13EBA483C0}">
  <dimension ref="A1:K14"/>
  <sheetViews>
    <sheetView workbookViewId="0">
      <selection activeCell="F9" sqref="F9"/>
    </sheetView>
  </sheetViews>
  <sheetFormatPr defaultRowHeight="18"/>
  <sheetData>
    <row r="1" spans="1:11" ht="18.600000000000001" thickBot="1">
      <c r="A1" s="11" t="s">
        <v>81</v>
      </c>
    </row>
    <row r="2" spans="1:11" ht="18.600000000000001" thickBot="1">
      <c r="B2" s="13">
        <v>0</v>
      </c>
      <c r="C2" s="13">
        <v>0.01</v>
      </c>
      <c r="D2" s="13">
        <v>0.02</v>
      </c>
      <c r="E2" s="13">
        <v>0.03</v>
      </c>
      <c r="F2" s="13">
        <v>0.04</v>
      </c>
      <c r="G2" s="13">
        <v>0.05</v>
      </c>
      <c r="H2" s="19">
        <v>0.06</v>
      </c>
      <c r="I2" s="13">
        <v>7.0000000000000007E-2</v>
      </c>
      <c r="J2" s="13">
        <v>0.08</v>
      </c>
      <c r="K2" s="13">
        <v>0.09</v>
      </c>
    </row>
    <row r="3" spans="1:11" ht="18.600000000000001" thickBot="1">
      <c r="A3" s="13">
        <v>0</v>
      </c>
      <c r="B3" s="14">
        <v>0.5</v>
      </c>
      <c r="C3" s="14">
        <v>0.496</v>
      </c>
      <c r="D3" s="14">
        <v>0.49199999999999999</v>
      </c>
      <c r="E3" s="14">
        <v>0.48799999999999999</v>
      </c>
      <c r="F3" s="14">
        <v>0.48399999999999999</v>
      </c>
      <c r="G3" s="14">
        <v>0.48</v>
      </c>
      <c r="H3" s="14">
        <v>0.47599999999999998</v>
      </c>
      <c r="I3" s="14">
        <v>0.47199999999999998</v>
      </c>
      <c r="J3" s="14">
        <v>0.46800000000000003</v>
      </c>
      <c r="K3" s="14">
        <v>0.46400000000000002</v>
      </c>
    </row>
    <row r="4" spans="1:11" ht="18.600000000000001" thickBot="1">
      <c r="A4" s="13">
        <v>0.1</v>
      </c>
      <c r="B4" s="14">
        <v>0.46</v>
      </c>
      <c r="C4" s="14">
        <v>0.45600000000000002</v>
      </c>
      <c r="D4" s="14">
        <v>0.45200000000000001</v>
      </c>
      <c r="E4" s="14">
        <v>0.44800000000000001</v>
      </c>
      <c r="F4" s="14">
        <v>0.44400000000000001</v>
      </c>
      <c r="G4" s="14">
        <v>0.44</v>
      </c>
      <c r="H4" s="14">
        <v>0.436</v>
      </c>
      <c r="I4" s="14">
        <v>0.433</v>
      </c>
      <c r="J4" s="14">
        <v>0.42899999999999999</v>
      </c>
      <c r="K4" s="14">
        <v>0.42499999999999999</v>
      </c>
    </row>
    <row r="5" spans="1:11" ht="18.600000000000001" thickBot="1">
      <c r="A5" s="13">
        <v>0.2</v>
      </c>
      <c r="B5" s="14">
        <v>0.42099999999999999</v>
      </c>
      <c r="C5" s="14">
        <v>0.41699999999999998</v>
      </c>
      <c r="D5" s="14">
        <v>0.41299999999999998</v>
      </c>
      <c r="E5" s="14">
        <v>0.40899999999999997</v>
      </c>
      <c r="F5" s="14">
        <v>0.40500000000000003</v>
      </c>
      <c r="G5" s="14">
        <v>0.40100000000000002</v>
      </c>
      <c r="H5" s="14">
        <v>0.39700000000000002</v>
      </c>
      <c r="I5" s="14">
        <v>0.39400000000000002</v>
      </c>
      <c r="J5" s="14">
        <v>0.39</v>
      </c>
      <c r="K5" s="14">
        <v>0.38600000000000001</v>
      </c>
    </row>
    <row r="6" spans="1:11" ht="18.600000000000001" thickBot="1">
      <c r="A6" s="13">
        <v>0.3</v>
      </c>
      <c r="B6" s="14">
        <v>0.38200000000000001</v>
      </c>
      <c r="C6" s="14">
        <v>0.378</v>
      </c>
      <c r="D6" s="14">
        <v>0.374</v>
      </c>
      <c r="E6" s="14">
        <v>0.371</v>
      </c>
      <c r="F6" s="14">
        <v>0.36699999999999999</v>
      </c>
      <c r="G6" s="14">
        <v>0.36299999999999999</v>
      </c>
      <c r="H6" s="14">
        <v>0.35899999999999999</v>
      </c>
      <c r="I6" s="14">
        <v>0.35599999999999998</v>
      </c>
      <c r="J6" s="14">
        <v>0.35199999999999998</v>
      </c>
      <c r="K6" s="14">
        <v>0.34799999999999998</v>
      </c>
    </row>
    <row r="7" spans="1:11" ht="18.600000000000001" thickBot="1">
      <c r="A7" s="13">
        <v>0.4</v>
      </c>
      <c r="B7" s="14">
        <v>0.34499999999999997</v>
      </c>
      <c r="C7" s="14">
        <v>0.34100000000000003</v>
      </c>
      <c r="D7" s="14">
        <v>0.33700000000000002</v>
      </c>
      <c r="E7" s="14">
        <v>0.33400000000000002</v>
      </c>
      <c r="F7" s="14">
        <v>0.33</v>
      </c>
      <c r="G7" s="14">
        <v>0.32600000000000001</v>
      </c>
      <c r="H7" s="14">
        <v>0.32300000000000001</v>
      </c>
      <c r="I7" s="14">
        <v>0.31900000000000001</v>
      </c>
      <c r="J7" s="14">
        <v>0.316</v>
      </c>
      <c r="K7" s="14">
        <v>0.312</v>
      </c>
    </row>
    <row r="8" spans="1:11" ht="18.600000000000001" thickBot="1">
      <c r="A8" s="13">
        <v>0.5</v>
      </c>
      <c r="B8" s="14">
        <v>0.309</v>
      </c>
      <c r="C8" s="14">
        <v>0.30499999999999999</v>
      </c>
      <c r="D8" s="14">
        <v>0.30199999999999999</v>
      </c>
      <c r="E8" s="14">
        <v>0.29799999999999999</v>
      </c>
      <c r="F8" s="14">
        <v>0.29499999999999998</v>
      </c>
      <c r="G8" s="14">
        <v>0.29099999999999998</v>
      </c>
      <c r="H8" s="14">
        <v>0.28799999999999998</v>
      </c>
      <c r="I8" s="14">
        <v>0.28399999999999997</v>
      </c>
      <c r="J8" s="14">
        <v>0.28100000000000003</v>
      </c>
      <c r="K8" s="14">
        <v>0.27800000000000002</v>
      </c>
    </row>
    <row r="9" spans="1:11" ht="18.600000000000001" thickBo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18.600000000000001" thickBot="1">
      <c r="A10" s="13">
        <v>1.6</v>
      </c>
      <c r="B10" s="14">
        <v>5.5E-2</v>
      </c>
      <c r="C10" s="14">
        <v>5.3999999999999999E-2</v>
      </c>
      <c r="D10" s="14">
        <v>5.2999999999999999E-2</v>
      </c>
      <c r="E10" s="14">
        <v>5.1999999999999998E-2</v>
      </c>
      <c r="F10" s="14">
        <v>5.0999999999999997E-2</v>
      </c>
      <c r="G10" s="22">
        <v>4.9000000000000002E-2</v>
      </c>
      <c r="H10" s="14">
        <v>4.8000000000000001E-2</v>
      </c>
      <c r="I10" s="14">
        <v>4.7E-2</v>
      </c>
      <c r="J10" s="14">
        <v>4.5999999999999999E-2</v>
      </c>
      <c r="K10" s="14">
        <v>4.5999999999999999E-2</v>
      </c>
    </row>
    <row r="11" spans="1:11" ht="18.600000000000001" thickBot="1">
      <c r="A11" s="13">
        <v>1.7</v>
      </c>
      <c r="B11" s="14">
        <v>4.4999999999999998E-2</v>
      </c>
      <c r="C11" s="14">
        <v>4.3999999999999997E-2</v>
      </c>
      <c r="D11" s="14">
        <v>4.2999999999999997E-2</v>
      </c>
      <c r="E11" s="14">
        <v>4.2000000000000003E-2</v>
      </c>
      <c r="F11" s="14">
        <v>4.1000000000000002E-2</v>
      </c>
      <c r="G11" s="14">
        <v>0.04</v>
      </c>
      <c r="H11" s="14">
        <v>3.9E-2</v>
      </c>
      <c r="I11" s="14">
        <v>3.7999999999999999E-2</v>
      </c>
      <c r="J11" s="14">
        <v>3.7999999999999999E-2</v>
      </c>
      <c r="K11" s="14">
        <v>3.6999999999999998E-2</v>
      </c>
    </row>
    <row r="12" spans="1:11" ht="18.600000000000001" thickBot="1">
      <c r="A12" s="13">
        <v>1.8</v>
      </c>
      <c r="B12" s="14">
        <v>3.5999999999999997E-2</v>
      </c>
      <c r="C12" s="14">
        <v>3.5000000000000003E-2</v>
      </c>
      <c r="D12" s="14">
        <v>3.4000000000000002E-2</v>
      </c>
      <c r="E12" s="14">
        <v>3.4000000000000002E-2</v>
      </c>
      <c r="F12" s="14">
        <v>3.3000000000000002E-2</v>
      </c>
      <c r="G12" s="14">
        <v>3.2000000000000001E-2</v>
      </c>
      <c r="H12" s="14">
        <v>3.1E-2</v>
      </c>
      <c r="I12" s="14">
        <v>3.1E-2</v>
      </c>
      <c r="J12" s="14">
        <v>0.03</v>
      </c>
      <c r="K12" s="14">
        <v>2.9000000000000001E-2</v>
      </c>
    </row>
    <row r="13" spans="1:11" ht="18.600000000000001" thickBot="1">
      <c r="A13" s="20">
        <v>1.9</v>
      </c>
      <c r="B13" s="14">
        <v>2.9000000000000001E-2</v>
      </c>
      <c r="C13" s="14">
        <v>2.8000000000000001E-2</v>
      </c>
      <c r="D13" s="14">
        <v>2.7E-2</v>
      </c>
      <c r="E13" s="14">
        <v>2.7E-2</v>
      </c>
      <c r="F13" s="14">
        <v>2.5999999999999999E-2</v>
      </c>
      <c r="G13" s="14">
        <v>2.5999999999999999E-2</v>
      </c>
      <c r="H13" s="21">
        <v>2.5000000000000001E-2</v>
      </c>
      <c r="I13" s="14">
        <v>2.4E-2</v>
      </c>
      <c r="J13" s="14">
        <v>2.4E-2</v>
      </c>
      <c r="K13" s="14">
        <v>2.3E-2</v>
      </c>
    </row>
    <row r="14" spans="1:11" ht="18.600000000000001" thickBot="1">
      <c r="A14" s="13">
        <v>2</v>
      </c>
      <c r="B14" s="14">
        <v>2.3E-2</v>
      </c>
      <c r="C14" s="14">
        <v>2.1999999999999999E-2</v>
      </c>
      <c r="D14" s="14">
        <v>2.1999999999999999E-2</v>
      </c>
      <c r="E14" s="14">
        <v>2.1000000000000001E-2</v>
      </c>
      <c r="F14" s="14">
        <v>2.1000000000000001E-2</v>
      </c>
      <c r="G14" s="14">
        <v>0.02</v>
      </c>
      <c r="H14" s="14">
        <v>0.02</v>
      </c>
      <c r="I14" s="14">
        <v>1.9E-2</v>
      </c>
      <c r="J14" s="14">
        <v>1.9E-2</v>
      </c>
      <c r="K14" s="14">
        <v>1.7999999999999999E-2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二項分布</vt:lpstr>
      <vt:lpstr>ポアソン分布</vt:lpstr>
      <vt:lpstr>幾何分布</vt:lpstr>
      <vt:lpstr>母平均の点推定</vt:lpstr>
      <vt:lpstr>信頼区間z</vt:lpstr>
      <vt:lpstr>信頼区間t</vt:lpstr>
      <vt:lpstr>EX24平均値検定</vt:lpstr>
      <vt:lpstr>母比率の区間推定</vt:lpstr>
      <vt:lpstr>標準正規分布表</vt:lpstr>
      <vt:lpstr>t分布表</vt:lpstr>
      <vt:lpstr>χ2乗分布</vt:lpstr>
      <vt:lpstr>χ2乗分布 (2)</vt:lpstr>
      <vt:lpstr>F分布</vt:lpstr>
      <vt:lpstr>F分布表</vt:lpstr>
      <vt:lpstr>Welchのt検定</vt:lpstr>
      <vt:lpstr>一元配置分散分析</vt:lpstr>
      <vt:lpstr>片側t検定</vt:lpstr>
      <vt:lpstr>ハンバーガー</vt:lpstr>
      <vt:lpstr>toi43U</vt:lpstr>
      <vt:lpstr>note</vt:lpstr>
      <vt:lpstr>IceCream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峰地慎一</dc:creator>
  <cp:lastModifiedBy>峰地 慎一</cp:lastModifiedBy>
  <dcterms:created xsi:type="dcterms:W3CDTF">2015-06-05T18:19:34Z</dcterms:created>
  <dcterms:modified xsi:type="dcterms:W3CDTF">2022-05-29T13:58:51Z</dcterms:modified>
</cp:coreProperties>
</file>